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maxim_maron_einsteinmed_org/Documents/Shechter/Methylation_site_dataset/"/>
    </mc:Choice>
  </mc:AlternateContent>
  <xr:revisionPtr revIDLastSave="9" documentId="8_{923AF845-9110-48FD-9E5A-2770F8EF9B15}" xr6:coauthVersionLast="46" xr6:coauthVersionMax="46" xr10:uidLastSave="{6799FDA8-59E3-45DF-B85D-79082ED705C5}"/>
  <bookViews>
    <workbookView xWindow="13740" yWindow="-16320" windowWidth="29040" windowHeight="15840" xr2:uid="{00000000-000D-0000-FFFF-FFFF00000000}"/>
  </bookViews>
  <sheets>
    <sheet name="ALL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528" i="7" l="1"/>
  <c r="M2527" i="7"/>
  <c r="L2527" i="7"/>
  <c r="M2526" i="7"/>
  <c r="L2526" i="7"/>
  <c r="M2525" i="7"/>
  <c r="L2525" i="7"/>
  <c r="M2524" i="7"/>
  <c r="L2524" i="7"/>
  <c r="M2523" i="7"/>
  <c r="L2523" i="7"/>
  <c r="M2522" i="7"/>
  <c r="L2522" i="7"/>
  <c r="M2521" i="7"/>
  <c r="L2520" i="7"/>
  <c r="M2519" i="7"/>
  <c r="L2519" i="7"/>
  <c r="M2518" i="7"/>
  <c r="M2517" i="7"/>
  <c r="L2517" i="7"/>
  <c r="M2516" i="7"/>
  <c r="L2516" i="7"/>
  <c r="M2515" i="7"/>
  <c r="L2515" i="7"/>
  <c r="M2514" i="7"/>
  <c r="L2514" i="7"/>
  <c r="L2513" i="7"/>
  <c r="M2512" i="7"/>
  <c r="L2512" i="7"/>
  <c r="M2511" i="7"/>
  <c r="L2511" i="7"/>
  <c r="L2510" i="7"/>
  <c r="L2509" i="7"/>
  <c r="L2508" i="7"/>
  <c r="L2507" i="7"/>
  <c r="M2506" i="7"/>
  <c r="L2506" i="7"/>
  <c r="M2505" i="7"/>
  <c r="L2505" i="7"/>
  <c r="L2504" i="7"/>
  <c r="L2503" i="7"/>
  <c r="M2502" i="7"/>
  <c r="L2502" i="7"/>
  <c r="L2501" i="7"/>
  <c r="M2500" i="7"/>
  <c r="L2500" i="7"/>
  <c r="M2499" i="7"/>
  <c r="M2498" i="7"/>
  <c r="L2498" i="7"/>
  <c r="M2497" i="7"/>
  <c r="L2497" i="7"/>
  <c r="M2496" i="7"/>
  <c r="L2496" i="7"/>
  <c r="M2495" i="7"/>
  <c r="M2494" i="7"/>
  <c r="L2494" i="7"/>
  <c r="M2493" i="7"/>
  <c r="L2493" i="7"/>
  <c r="L2492" i="7"/>
  <c r="M2491" i="7"/>
  <c r="L2491" i="7"/>
  <c r="L2490" i="7"/>
  <c r="M2489" i="7"/>
  <c r="L2488" i="7"/>
  <c r="L2487" i="7"/>
  <c r="M2486" i="7"/>
  <c r="M2485" i="7"/>
  <c r="M2484" i="7"/>
  <c r="L2484" i="7"/>
  <c r="M2483" i="7"/>
  <c r="L2483" i="7"/>
  <c r="M2482" i="7"/>
  <c r="L2482" i="7"/>
  <c r="M2481" i="7"/>
  <c r="L2481" i="7"/>
  <c r="L2480" i="7"/>
  <c r="M2479" i="7"/>
  <c r="L2479" i="7"/>
  <c r="M2478" i="7"/>
  <c r="L2478" i="7"/>
  <c r="M2477" i="7"/>
  <c r="L2477" i="7"/>
  <c r="L2476" i="7"/>
  <c r="M2475" i="7"/>
  <c r="L2475" i="7"/>
  <c r="L2474" i="7"/>
  <c r="M2473" i="7"/>
  <c r="L2473" i="7"/>
  <c r="M2472" i="7"/>
  <c r="L2472" i="7"/>
  <c r="M2471" i="7"/>
  <c r="L2471" i="7"/>
  <c r="L2470" i="7"/>
  <c r="M2469" i="7"/>
  <c r="L2469" i="7"/>
  <c r="M2468" i="7"/>
  <c r="L2468" i="7"/>
  <c r="L2467" i="7"/>
  <c r="M2466" i="7"/>
  <c r="M2465" i="7"/>
  <c r="L2465" i="7"/>
  <c r="M2464" i="7"/>
  <c r="L2464" i="7"/>
  <c r="L2463" i="7"/>
  <c r="M2462" i="7"/>
  <c r="M2461" i="7"/>
  <c r="M2460" i="7"/>
  <c r="L2460" i="7"/>
  <c r="L2459" i="7"/>
  <c r="M2458" i="7"/>
  <c r="L2458" i="7"/>
  <c r="M2457" i="7"/>
  <c r="L2457" i="7"/>
  <c r="M2456" i="7"/>
  <c r="L2456" i="7"/>
  <c r="M2455" i="7"/>
  <c r="L2455" i="7"/>
  <c r="M2454" i="7"/>
  <c r="L2454" i="7"/>
  <c r="M2453" i="7"/>
  <c r="L2453" i="7"/>
  <c r="M2452" i="7"/>
  <c r="L2452" i="7"/>
  <c r="L2451" i="7"/>
  <c r="L2450" i="7"/>
  <c r="M2449" i="7"/>
  <c r="L2449" i="7"/>
  <c r="M2448" i="7"/>
  <c r="M2447" i="7"/>
  <c r="L2447" i="7"/>
  <c r="M2446" i="7"/>
  <c r="L2446" i="7"/>
  <c r="M2445" i="7"/>
  <c r="L2445" i="7"/>
  <c r="M2444" i="7"/>
  <c r="M2443" i="7"/>
  <c r="L2443" i="7"/>
  <c r="M2442" i="7"/>
  <c r="M2441" i="7"/>
  <c r="L2441" i="7"/>
  <c r="M2440" i="7"/>
  <c r="L2440" i="7"/>
  <c r="L2439" i="7"/>
  <c r="M2438" i="7"/>
  <c r="L2438" i="7"/>
  <c r="M2437" i="7"/>
  <c r="L2437" i="7"/>
  <c r="M2436" i="7"/>
  <c r="L2436" i="7"/>
  <c r="M2435" i="7"/>
  <c r="M2434" i="7"/>
  <c r="L2433" i="7"/>
  <c r="M2432" i="7"/>
  <c r="M2431" i="7"/>
  <c r="L2431" i="7"/>
  <c r="L2430" i="7"/>
  <c r="M2429" i="7"/>
  <c r="L2428" i="7"/>
  <c r="L2427" i="7"/>
  <c r="M2426" i="7"/>
  <c r="L2426" i="7"/>
  <c r="M2425" i="7"/>
  <c r="L2425" i="7"/>
  <c r="L2424" i="7"/>
  <c r="M2423" i="7"/>
  <c r="L2423" i="7"/>
  <c r="M2422" i="7"/>
  <c r="L2422" i="7"/>
  <c r="M2421" i="7"/>
  <c r="M2420" i="7"/>
  <c r="L2420" i="7"/>
  <c r="L2419" i="7"/>
  <c r="M2418" i="7"/>
  <c r="L2418" i="7"/>
  <c r="L2417" i="7"/>
  <c r="M2416" i="7"/>
  <c r="L2416" i="7"/>
  <c r="M2415" i="7"/>
  <c r="L2415" i="7"/>
  <c r="M2414" i="7"/>
  <c r="L2414" i="7"/>
  <c r="M2413" i="7"/>
  <c r="L2413" i="7"/>
  <c r="M2412" i="7"/>
  <c r="L2412" i="7"/>
  <c r="M2411" i="7"/>
  <c r="L2411" i="7"/>
  <c r="M2410" i="7"/>
  <c r="L2410" i="7"/>
  <c r="M2409" i="7"/>
  <c r="L2409" i="7"/>
  <c r="L2408" i="7"/>
  <c r="M2407" i="7"/>
  <c r="L2407" i="7"/>
  <c r="M2406" i="7"/>
  <c r="M2405" i="7"/>
  <c r="L2405" i="7"/>
  <c r="M2404" i="7"/>
  <c r="L2404" i="7"/>
  <c r="L2403" i="7"/>
  <c r="M2402" i="7"/>
  <c r="L2402" i="7"/>
  <c r="L2401" i="7"/>
  <c r="M2400" i="7"/>
  <c r="L2400" i="7"/>
  <c r="M2399" i="7"/>
  <c r="L2399" i="7"/>
  <c r="M2398" i="7"/>
  <c r="L2398" i="7"/>
  <c r="M2397" i="7"/>
  <c r="L2397" i="7"/>
  <c r="M2396" i="7"/>
  <c r="L2396" i="7"/>
  <c r="L2395" i="7"/>
  <c r="M2394" i="7"/>
  <c r="L2394" i="7"/>
  <c r="M2393" i="7"/>
  <c r="L2393" i="7"/>
  <c r="M2392" i="7"/>
  <c r="L2392" i="7"/>
  <c r="M2391" i="7"/>
  <c r="L2391" i="7"/>
  <c r="M2390" i="7"/>
  <c r="M2389" i="7"/>
  <c r="L2389" i="7"/>
  <c r="L2388" i="7"/>
  <c r="L2387" i="7"/>
  <c r="M2386" i="7"/>
  <c r="M2385" i="7"/>
  <c r="M2384" i="7"/>
  <c r="L2384" i="7"/>
  <c r="M2383" i="7"/>
  <c r="L2383" i="7"/>
  <c r="L2382" i="7"/>
  <c r="M2381" i="7"/>
  <c r="L2381" i="7"/>
  <c r="M2380" i="7"/>
  <c r="L2380" i="7"/>
  <c r="M2379" i="7"/>
  <c r="L2379" i="7"/>
  <c r="M2378" i="7"/>
  <c r="L2378" i="7"/>
  <c r="M2377" i="7"/>
  <c r="L2377" i="7"/>
  <c r="M2376" i="7"/>
  <c r="M2375" i="7"/>
  <c r="M2374" i="7"/>
  <c r="L2374" i="7"/>
  <c r="L2373" i="7"/>
  <c r="M2372" i="7"/>
  <c r="L2371" i="7"/>
  <c r="M2370" i="7"/>
  <c r="M2369" i="7"/>
  <c r="L2369" i="7"/>
  <c r="M2368" i="7"/>
  <c r="M2367" i="7"/>
  <c r="L2366" i="7"/>
  <c r="M2365" i="7"/>
  <c r="L2365" i="7"/>
  <c r="M2364" i="7"/>
  <c r="L2364" i="7"/>
  <c r="M2363" i="7"/>
  <c r="L2363" i="7"/>
  <c r="M2362" i="7"/>
  <c r="L2362" i="7"/>
  <c r="M2361" i="7"/>
  <c r="L2361" i="7"/>
  <c r="M2360" i="7"/>
  <c r="M2359" i="7"/>
  <c r="M2358" i="7"/>
  <c r="M2357" i="7"/>
  <c r="M2356" i="7"/>
  <c r="L2356" i="7"/>
  <c r="M2355" i="7"/>
  <c r="L2354" i="7"/>
  <c r="M2353" i="7"/>
  <c r="L2353" i="7"/>
  <c r="M2352" i="7"/>
  <c r="L2352" i="7"/>
  <c r="M2351" i="7"/>
  <c r="L2351" i="7"/>
  <c r="M2350" i="7"/>
  <c r="L2350" i="7"/>
  <c r="M2349" i="7"/>
  <c r="L2349" i="7"/>
  <c r="M2348" i="7"/>
  <c r="L2348" i="7"/>
  <c r="M2347" i="7"/>
  <c r="L2347" i="7"/>
  <c r="M2346" i="7"/>
  <c r="L2346" i="7"/>
  <c r="M2345" i="7"/>
  <c r="M2344" i="7"/>
  <c r="L2344" i="7"/>
  <c r="M2343" i="7"/>
  <c r="L2343" i="7"/>
  <c r="M2342" i="7"/>
  <c r="L2342" i="7"/>
  <c r="M2341" i="7"/>
  <c r="L2341" i="7"/>
  <c r="M2340" i="7"/>
  <c r="M2339" i="7"/>
  <c r="M2338" i="7"/>
  <c r="M2337" i="7"/>
  <c r="L2337" i="7"/>
  <c r="M2336" i="7"/>
  <c r="L2336" i="7"/>
  <c r="M2335" i="7"/>
  <c r="L2334" i="7"/>
  <c r="M2333" i="7"/>
  <c r="M2332" i="7"/>
  <c r="L2332" i="7"/>
  <c r="L2331" i="7"/>
  <c r="M2330" i="7"/>
  <c r="M2329" i="7"/>
  <c r="M2328" i="7"/>
  <c r="L2328" i="7"/>
  <c r="M2327" i="7"/>
  <c r="M2326" i="7"/>
  <c r="M2325" i="7"/>
  <c r="L2325" i="7"/>
  <c r="L2324" i="7"/>
  <c r="M2323" i="7"/>
  <c r="L2323" i="7"/>
  <c r="M2322" i="7"/>
  <c r="L2321" i="7"/>
  <c r="L2320" i="7"/>
  <c r="M2319" i="7"/>
  <c r="M2318" i="7"/>
  <c r="M2317" i="7"/>
  <c r="L2317" i="7"/>
  <c r="M2316" i="7"/>
  <c r="L2316" i="7"/>
  <c r="M2315" i="7"/>
  <c r="M2314" i="7"/>
  <c r="M2313" i="7"/>
  <c r="M2312" i="7"/>
  <c r="M2311" i="7"/>
  <c r="L2311" i="7"/>
  <c r="L2310" i="7"/>
  <c r="L2309" i="7"/>
  <c r="M2308" i="7"/>
  <c r="L2307" i="7"/>
  <c r="M2306" i="7"/>
  <c r="L2306" i="7"/>
  <c r="L2305" i="7"/>
  <c r="M2304" i="7"/>
  <c r="L2304" i="7"/>
  <c r="M2303" i="7"/>
  <c r="L2303" i="7"/>
  <c r="M2302" i="7"/>
  <c r="M2301" i="7"/>
  <c r="L2301" i="7"/>
  <c r="L2300" i="7"/>
  <c r="L2299" i="7"/>
  <c r="M2298" i="7"/>
  <c r="M2297" i="7"/>
  <c r="L2297" i="7"/>
  <c r="L2296" i="7"/>
  <c r="L2295" i="7"/>
  <c r="L2294" i="7"/>
  <c r="M2293" i="7"/>
  <c r="L2293" i="7"/>
  <c r="M2292" i="7"/>
  <c r="L2292" i="7"/>
  <c r="M2291" i="7"/>
  <c r="L2291" i="7"/>
  <c r="M2290" i="7"/>
  <c r="L2290" i="7"/>
  <c r="L2289" i="7"/>
  <c r="L2288" i="7"/>
  <c r="L2287" i="7"/>
  <c r="M2286" i="7"/>
  <c r="L2286" i="7"/>
  <c r="M2285" i="7"/>
  <c r="L2285" i="7"/>
  <c r="M2284" i="7"/>
  <c r="L2284" i="7"/>
  <c r="M2283" i="7"/>
  <c r="L2283" i="7"/>
  <c r="L2282" i="7"/>
  <c r="M2281" i="7"/>
  <c r="L2281" i="7"/>
  <c r="M2280" i="7"/>
  <c r="L2280" i="7"/>
  <c r="M2279" i="7"/>
  <c r="L2279" i="7"/>
  <c r="L2278" i="7"/>
  <c r="M2277" i="7"/>
  <c r="L2277" i="7"/>
  <c r="M2276" i="7"/>
  <c r="L2276" i="7"/>
  <c r="M2275" i="7"/>
  <c r="L2275" i="7"/>
  <c r="M2274" i="7"/>
  <c r="L2274" i="7"/>
  <c r="M2273" i="7"/>
  <c r="M2272" i="7"/>
  <c r="L2272" i="7"/>
  <c r="M2271" i="7"/>
  <c r="L2271" i="7"/>
  <c r="M2270" i="7"/>
  <c r="L2270" i="7"/>
  <c r="M2269" i="7"/>
  <c r="L2269" i="7"/>
  <c r="L2268" i="7"/>
  <c r="M2267" i="7"/>
  <c r="L2267" i="7"/>
  <c r="M2266" i="7"/>
  <c r="L2266" i="7"/>
  <c r="M2265" i="7"/>
  <c r="L2265" i="7"/>
  <c r="M2264" i="7"/>
  <c r="L2264" i="7"/>
  <c r="M2263" i="7"/>
  <c r="L2263" i="7"/>
  <c r="M2262" i="7"/>
  <c r="L2262" i="7"/>
  <c r="L2261" i="7"/>
  <c r="M2260" i="7"/>
  <c r="L2260" i="7"/>
  <c r="M2259" i="7"/>
  <c r="L2259" i="7"/>
  <c r="M2258" i="7"/>
  <c r="M2257" i="7"/>
  <c r="L2256" i="7"/>
  <c r="M2255" i="7"/>
  <c r="L2255" i="7"/>
  <c r="M2254" i="7"/>
  <c r="L2254" i="7"/>
  <c r="L2253" i="7"/>
  <c r="M2252" i="7"/>
  <c r="L2252" i="7"/>
  <c r="L2251" i="7"/>
  <c r="M2250" i="7"/>
  <c r="L2250" i="7"/>
  <c r="M2249" i="7"/>
  <c r="L2249" i="7"/>
  <c r="M2248" i="7"/>
  <c r="L2248" i="7"/>
  <c r="M2247" i="7"/>
  <c r="L2247" i="7"/>
  <c r="M2246" i="7"/>
  <c r="M2245" i="7"/>
  <c r="M2244" i="7"/>
  <c r="L2244" i="7"/>
  <c r="M2243" i="7"/>
  <c r="L2243" i="7"/>
  <c r="M2242" i="7"/>
  <c r="L2242" i="7"/>
  <c r="M2241" i="7"/>
  <c r="L2241" i="7"/>
  <c r="M2240" i="7"/>
  <c r="L2240" i="7"/>
  <c r="L2239" i="7"/>
  <c r="M2238" i="7"/>
  <c r="L2238" i="7"/>
  <c r="M2237" i="7"/>
  <c r="L2237" i="7"/>
  <c r="L2236" i="7"/>
  <c r="M2235" i="7"/>
  <c r="L2235" i="7"/>
  <c r="M2234" i="7"/>
  <c r="L2234" i="7"/>
  <c r="M2233" i="7"/>
  <c r="L2233" i="7"/>
  <c r="M2232" i="7"/>
  <c r="M2231" i="7"/>
  <c r="L2231" i="7"/>
  <c r="M2230" i="7"/>
  <c r="L2230" i="7"/>
  <c r="M2229" i="7"/>
  <c r="L2229" i="7"/>
  <c r="M2228" i="7"/>
  <c r="M2227" i="7"/>
  <c r="L2227" i="7"/>
  <c r="M2226" i="7"/>
  <c r="L2226" i="7"/>
  <c r="M2225" i="7"/>
  <c r="L2225" i="7"/>
  <c r="M2224" i="7"/>
  <c r="M2223" i="7"/>
  <c r="L2223" i="7"/>
  <c r="M2222" i="7"/>
  <c r="L2222" i="7"/>
  <c r="M2221" i="7"/>
  <c r="L2221" i="7"/>
  <c r="M2220" i="7"/>
  <c r="L2220" i="7"/>
  <c r="M2219" i="7"/>
  <c r="L2219" i="7"/>
  <c r="M2218" i="7"/>
  <c r="M2217" i="7"/>
  <c r="M2216" i="7"/>
  <c r="L2216" i="7"/>
  <c r="L2215" i="7"/>
  <c r="M2214" i="7"/>
  <c r="L2214" i="7"/>
  <c r="L2213" i="7"/>
  <c r="M2212" i="7"/>
  <c r="L2212" i="7"/>
  <c r="M2211" i="7"/>
  <c r="L2211" i="7"/>
  <c r="M2210" i="7"/>
  <c r="L2210" i="7"/>
  <c r="M2209" i="7"/>
  <c r="L2209" i="7"/>
  <c r="M2208" i="7"/>
  <c r="L2208" i="7"/>
  <c r="L2207" i="7"/>
  <c r="M2206" i="7"/>
  <c r="L2206" i="7"/>
  <c r="M2205" i="7"/>
  <c r="L2205" i="7"/>
  <c r="L2204" i="7"/>
  <c r="M2203" i="7"/>
  <c r="L2203" i="7"/>
  <c r="L2202" i="7"/>
  <c r="L2201" i="7"/>
  <c r="L2200" i="7"/>
  <c r="M2199" i="7"/>
  <c r="L2199" i="7"/>
  <c r="M2198" i="7"/>
  <c r="L2198" i="7"/>
  <c r="M2197" i="7"/>
  <c r="L2197" i="7"/>
  <c r="M2196" i="7"/>
  <c r="L2196" i="7"/>
  <c r="M2195" i="7"/>
  <c r="L2195" i="7"/>
  <c r="M2194" i="7"/>
  <c r="L2194" i="7"/>
  <c r="L2193" i="7"/>
  <c r="M2192" i="7"/>
  <c r="L2192" i="7"/>
  <c r="M2191" i="7"/>
  <c r="L2191" i="7"/>
  <c r="M2190" i="7"/>
  <c r="L2190" i="7"/>
  <c r="L2189" i="7"/>
  <c r="M2188" i="7"/>
  <c r="L2188" i="7"/>
  <c r="M2187" i="7"/>
  <c r="M2186" i="7"/>
  <c r="L2186" i="7"/>
  <c r="L2185" i="7"/>
  <c r="L2184" i="7"/>
  <c r="M2183" i="7"/>
  <c r="L2183" i="7"/>
  <c r="M2182" i="7"/>
  <c r="M2181" i="7"/>
  <c r="L2181" i="7"/>
  <c r="M2180" i="7"/>
  <c r="L2180" i="7"/>
  <c r="M2179" i="7"/>
  <c r="L2179" i="7"/>
  <c r="M2178" i="7"/>
  <c r="L2177" i="7"/>
  <c r="L2176" i="7"/>
  <c r="L2175" i="7"/>
  <c r="M2174" i="7"/>
  <c r="L2174" i="7"/>
  <c r="M2173" i="7"/>
  <c r="L2173" i="7"/>
  <c r="M2172" i="7"/>
  <c r="M2171" i="7"/>
  <c r="L2171" i="7"/>
  <c r="M2170" i="7"/>
  <c r="L2170" i="7"/>
  <c r="M2169" i="7"/>
  <c r="L2169" i="7"/>
  <c r="M2168" i="7"/>
  <c r="L2168" i="7"/>
  <c r="M2167" i="7"/>
  <c r="L2167" i="7"/>
  <c r="M2166" i="7"/>
  <c r="M2165" i="7"/>
  <c r="M2164" i="7"/>
  <c r="M2163" i="7"/>
  <c r="L2163" i="7"/>
  <c r="L2162" i="7"/>
  <c r="M2161" i="7"/>
  <c r="L2161" i="7"/>
  <c r="M2160" i="7"/>
  <c r="L2160" i="7"/>
  <c r="M2159" i="7"/>
  <c r="L2159" i="7"/>
  <c r="M2158" i="7"/>
  <c r="L2158" i="7"/>
  <c r="M2157" i="7"/>
  <c r="L2157" i="7"/>
  <c r="M2156" i="7"/>
  <c r="L2156" i="7"/>
  <c r="L2155" i="7"/>
  <c r="M2154" i="7"/>
  <c r="L2154" i="7"/>
  <c r="M2153" i="7"/>
  <c r="M2152" i="7"/>
  <c r="L2151" i="7"/>
  <c r="M2150" i="7"/>
  <c r="M2149" i="7"/>
  <c r="L2149" i="7"/>
  <c r="M2148" i="7"/>
  <c r="L2148" i="7"/>
  <c r="M2147" i="7"/>
  <c r="L2147" i="7"/>
  <c r="M2146" i="7"/>
  <c r="L2146" i="7"/>
  <c r="M2145" i="7"/>
  <c r="L2145" i="7"/>
  <c r="M2144" i="7"/>
  <c r="L2144" i="7"/>
  <c r="M2143" i="7"/>
  <c r="M2142" i="7"/>
  <c r="L2142" i="7"/>
  <c r="M2141" i="7"/>
  <c r="L2141" i="7"/>
  <c r="L2140" i="7"/>
  <c r="M2139" i="7"/>
  <c r="L2139" i="7"/>
  <c r="L2138" i="7"/>
  <c r="M2137" i="7"/>
  <c r="L2137" i="7"/>
  <c r="M2136" i="7"/>
  <c r="L2136" i="7"/>
  <c r="M2135" i="7"/>
  <c r="M2134" i="7"/>
  <c r="M2133" i="7"/>
  <c r="L2133" i="7"/>
  <c r="M2132" i="7"/>
  <c r="L2132" i="7"/>
  <c r="L2131" i="7"/>
  <c r="M2130" i="7"/>
  <c r="L2130" i="7"/>
  <c r="M2129" i="7"/>
  <c r="L2129" i="7"/>
  <c r="L2128" i="7"/>
  <c r="M2127" i="7"/>
  <c r="L2127" i="7"/>
  <c r="M2126" i="7"/>
  <c r="L2126" i="7"/>
  <c r="M2125" i="7"/>
  <c r="M2124" i="7"/>
  <c r="L2124" i="7"/>
  <c r="M2123" i="7"/>
  <c r="L2123" i="7"/>
  <c r="M2122" i="7"/>
  <c r="L2122" i="7"/>
  <c r="M2121" i="7"/>
  <c r="L2121" i="7"/>
  <c r="M2120" i="7"/>
  <c r="M2119" i="7"/>
  <c r="L2118" i="7"/>
  <c r="L2117" i="7"/>
  <c r="M2116" i="7"/>
  <c r="L2116" i="7"/>
  <c r="M2115" i="7"/>
  <c r="L2115" i="7"/>
  <c r="M2114" i="7"/>
  <c r="L2114" i="7"/>
  <c r="L2113" i="7"/>
  <c r="L2112" i="7"/>
  <c r="M2111" i="7"/>
  <c r="M2110" i="7"/>
  <c r="L2110" i="7"/>
  <c r="M2109" i="7"/>
  <c r="L2109" i="7"/>
  <c r="M2108" i="7"/>
  <c r="L2108" i="7"/>
  <c r="M2107" i="7"/>
  <c r="L2107" i="7"/>
  <c r="L2106" i="7"/>
  <c r="M2105" i="7"/>
  <c r="L2105" i="7"/>
  <c r="M2104" i="7"/>
  <c r="L2104" i="7"/>
  <c r="M2103" i="7"/>
  <c r="L2103" i="7"/>
  <c r="M2102" i="7"/>
  <c r="L2102" i="7"/>
  <c r="M2101" i="7"/>
  <c r="L2101" i="7"/>
  <c r="L2100" i="7"/>
  <c r="M2099" i="7"/>
  <c r="M2098" i="7"/>
  <c r="M2097" i="7"/>
  <c r="M2096" i="7"/>
  <c r="M2095" i="7"/>
  <c r="M2094" i="7"/>
  <c r="L2094" i="7"/>
  <c r="M2093" i="7"/>
  <c r="L2093" i="7"/>
  <c r="M2092" i="7"/>
  <c r="L2092" i="7"/>
  <c r="M2091" i="7"/>
  <c r="L2091" i="7"/>
  <c r="M2090" i="7"/>
  <c r="L2090" i="7"/>
  <c r="L2089" i="7"/>
  <c r="M2088" i="7"/>
  <c r="M2087" i="7"/>
  <c r="L2087" i="7"/>
  <c r="M2086" i="7"/>
  <c r="L2086" i="7"/>
  <c r="L2085" i="7"/>
  <c r="L2084" i="7"/>
  <c r="M2083" i="7"/>
  <c r="M2082" i="7"/>
  <c r="M2081" i="7"/>
  <c r="L2081" i="7"/>
  <c r="M2080" i="7"/>
  <c r="L2080" i="7"/>
  <c r="M2079" i="7"/>
  <c r="L2079" i="7"/>
  <c r="M2078" i="7"/>
  <c r="M2077" i="7"/>
  <c r="L2077" i="7"/>
  <c r="M2076" i="7"/>
  <c r="L2076" i="7"/>
  <c r="M2075" i="7"/>
  <c r="L2075" i="7"/>
  <c r="M2074" i="7"/>
  <c r="L2074" i="7"/>
  <c r="L2073" i="7"/>
  <c r="M2072" i="7"/>
  <c r="L2072" i="7"/>
  <c r="M2071" i="7"/>
  <c r="L2071" i="7"/>
  <c r="M2070" i="7"/>
  <c r="L2070" i="7"/>
  <c r="M2069" i="7"/>
  <c r="L2069" i="7"/>
  <c r="M2068" i="7"/>
  <c r="L2068" i="7"/>
  <c r="L2067" i="7"/>
  <c r="L2066" i="7"/>
  <c r="M2065" i="7"/>
  <c r="L2065" i="7"/>
  <c r="M2064" i="7"/>
  <c r="L2064" i="7"/>
  <c r="M2063" i="7"/>
  <c r="L2063" i="7"/>
  <c r="M2062" i="7"/>
  <c r="L2062" i="7"/>
  <c r="M2061" i="7"/>
  <c r="L2061" i="7"/>
  <c r="M2060" i="7"/>
  <c r="L2060" i="7"/>
  <c r="M2059" i="7"/>
  <c r="M2058" i="7"/>
  <c r="L2058" i="7"/>
  <c r="M2057" i="7"/>
  <c r="L2057" i="7"/>
  <c r="M2056" i="7"/>
  <c r="L2056" i="7"/>
  <c r="M2055" i="7"/>
  <c r="L2055" i="7"/>
  <c r="M2054" i="7"/>
  <c r="M2053" i="7"/>
  <c r="L2053" i="7"/>
  <c r="M2052" i="7"/>
  <c r="L2052" i="7"/>
  <c r="M2051" i="7"/>
  <c r="L2051" i="7"/>
  <c r="M2050" i="7"/>
  <c r="L2050" i="7"/>
  <c r="M2049" i="7"/>
  <c r="L2049" i="7"/>
  <c r="M2048" i="7"/>
  <c r="L2048" i="7"/>
  <c r="M2047" i="7"/>
  <c r="L2047" i="7"/>
  <c r="M2046" i="7"/>
  <c r="L2046" i="7"/>
  <c r="M2045" i="7"/>
  <c r="M2044" i="7"/>
  <c r="L2044" i="7"/>
  <c r="M2043" i="7"/>
  <c r="L2043" i="7"/>
  <c r="L2042" i="7"/>
  <c r="M2041" i="7"/>
  <c r="M2040" i="7"/>
  <c r="L2040" i="7"/>
  <c r="M2039" i="7"/>
  <c r="L2039" i="7"/>
  <c r="M2038" i="7"/>
  <c r="L2038" i="7"/>
  <c r="M2037" i="7"/>
  <c r="L2037" i="7"/>
  <c r="M2036" i="7"/>
  <c r="M2035" i="7"/>
  <c r="L2035" i="7"/>
  <c r="M2034" i="7"/>
  <c r="M2033" i="7"/>
  <c r="M2032" i="7"/>
  <c r="L2032" i="7"/>
  <c r="L2031" i="7"/>
  <c r="M2030" i="7"/>
  <c r="L2030" i="7"/>
  <c r="M2029" i="7"/>
  <c r="L2029" i="7"/>
  <c r="M2028" i="7"/>
  <c r="L2028" i="7"/>
  <c r="L2027" i="7"/>
  <c r="M2026" i="7"/>
  <c r="L2026" i="7"/>
  <c r="M2025" i="7"/>
  <c r="L2025" i="7"/>
  <c r="M2024" i="7"/>
  <c r="L2024" i="7"/>
  <c r="M2023" i="7"/>
  <c r="L2023" i="7"/>
  <c r="M2022" i="7"/>
  <c r="L2022" i="7"/>
  <c r="M2021" i="7"/>
  <c r="L2021" i="7"/>
  <c r="M2020" i="7"/>
  <c r="L2020" i="7"/>
  <c r="L2019" i="7"/>
  <c r="M2018" i="7"/>
  <c r="L2018" i="7"/>
  <c r="L2017" i="7"/>
  <c r="M2016" i="7"/>
  <c r="M2015" i="7"/>
  <c r="L2015" i="7"/>
  <c r="L2014" i="7"/>
  <c r="M2013" i="7"/>
  <c r="L2013" i="7"/>
  <c r="L2012" i="7"/>
  <c r="M2011" i="7"/>
  <c r="L2011" i="7"/>
  <c r="M2010" i="7"/>
  <c r="L2010" i="7"/>
  <c r="M2009" i="7"/>
  <c r="M2008" i="7"/>
  <c r="L2008" i="7"/>
  <c r="M2007" i="7"/>
  <c r="L2007" i="7"/>
  <c r="L2006" i="7"/>
  <c r="L2005" i="7"/>
  <c r="L2004" i="7"/>
  <c r="M2003" i="7"/>
  <c r="L2003" i="7"/>
  <c r="L2002" i="7"/>
  <c r="M2001" i="7"/>
  <c r="L2001" i="7"/>
  <c r="M2000" i="7"/>
  <c r="M1999" i="7"/>
  <c r="M1998" i="7"/>
  <c r="L1998" i="7"/>
  <c r="L1997" i="7"/>
  <c r="M1996" i="7"/>
  <c r="L1996" i="7"/>
  <c r="M1995" i="7"/>
  <c r="L1995" i="7"/>
  <c r="L1994" i="7"/>
  <c r="M1993" i="7"/>
  <c r="L1993" i="7"/>
  <c r="M1992" i="7"/>
  <c r="L1992" i="7"/>
  <c r="M1991" i="7"/>
  <c r="L1991" i="7"/>
  <c r="L1990" i="7"/>
  <c r="M1989" i="7"/>
  <c r="L1989" i="7"/>
  <c r="M1988" i="7"/>
  <c r="M1987" i="7"/>
  <c r="L1986" i="7"/>
  <c r="M1985" i="7"/>
  <c r="L1985" i="7"/>
  <c r="M1984" i="7"/>
  <c r="L1984" i="7"/>
  <c r="M1983" i="7"/>
  <c r="L1983" i="7"/>
  <c r="M1982" i="7"/>
  <c r="M1981" i="7"/>
  <c r="L1981" i="7"/>
  <c r="M1980" i="7"/>
  <c r="L1980" i="7"/>
  <c r="M1979" i="7"/>
  <c r="M1978" i="7"/>
  <c r="L1978" i="7"/>
  <c r="M1977" i="7"/>
  <c r="L1977" i="7"/>
  <c r="M1976" i="7"/>
  <c r="L1976" i="7"/>
  <c r="M1975" i="7"/>
  <c r="L1975" i="7"/>
  <c r="M1974" i="7"/>
  <c r="L1974" i="7"/>
  <c r="M1973" i="7"/>
  <c r="L1973" i="7"/>
  <c r="L1972" i="7"/>
  <c r="M1971" i="7"/>
  <c r="L1971" i="7"/>
  <c r="M1970" i="7"/>
  <c r="L1970" i="7"/>
  <c r="M1969" i="7"/>
  <c r="L1969" i="7"/>
  <c r="M1968" i="7"/>
  <c r="L1968" i="7"/>
  <c r="M1967" i="7"/>
  <c r="L1967" i="7"/>
  <c r="M1966" i="7"/>
  <c r="L1966" i="7"/>
  <c r="M1965" i="7"/>
  <c r="L1965" i="7"/>
  <c r="M1964" i="7"/>
  <c r="L1964" i="7"/>
  <c r="M1963" i="7"/>
  <c r="M1962" i="7"/>
  <c r="L1962" i="7"/>
  <c r="L1961" i="7"/>
  <c r="M1960" i="7"/>
  <c r="L1960" i="7"/>
  <c r="M1959" i="7"/>
  <c r="L1959" i="7"/>
  <c r="M1958" i="7"/>
  <c r="L1958" i="7"/>
  <c r="M1957" i="7"/>
  <c r="L1957" i="7"/>
  <c r="M1956" i="7"/>
  <c r="M1955" i="7"/>
  <c r="M1954" i="7"/>
  <c r="M1953" i="7"/>
  <c r="L1953" i="7"/>
  <c r="M1952" i="7"/>
  <c r="L1952" i="7"/>
  <c r="M1951" i="7"/>
  <c r="L1951" i="7"/>
  <c r="L1950" i="7"/>
  <c r="M1949" i="7"/>
  <c r="L1949" i="7"/>
  <c r="M1948" i="7"/>
  <c r="L1948" i="7"/>
  <c r="M1947" i="7"/>
  <c r="L1947" i="7"/>
  <c r="L1946" i="7"/>
  <c r="M1945" i="7"/>
  <c r="L1945" i="7"/>
  <c r="M1944" i="7"/>
  <c r="L1944" i="7"/>
  <c r="M1943" i="7"/>
  <c r="M1942" i="7"/>
  <c r="L1942" i="7"/>
  <c r="L1941" i="7"/>
  <c r="M1940" i="7"/>
  <c r="M1939" i="7"/>
  <c r="L1939" i="7"/>
  <c r="M1938" i="7"/>
  <c r="L1938" i="7"/>
  <c r="M1937" i="7"/>
  <c r="M1936" i="7"/>
  <c r="L1936" i="7"/>
  <c r="M1935" i="7"/>
  <c r="L1935" i="7"/>
  <c r="M1934" i="7"/>
  <c r="M1933" i="7"/>
  <c r="L1933" i="7"/>
  <c r="M1932" i="7"/>
  <c r="M1931" i="7"/>
  <c r="L1931" i="7"/>
  <c r="M1930" i="7"/>
  <c r="L1930" i="7"/>
  <c r="M1929" i="7"/>
  <c r="L1929" i="7"/>
  <c r="M1928" i="7"/>
  <c r="L1928" i="7"/>
  <c r="M1927" i="7"/>
  <c r="L1927" i="7"/>
  <c r="M1926" i="7"/>
  <c r="L1925" i="7"/>
  <c r="L1924" i="7"/>
  <c r="M1923" i="7"/>
  <c r="L1922" i="7"/>
  <c r="L1921" i="7"/>
  <c r="L1920" i="7"/>
  <c r="L1919" i="7"/>
  <c r="L1918" i="7"/>
  <c r="L1917" i="7"/>
  <c r="M1916" i="7"/>
  <c r="M1915" i="7"/>
  <c r="L1915" i="7"/>
  <c r="M1914" i="7"/>
  <c r="L1914" i="7"/>
  <c r="L1913" i="7"/>
  <c r="M1912" i="7"/>
  <c r="L1912" i="7"/>
  <c r="M1911" i="7"/>
  <c r="L1911" i="7"/>
  <c r="M1910" i="7"/>
  <c r="L1910" i="7"/>
  <c r="L1909" i="7"/>
  <c r="M1908" i="7"/>
  <c r="L1908" i="7"/>
  <c r="M1907" i="7"/>
  <c r="L1907" i="7"/>
  <c r="M1906" i="7"/>
  <c r="L1906" i="7"/>
  <c r="M1905" i="7"/>
  <c r="L1905" i="7"/>
  <c r="L1904" i="7"/>
  <c r="M1903" i="7"/>
  <c r="L1903" i="7"/>
  <c r="L1902" i="7"/>
  <c r="M1901" i="7"/>
  <c r="L1901" i="7"/>
  <c r="M1900" i="7"/>
  <c r="M1899" i="7"/>
  <c r="M1898" i="7"/>
  <c r="L1898" i="7"/>
  <c r="M1897" i="7"/>
  <c r="L1897" i="7"/>
  <c r="M1896" i="7"/>
  <c r="L1896" i="7"/>
  <c r="L1895" i="7"/>
  <c r="M1894" i="7"/>
  <c r="L1894" i="7"/>
  <c r="M1893" i="7"/>
  <c r="M1892" i="7"/>
  <c r="L1892" i="7"/>
  <c r="M1891" i="7"/>
  <c r="L1891" i="7"/>
  <c r="M1890" i="7"/>
  <c r="L1890" i="7"/>
  <c r="M1889" i="7"/>
  <c r="M1888" i="7"/>
  <c r="L1888" i="7"/>
  <c r="M1887" i="7"/>
  <c r="L1887" i="7"/>
  <c r="M1886" i="7"/>
  <c r="M1885" i="7"/>
  <c r="M1884" i="7"/>
  <c r="L1884" i="7"/>
  <c r="L1883" i="7"/>
  <c r="M1882" i="7"/>
  <c r="L1882" i="7"/>
  <c r="M1881" i="7"/>
  <c r="L1881" i="7"/>
  <c r="M1880" i="7"/>
  <c r="M1879" i="7"/>
  <c r="L1879" i="7"/>
  <c r="M1878" i="7"/>
  <c r="M1877" i="7"/>
  <c r="L1877" i="7"/>
  <c r="L1876" i="7"/>
  <c r="M1875" i="7"/>
  <c r="L1875" i="7"/>
  <c r="M1874" i="7"/>
  <c r="L1874" i="7"/>
  <c r="M1873" i="7"/>
  <c r="L1873" i="7"/>
  <c r="M1872" i="7"/>
  <c r="L1872" i="7"/>
  <c r="M1871" i="7"/>
  <c r="L1871" i="7"/>
  <c r="M1870" i="7"/>
  <c r="L1870" i="7"/>
  <c r="M1869" i="7"/>
  <c r="L1869" i="7"/>
  <c r="M1868" i="7"/>
  <c r="L1868" i="7"/>
  <c r="M1867" i="7"/>
  <c r="L1867" i="7"/>
  <c r="M1866" i="7"/>
  <c r="L1866" i="7"/>
  <c r="M1865" i="7"/>
  <c r="L1865" i="7"/>
  <c r="M1864" i="7"/>
  <c r="L1864" i="7"/>
  <c r="M1863" i="7"/>
  <c r="L1863" i="7"/>
  <c r="M1862" i="7"/>
  <c r="L1862" i="7"/>
  <c r="M1861" i="7"/>
  <c r="L1861" i="7"/>
  <c r="M1860" i="7"/>
  <c r="L1860" i="7"/>
  <c r="M1859" i="7"/>
  <c r="L1859" i="7"/>
  <c r="M1858" i="7"/>
  <c r="L1858" i="7"/>
  <c r="M1857" i="7"/>
  <c r="L1857" i="7"/>
  <c r="M1856" i="7"/>
  <c r="L1856" i="7"/>
  <c r="M1855" i="7"/>
  <c r="L1855" i="7"/>
  <c r="M1854" i="7"/>
  <c r="L1854" i="7"/>
  <c r="M1853" i="7"/>
  <c r="L1853" i="7"/>
  <c r="M1852" i="7"/>
  <c r="L1852" i="7"/>
  <c r="M1851" i="7"/>
  <c r="L1851" i="7"/>
  <c r="M1850" i="7"/>
  <c r="L1850" i="7"/>
  <c r="M1849" i="7"/>
  <c r="L1849" i="7"/>
  <c r="M1848" i="7"/>
  <c r="L1848" i="7"/>
  <c r="M1847" i="7"/>
  <c r="L1847" i="7"/>
  <c r="M1846" i="7"/>
  <c r="L1846" i="7"/>
  <c r="M1845" i="7"/>
  <c r="L1845" i="7"/>
  <c r="M1844" i="7"/>
  <c r="L1844" i="7"/>
  <c r="M1843" i="7"/>
  <c r="L1843" i="7"/>
  <c r="M1842" i="7"/>
  <c r="L1842" i="7"/>
  <c r="M1841" i="7"/>
  <c r="L1841" i="7"/>
  <c r="M1840" i="7"/>
  <c r="L1840" i="7"/>
  <c r="M1839" i="7"/>
  <c r="L1839" i="7"/>
  <c r="M1838" i="7"/>
  <c r="L1838" i="7"/>
  <c r="M1837" i="7"/>
  <c r="L1837" i="7"/>
  <c r="L1836" i="7"/>
  <c r="M1835" i="7"/>
  <c r="L1835" i="7"/>
  <c r="M1834" i="7"/>
  <c r="L1834" i="7"/>
  <c r="L1833" i="7"/>
  <c r="L1832" i="7"/>
  <c r="M1831" i="7"/>
  <c r="L1831" i="7"/>
  <c r="M1830" i="7"/>
  <c r="L1830" i="7"/>
  <c r="M1829" i="7"/>
  <c r="L1829" i="7"/>
  <c r="L1828" i="7"/>
  <c r="M1827" i="7"/>
  <c r="L1827" i="7"/>
  <c r="M1826" i="7"/>
  <c r="L1826" i="7"/>
  <c r="L1825" i="7"/>
  <c r="L1824" i="7"/>
  <c r="M1823" i="7"/>
  <c r="L1823" i="7"/>
  <c r="M1822" i="7"/>
  <c r="L1822" i="7"/>
  <c r="L1821" i="7"/>
  <c r="M1820" i="7"/>
  <c r="M1819" i="7"/>
  <c r="M1818" i="7"/>
  <c r="M1817" i="7"/>
  <c r="L1817" i="7"/>
  <c r="M1816" i="7"/>
  <c r="L1815" i="7"/>
  <c r="M1814" i="7"/>
  <c r="L1814" i="7"/>
  <c r="M1813" i="7"/>
  <c r="L1813" i="7"/>
  <c r="M1812" i="7"/>
  <c r="L1812" i="7"/>
  <c r="L1811" i="7"/>
  <c r="L1810" i="7"/>
  <c r="L1809" i="7"/>
  <c r="M1808" i="7"/>
  <c r="M1807" i="7"/>
  <c r="L1807" i="7"/>
  <c r="L1806" i="7"/>
  <c r="L1805" i="7"/>
  <c r="M1804" i="7"/>
  <c r="L1804" i="7"/>
  <c r="M1803" i="7"/>
  <c r="L1803" i="7"/>
  <c r="M1802" i="7"/>
  <c r="L1802" i="7"/>
  <c r="M1801" i="7"/>
  <c r="L1801" i="7"/>
  <c r="M1800" i="7"/>
  <c r="L1800" i="7"/>
  <c r="M1799" i="7"/>
  <c r="L1799" i="7"/>
  <c r="M1798" i="7"/>
  <c r="L1797" i="7"/>
  <c r="M1796" i="7"/>
  <c r="M1795" i="7"/>
  <c r="M1794" i="7"/>
  <c r="L1794" i="7"/>
  <c r="L1793" i="7"/>
  <c r="L1792" i="7"/>
  <c r="M1791" i="7"/>
  <c r="L1791" i="7"/>
  <c r="L1790" i="7"/>
  <c r="L1789" i="7"/>
  <c r="L1788" i="7"/>
  <c r="M1787" i="7"/>
  <c r="L1787" i="7"/>
  <c r="M1786" i="7"/>
  <c r="M1785" i="7"/>
  <c r="L1785" i="7"/>
  <c r="M1784" i="7"/>
  <c r="M1783" i="7"/>
  <c r="L1783" i="7"/>
  <c r="L1782" i="7"/>
  <c r="M1781" i="7"/>
  <c r="L1781" i="7"/>
  <c r="L1780" i="7"/>
  <c r="M1779" i="7"/>
  <c r="L1779" i="7"/>
  <c r="M1778" i="7"/>
  <c r="L1778" i="7"/>
  <c r="L1777" i="7"/>
  <c r="M1776" i="7"/>
  <c r="M1775" i="7"/>
  <c r="M1774" i="7"/>
  <c r="M1773" i="7"/>
  <c r="L1773" i="7"/>
  <c r="M1772" i="7"/>
  <c r="L1772" i="7"/>
  <c r="M1771" i="7"/>
  <c r="L1771" i="7"/>
  <c r="M1770" i="7"/>
  <c r="L1770" i="7"/>
  <c r="M1769" i="7"/>
  <c r="L1769" i="7"/>
  <c r="M1768" i="7"/>
  <c r="L1768" i="7"/>
  <c r="L1767" i="7"/>
  <c r="M1766" i="7"/>
  <c r="L1766" i="7"/>
  <c r="M1765" i="7"/>
  <c r="L1765" i="7"/>
  <c r="M1764" i="7"/>
  <c r="L1764" i="7"/>
  <c r="M1763" i="7"/>
  <c r="L1763" i="7"/>
  <c r="M1762" i="7"/>
  <c r="M1761" i="7"/>
  <c r="L1761" i="7"/>
  <c r="M1760" i="7"/>
  <c r="L1760" i="7"/>
  <c r="M1759" i="7"/>
  <c r="M1758" i="7"/>
  <c r="L1758" i="7"/>
  <c r="M1757" i="7"/>
  <c r="L1757" i="7"/>
  <c r="M1756" i="7"/>
  <c r="L1756" i="7"/>
  <c r="M1755" i="7"/>
  <c r="L1755" i="7"/>
  <c r="M1754" i="7"/>
  <c r="L1754" i="7"/>
  <c r="M1753" i="7"/>
  <c r="L1753" i="7"/>
  <c r="M1752" i="7"/>
  <c r="L1752" i="7"/>
  <c r="M1751" i="7"/>
  <c r="L1751" i="7"/>
  <c r="M1750" i="7"/>
  <c r="L1750" i="7"/>
  <c r="M1749" i="7"/>
  <c r="M1748" i="7"/>
  <c r="M1747" i="7"/>
  <c r="L1747" i="7"/>
  <c r="M1746" i="7"/>
  <c r="L1746" i="7"/>
  <c r="L1745" i="7"/>
  <c r="L1744" i="7"/>
  <c r="L1743" i="7"/>
  <c r="M1742" i="7"/>
  <c r="M1741" i="7"/>
  <c r="M1740" i="7"/>
  <c r="L1740" i="7"/>
  <c r="M1739" i="7"/>
  <c r="L1739" i="7"/>
  <c r="L1738" i="7"/>
  <c r="M1737" i="7"/>
  <c r="L1737" i="7"/>
  <c r="M1736" i="7"/>
  <c r="L1736" i="7"/>
  <c r="M1735" i="7"/>
  <c r="M1734" i="7"/>
  <c r="M1733" i="7"/>
  <c r="L1733" i="7"/>
  <c r="M1732" i="7"/>
  <c r="L1732" i="7"/>
  <c r="M1731" i="7"/>
  <c r="L1730" i="7"/>
  <c r="L1729" i="7"/>
  <c r="M1728" i="7"/>
  <c r="L1728" i="7"/>
  <c r="M1727" i="7"/>
  <c r="L1727" i="7"/>
  <c r="M1726" i="7"/>
  <c r="L1726" i="7"/>
  <c r="L1725" i="7"/>
  <c r="L1724" i="7"/>
  <c r="L1723" i="7"/>
  <c r="M1722" i="7"/>
  <c r="L1721" i="7"/>
  <c r="M1720" i="7"/>
  <c r="L1720" i="7"/>
  <c r="L1719" i="7"/>
  <c r="L1718" i="7"/>
  <c r="M1717" i="7"/>
  <c r="L1717" i="7"/>
  <c r="L1716" i="7"/>
  <c r="M1715" i="7"/>
  <c r="M1714" i="7"/>
  <c r="L1714" i="7"/>
  <c r="L1713" i="7"/>
  <c r="M1712" i="7"/>
  <c r="L1712" i="7"/>
  <c r="M1711" i="7"/>
  <c r="M1710" i="7"/>
  <c r="L1709" i="7"/>
  <c r="M1708" i="7"/>
  <c r="L1708" i="7"/>
  <c r="M1707" i="7"/>
  <c r="M1706" i="7"/>
  <c r="L1706" i="7"/>
  <c r="L1705" i="7"/>
  <c r="L1704" i="7"/>
  <c r="M1703" i="7"/>
  <c r="M1702" i="7"/>
  <c r="M1701" i="7"/>
  <c r="M1700" i="7"/>
  <c r="L1699" i="7"/>
  <c r="M1698" i="7"/>
  <c r="M1697" i="7"/>
  <c r="M1696" i="7"/>
  <c r="L1696" i="7"/>
  <c r="M1695" i="7"/>
  <c r="L1695" i="7"/>
  <c r="M1694" i="7"/>
  <c r="M1693" i="7"/>
  <c r="L1692" i="7"/>
  <c r="M1691" i="7"/>
  <c r="L1691" i="7"/>
  <c r="M1690" i="7"/>
  <c r="L1690" i="7"/>
  <c r="M1689" i="7"/>
  <c r="L1689" i="7"/>
  <c r="M1688" i="7"/>
  <c r="M1687" i="7"/>
  <c r="M1686" i="7"/>
  <c r="M1685" i="7"/>
  <c r="M1684" i="7"/>
  <c r="L1684" i="7"/>
  <c r="M1683" i="7"/>
  <c r="L1683" i="7"/>
  <c r="L1682" i="7"/>
  <c r="M1681" i="7"/>
  <c r="L1681" i="7"/>
  <c r="M1680" i="7"/>
  <c r="M1679" i="7"/>
  <c r="L1679" i="7"/>
  <c r="M1678" i="7"/>
  <c r="L1678" i="7"/>
  <c r="L1677" i="7"/>
  <c r="M1676" i="7"/>
  <c r="L1675" i="7"/>
  <c r="M1674" i="7"/>
  <c r="L1673" i="7"/>
  <c r="M1672" i="7"/>
  <c r="L1672" i="7"/>
  <c r="M1671" i="7"/>
  <c r="L1671" i="7"/>
  <c r="L1670" i="7"/>
  <c r="M1669" i="7"/>
  <c r="L1669" i="7"/>
  <c r="M1668" i="7"/>
  <c r="L1667" i="7"/>
  <c r="M1666" i="7"/>
  <c r="L1665" i="7"/>
  <c r="M1664" i="7"/>
  <c r="M1663" i="7"/>
  <c r="L1663" i="7"/>
  <c r="M1662" i="7"/>
  <c r="L1662" i="7"/>
  <c r="M1661" i="7"/>
  <c r="L1661" i="7"/>
  <c r="M1660" i="7"/>
  <c r="L1660" i="7"/>
  <c r="L1659" i="7"/>
  <c r="M1658" i="7"/>
  <c r="L1658" i="7"/>
  <c r="M1657" i="7"/>
  <c r="L1657" i="7"/>
  <c r="M1656" i="7"/>
  <c r="L1656" i="7"/>
  <c r="M1655" i="7"/>
  <c r="L1655" i="7"/>
  <c r="M1654" i="7"/>
  <c r="L1654" i="7"/>
  <c r="L1653" i="7"/>
  <c r="M1652" i="7"/>
  <c r="L1652" i="7"/>
  <c r="M1651" i="7"/>
  <c r="L1651" i="7"/>
  <c r="M1650" i="7"/>
  <c r="L1650" i="7"/>
  <c r="M1649" i="7"/>
  <c r="L1649" i="7"/>
  <c r="M1648" i="7"/>
  <c r="L1648" i="7"/>
  <c r="M1647" i="7"/>
  <c r="L1647" i="7"/>
  <c r="M1646" i="7"/>
  <c r="L1646" i="7"/>
  <c r="M1645" i="7"/>
  <c r="L1645" i="7"/>
  <c r="M1644" i="7"/>
  <c r="L1644" i="7"/>
  <c r="M1643" i="7"/>
  <c r="L1643" i="7"/>
  <c r="M1642" i="7"/>
  <c r="L1642" i="7"/>
  <c r="L1641" i="7"/>
  <c r="L1640" i="7"/>
  <c r="L1639" i="7"/>
  <c r="L1638" i="7"/>
  <c r="M1637" i="7"/>
  <c r="L1637" i="7"/>
  <c r="M1636" i="7"/>
  <c r="L1636" i="7"/>
  <c r="L1635" i="7"/>
  <c r="M1634" i="7"/>
  <c r="L1634" i="7"/>
  <c r="M1633" i="7"/>
  <c r="L1633" i="7"/>
  <c r="M1632" i="7"/>
  <c r="L1632" i="7"/>
  <c r="M1631" i="7"/>
  <c r="L1631" i="7"/>
  <c r="M1630" i="7"/>
  <c r="L1630" i="7"/>
  <c r="M1629" i="7"/>
  <c r="M1628" i="7"/>
  <c r="M1627" i="7"/>
  <c r="L1627" i="7"/>
  <c r="M1626" i="7"/>
  <c r="M1625" i="7"/>
  <c r="M1624" i="7"/>
  <c r="L1624" i="7"/>
  <c r="M1623" i="7"/>
  <c r="L1623" i="7"/>
  <c r="M1622" i="7"/>
  <c r="L1622" i="7"/>
  <c r="L1621" i="7"/>
  <c r="L1620" i="7"/>
  <c r="M1619" i="7"/>
  <c r="L1619" i="7"/>
  <c r="M1618" i="7"/>
  <c r="L1618" i="7"/>
  <c r="M1617" i="7"/>
  <c r="M1616" i="7"/>
  <c r="L1615" i="7"/>
  <c r="M1614" i="7"/>
  <c r="M1613" i="7"/>
  <c r="L1613" i="7"/>
  <c r="L1612" i="7"/>
  <c r="L1611" i="7"/>
  <c r="M1610" i="7"/>
  <c r="M1609" i="7"/>
  <c r="L1609" i="7"/>
  <c r="M1608" i="7"/>
  <c r="L1607" i="7"/>
  <c r="L1606" i="7"/>
  <c r="M1605" i="7"/>
  <c r="L1605" i="7"/>
  <c r="M1604" i="7"/>
  <c r="L1604" i="7"/>
  <c r="M1603" i="7"/>
  <c r="M1602" i="7"/>
  <c r="L1602" i="7"/>
  <c r="M1601" i="7"/>
  <c r="M1600" i="7"/>
  <c r="M1599" i="7"/>
  <c r="L1599" i="7"/>
  <c r="M1598" i="7"/>
  <c r="L1598" i="7"/>
  <c r="M1597" i="7"/>
  <c r="L1597" i="7"/>
  <c r="M1596" i="7"/>
  <c r="L1596" i="7"/>
  <c r="M1595" i="7"/>
  <c r="L1595" i="7"/>
  <c r="M1594" i="7"/>
  <c r="L1594" i="7"/>
  <c r="L1593" i="7"/>
  <c r="M1592" i="7"/>
  <c r="L1592" i="7"/>
  <c r="L1591" i="7"/>
  <c r="M1590" i="7"/>
  <c r="L1590" i="7"/>
  <c r="L1589" i="7"/>
  <c r="L1588" i="7"/>
  <c r="M1587" i="7"/>
  <c r="M1586" i="7"/>
  <c r="L1586" i="7"/>
  <c r="M1585" i="7"/>
  <c r="L1585" i="7"/>
  <c r="L1584" i="7"/>
  <c r="L1583" i="7"/>
  <c r="L1582" i="7"/>
  <c r="M1581" i="7"/>
  <c r="L1581" i="7"/>
  <c r="M1580" i="7"/>
  <c r="L1580" i="7"/>
  <c r="M1579" i="7"/>
  <c r="L1579" i="7"/>
  <c r="M1578" i="7"/>
  <c r="L1578" i="7"/>
  <c r="M1577" i="7"/>
  <c r="L1577" i="7"/>
  <c r="M1576" i="7"/>
  <c r="L1576" i="7"/>
  <c r="M1575" i="7"/>
  <c r="L1575" i="7"/>
  <c r="M1574" i="7"/>
  <c r="L1574" i="7"/>
  <c r="M1573" i="7"/>
  <c r="L1573" i="7"/>
  <c r="M1572" i="7"/>
  <c r="L1572" i="7"/>
  <c r="M1571" i="7"/>
  <c r="M1570" i="7"/>
  <c r="M1569" i="7"/>
  <c r="M1568" i="7"/>
  <c r="M1567" i="7"/>
  <c r="L1567" i="7"/>
  <c r="M1566" i="7"/>
  <c r="L1566" i="7"/>
  <c r="M1565" i="7"/>
  <c r="L1565" i="7"/>
  <c r="M1564" i="7"/>
  <c r="L1564" i="7"/>
  <c r="M1563" i="7"/>
  <c r="L1563" i="7"/>
  <c r="M1562" i="7"/>
  <c r="L1562" i="7"/>
  <c r="M1561" i="7"/>
  <c r="L1561" i="7"/>
  <c r="M1560" i="7"/>
  <c r="L1560" i="7"/>
  <c r="M1559" i="7"/>
  <c r="L1559" i="7"/>
  <c r="M1558" i="7"/>
  <c r="L1558" i="7"/>
  <c r="M1557" i="7"/>
  <c r="L1557" i="7"/>
  <c r="M1556" i="7"/>
  <c r="L1556" i="7"/>
  <c r="M1555" i="7"/>
  <c r="L1555" i="7"/>
  <c r="M1554" i="7"/>
  <c r="L1554" i="7"/>
  <c r="M1553" i="7"/>
  <c r="L1553" i="7"/>
  <c r="M1552" i="7"/>
  <c r="L1552" i="7"/>
  <c r="M1551" i="7"/>
  <c r="L1551" i="7"/>
  <c r="M1550" i="7"/>
  <c r="L1550" i="7"/>
  <c r="M1549" i="7"/>
  <c r="L1549" i="7"/>
  <c r="M1548" i="7"/>
  <c r="L1548" i="7"/>
  <c r="M1547" i="7"/>
  <c r="L1547" i="7"/>
  <c r="M1546" i="7"/>
  <c r="L1546" i="7"/>
  <c r="M1545" i="7"/>
  <c r="L1545" i="7"/>
  <c r="M1544" i="7"/>
  <c r="L1544" i="7"/>
  <c r="M1543" i="7"/>
  <c r="L1543" i="7"/>
  <c r="M1542" i="7"/>
  <c r="L1542" i="7"/>
  <c r="M1541" i="7"/>
  <c r="L1541" i="7"/>
  <c r="M1540" i="7"/>
  <c r="L1540" i="7"/>
  <c r="M1539" i="7"/>
  <c r="L1539" i="7"/>
  <c r="M1538" i="7"/>
  <c r="L1538" i="7"/>
  <c r="M1537" i="7"/>
  <c r="L1537" i="7"/>
  <c r="M1536" i="7"/>
  <c r="L1536" i="7"/>
  <c r="M1535" i="7"/>
  <c r="L1535" i="7"/>
  <c r="M1534" i="7"/>
  <c r="L1534" i="7"/>
  <c r="M1533" i="7"/>
  <c r="L1533" i="7"/>
  <c r="M1532" i="7"/>
  <c r="L1532" i="7"/>
  <c r="M1531" i="7"/>
  <c r="L1531" i="7"/>
  <c r="M1530" i="7"/>
  <c r="L1530" i="7"/>
  <c r="M1529" i="7"/>
  <c r="L1529" i="7"/>
  <c r="M1528" i="7"/>
  <c r="L1528" i="7"/>
  <c r="M1527" i="7"/>
  <c r="L1527" i="7"/>
  <c r="M1526" i="7"/>
  <c r="L1526" i="7"/>
  <c r="M1525" i="7"/>
  <c r="L1525" i="7"/>
  <c r="M1524" i="7"/>
  <c r="L1524" i="7"/>
  <c r="M1523" i="7"/>
  <c r="L1523" i="7"/>
  <c r="M1522" i="7"/>
  <c r="L1522" i="7"/>
  <c r="M1521" i="7"/>
  <c r="L1521" i="7"/>
  <c r="M1520" i="7"/>
  <c r="L1520" i="7"/>
  <c r="M1519" i="7"/>
  <c r="L1519" i="7"/>
  <c r="M1518" i="7"/>
  <c r="L1518" i="7"/>
  <c r="M1517" i="7"/>
  <c r="L1517" i="7"/>
  <c r="M1516" i="7"/>
  <c r="L1516" i="7"/>
  <c r="M1515" i="7"/>
  <c r="L1515" i="7"/>
  <c r="M1514" i="7"/>
  <c r="L1514" i="7"/>
  <c r="M1513" i="7"/>
  <c r="L1513" i="7"/>
  <c r="M1512" i="7"/>
  <c r="L1512" i="7"/>
  <c r="M1511" i="7"/>
  <c r="L1511" i="7"/>
  <c r="M1510" i="7"/>
  <c r="L1510" i="7"/>
  <c r="M1509" i="7"/>
  <c r="L1509" i="7"/>
  <c r="M1508" i="7"/>
  <c r="L1508" i="7"/>
  <c r="M1507" i="7"/>
  <c r="L1507" i="7"/>
  <c r="M1506" i="7"/>
  <c r="L1506" i="7"/>
  <c r="M1505" i="7"/>
  <c r="L1505" i="7"/>
  <c r="M1504" i="7"/>
  <c r="L1504" i="7"/>
  <c r="M1503" i="7"/>
  <c r="L1503" i="7"/>
  <c r="M1502" i="7"/>
  <c r="L1502" i="7"/>
  <c r="M1501" i="7"/>
  <c r="L1501" i="7"/>
  <c r="M1500" i="7"/>
  <c r="L1500" i="7"/>
  <c r="M1499" i="7"/>
  <c r="L1499" i="7"/>
  <c r="M1498" i="7"/>
  <c r="L1498" i="7"/>
  <c r="M1497" i="7"/>
  <c r="L1497" i="7"/>
  <c r="M1496" i="7"/>
  <c r="L1496" i="7"/>
  <c r="M1495" i="7"/>
  <c r="L1495" i="7"/>
  <c r="M1494" i="7"/>
  <c r="L1494" i="7"/>
  <c r="M1493" i="7"/>
  <c r="L1493" i="7"/>
  <c r="M1492" i="7"/>
  <c r="L1492" i="7"/>
  <c r="M1491" i="7"/>
  <c r="L1491" i="7"/>
  <c r="M1490" i="7"/>
  <c r="L1490" i="7"/>
  <c r="M1489" i="7"/>
  <c r="L1489" i="7"/>
  <c r="M1488" i="7"/>
  <c r="L1488" i="7"/>
  <c r="M1487" i="7"/>
  <c r="L1487" i="7"/>
  <c r="M1486" i="7"/>
  <c r="L1486" i="7"/>
  <c r="M1485" i="7"/>
  <c r="L1485" i="7"/>
  <c r="M1484" i="7"/>
  <c r="L1484" i="7"/>
  <c r="M1483" i="7"/>
  <c r="L1483" i="7"/>
  <c r="M1482" i="7"/>
  <c r="L1482" i="7"/>
  <c r="M1481" i="7"/>
  <c r="L1481" i="7"/>
  <c r="M1480" i="7"/>
  <c r="L1480" i="7"/>
  <c r="M1479" i="7"/>
  <c r="L1479" i="7"/>
  <c r="M1478" i="7"/>
  <c r="L1478" i="7"/>
  <c r="M1477" i="7"/>
  <c r="L1477" i="7"/>
  <c r="M1476" i="7"/>
  <c r="L1476" i="7"/>
  <c r="M1475" i="7"/>
  <c r="L1475" i="7"/>
  <c r="M1474" i="7"/>
  <c r="L1474" i="7"/>
  <c r="M1473" i="7"/>
  <c r="L1473" i="7"/>
  <c r="M1472" i="7"/>
  <c r="L1472" i="7"/>
  <c r="M1471" i="7"/>
  <c r="L1471" i="7"/>
  <c r="M1470" i="7"/>
  <c r="L1470" i="7"/>
  <c r="M1469" i="7"/>
  <c r="L1469" i="7"/>
  <c r="M1468" i="7"/>
  <c r="L1468" i="7"/>
  <c r="L1467" i="7"/>
  <c r="M1466" i="7"/>
  <c r="L1466" i="7"/>
  <c r="M1465" i="7"/>
  <c r="L1465" i="7"/>
  <c r="M1464" i="7"/>
  <c r="L1464" i="7"/>
  <c r="M1463" i="7"/>
  <c r="L1463" i="7"/>
  <c r="M1462" i="7"/>
  <c r="L1462" i="7"/>
  <c r="M1461" i="7"/>
  <c r="L1461" i="7"/>
  <c r="M1460" i="7"/>
  <c r="L1460" i="7"/>
  <c r="M1459" i="7"/>
  <c r="L1459" i="7"/>
  <c r="M1458" i="7"/>
  <c r="L1458" i="7"/>
  <c r="L1457" i="7"/>
  <c r="M1456" i="7"/>
  <c r="L1456" i="7"/>
  <c r="M1455" i="7"/>
  <c r="L1455" i="7"/>
  <c r="M1454" i="7"/>
  <c r="L1454" i="7"/>
  <c r="M1453" i="7"/>
  <c r="L1453" i="7"/>
  <c r="M1452" i="7"/>
  <c r="L1452" i="7"/>
  <c r="M1451" i="7"/>
  <c r="L1451" i="7"/>
  <c r="M1450" i="7"/>
  <c r="L1450" i="7"/>
  <c r="M1449" i="7"/>
  <c r="L1449" i="7"/>
  <c r="M1448" i="7"/>
  <c r="L1448" i="7"/>
  <c r="M1447" i="7"/>
  <c r="L1447" i="7"/>
  <c r="M1446" i="7"/>
  <c r="L1446" i="7"/>
  <c r="M1445" i="7"/>
  <c r="L1445" i="7"/>
  <c r="L1444" i="7"/>
  <c r="M1443" i="7"/>
  <c r="L1442" i="7"/>
  <c r="L1441" i="7"/>
  <c r="L1440" i="7"/>
  <c r="M1439" i="7"/>
  <c r="M1438" i="7"/>
  <c r="M1437" i="7"/>
  <c r="L1437" i="7"/>
  <c r="L1436" i="7"/>
  <c r="M1435" i="7"/>
  <c r="L1434" i="7"/>
  <c r="M1433" i="7"/>
  <c r="L1433" i="7"/>
  <c r="L1432" i="7"/>
  <c r="L1431" i="7"/>
  <c r="M1430" i="7"/>
  <c r="L1430" i="7"/>
  <c r="M1429" i="7"/>
  <c r="M1428" i="7"/>
  <c r="L1428" i="7"/>
  <c r="M1427" i="7"/>
  <c r="L1427" i="7"/>
  <c r="M1426" i="7"/>
  <c r="L1426" i="7"/>
  <c r="M1425" i="7"/>
  <c r="L1425" i="7"/>
  <c r="L1424" i="7"/>
  <c r="M1423" i="7"/>
  <c r="L1423" i="7"/>
  <c r="M1422" i="7"/>
  <c r="L1422" i="7"/>
  <c r="M1421" i="7"/>
  <c r="L1421" i="7"/>
  <c r="L1420" i="7"/>
  <c r="M1419" i="7"/>
  <c r="L1419" i="7"/>
  <c r="M1418" i="7"/>
  <c r="L1418" i="7"/>
  <c r="M1417" i="7"/>
  <c r="L1417" i="7"/>
  <c r="M1416" i="7"/>
  <c r="M1415" i="7"/>
  <c r="L1415" i="7"/>
  <c r="M1414" i="7"/>
  <c r="L1414" i="7"/>
  <c r="M1413" i="7"/>
  <c r="M1412" i="7"/>
  <c r="M1411" i="7"/>
  <c r="M1410" i="7"/>
  <c r="L1410" i="7"/>
  <c r="M1409" i="7"/>
  <c r="M1408" i="7"/>
  <c r="L1408" i="7"/>
  <c r="L1407" i="7"/>
  <c r="M1406" i="7"/>
  <c r="M1405" i="7"/>
  <c r="M1404" i="7"/>
  <c r="L1404" i="7"/>
  <c r="L1403" i="7"/>
  <c r="M1402" i="7"/>
  <c r="M1401" i="7"/>
  <c r="L1401" i="7"/>
  <c r="M1400" i="7"/>
  <c r="M1399" i="7"/>
  <c r="L1399" i="7"/>
  <c r="M1398" i="7"/>
  <c r="L1398" i="7"/>
  <c r="M1397" i="7"/>
  <c r="M1396" i="7"/>
  <c r="M1395" i="7"/>
  <c r="L1395" i="7"/>
  <c r="M1394" i="7"/>
  <c r="L1394" i="7"/>
  <c r="L1393" i="7"/>
  <c r="M1392" i="7"/>
  <c r="L1392" i="7"/>
  <c r="M1391" i="7"/>
  <c r="L1391" i="7"/>
  <c r="M1390" i="7"/>
  <c r="M1389" i="7"/>
  <c r="L1389" i="7"/>
  <c r="M1388" i="7"/>
  <c r="L1388" i="7"/>
  <c r="L1387" i="7"/>
  <c r="M1386" i="7"/>
  <c r="L1386" i="7"/>
  <c r="M1385" i="7"/>
  <c r="L1385" i="7"/>
  <c r="M1384" i="7"/>
  <c r="L1384" i="7"/>
  <c r="L1383" i="7"/>
  <c r="M1382" i="7"/>
  <c r="L1382" i="7"/>
  <c r="M1381" i="7"/>
  <c r="L1381" i="7"/>
  <c r="M1380" i="7"/>
  <c r="L1380" i="7"/>
  <c r="M1379" i="7"/>
  <c r="L1379" i="7"/>
  <c r="M1378" i="7"/>
  <c r="L1377" i="7"/>
  <c r="M1376" i="7"/>
  <c r="L1376" i="7"/>
  <c r="M1375" i="7"/>
  <c r="M1374" i="7"/>
  <c r="L1374" i="7"/>
  <c r="M1373" i="7"/>
  <c r="M1372" i="7"/>
  <c r="L1372" i="7"/>
  <c r="M1371" i="7"/>
  <c r="L1371" i="7"/>
  <c r="M1370" i="7"/>
  <c r="M1369" i="7"/>
  <c r="L1369" i="7"/>
  <c r="L1368" i="7"/>
  <c r="M1367" i="7"/>
  <c r="L1367" i="7"/>
  <c r="M1366" i="7"/>
  <c r="L1366" i="7"/>
  <c r="M1365" i="7"/>
  <c r="M1364" i="7"/>
  <c r="L1364" i="7"/>
  <c r="M1363" i="7"/>
  <c r="L1363" i="7"/>
  <c r="M1362" i="7"/>
  <c r="L1362" i="7"/>
  <c r="M1361" i="7"/>
  <c r="L1361" i="7"/>
  <c r="M1360" i="7"/>
  <c r="L1360" i="7"/>
  <c r="M1359" i="7"/>
  <c r="L1359" i="7"/>
  <c r="M1358" i="7"/>
  <c r="L1358" i="7"/>
  <c r="M1357" i="7"/>
  <c r="L1357" i="7"/>
  <c r="M1356" i="7"/>
  <c r="L1356" i="7"/>
  <c r="M1355" i="7"/>
  <c r="L1355" i="7"/>
  <c r="M1354" i="7"/>
  <c r="L1354" i="7"/>
  <c r="M1353" i="7"/>
  <c r="M1352" i="7"/>
  <c r="L1352" i="7"/>
  <c r="M1351" i="7"/>
  <c r="L1351" i="7"/>
  <c r="M1350" i="7"/>
  <c r="L1350" i="7"/>
  <c r="M1349" i="7"/>
  <c r="L1349" i="7"/>
  <c r="M1348" i="7"/>
  <c r="L1348" i="7"/>
  <c r="M1347" i="7"/>
  <c r="M1346" i="7"/>
  <c r="M1345" i="7"/>
  <c r="L1345" i="7"/>
  <c r="M1344" i="7"/>
  <c r="M1343" i="7"/>
  <c r="M1342" i="7"/>
  <c r="L1342" i="7"/>
  <c r="M1341" i="7"/>
  <c r="L1341" i="7"/>
  <c r="M1340" i="7"/>
  <c r="M1339" i="7"/>
  <c r="L1339" i="7"/>
  <c r="M1338" i="7"/>
  <c r="M1337" i="7"/>
  <c r="M1336" i="7"/>
  <c r="L1336" i="7"/>
  <c r="M1335" i="7"/>
  <c r="L1335" i="7"/>
  <c r="M1334" i="7"/>
  <c r="M1333" i="7"/>
  <c r="L1333" i="7"/>
  <c r="M1332" i="7"/>
  <c r="M1331" i="7"/>
  <c r="L1331" i="7"/>
  <c r="M1330" i="7"/>
  <c r="L1330" i="7"/>
  <c r="M1329" i="7"/>
  <c r="L1329" i="7"/>
  <c r="M1328" i="7"/>
  <c r="L1328" i="7"/>
  <c r="M1327" i="7"/>
  <c r="L1327" i="7"/>
  <c r="M1326" i="7"/>
  <c r="L1326" i="7"/>
  <c r="M1325" i="7"/>
  <c r="L1325" i="7"/>
  <c r="M1324" i="7"/>
  <c r="L1324" i="7"/>
  <c r="M1323" i="7"/>
  <c r="L1323" i="7"/>
  <c r="M1322" i="7"/>
  <c r="L1322" i="7"/>
  <c r="M1321" i="7"/>
  <c r="L1321" i="7"/>
  <c r="M1320" i="7"/>
  <c r="L1320" i="7"/>
  <c r="M1319" i="7"/>
  <c r="L1319" i="7"/>
  <c r="M1318" i="7"/>
  <c r="L1318" i="7"/>
  <c r="M1317" i="7"/>
  <c r="L1317" i="7"/>
  <c r="M1316" i="7"/>
  <c r="L1316" i="7"/>
  <c r="M1315" i="7"/>
  <c r="L1315" i="7"/>
  <c r="M1314" i="7"/>
  <c r="L1314" i="7"/>
  <c r="L1313" i="7"/>
  <c r="M1312" i="7"/>
  <c r="M1311" i="7"/>
  <c r="L1311" i="7"/>
  <c r="M1310" i="7"/>
  <c r="L1310" i="7"/>
  <c r="M1309" i="7"/>
  <c r="L1309" i="7"/>
  <c r="M1308" i="7"/>
  <c r="L1308" i="7"/>
  <c r="M1307" i="7"/>
  <c r="L1307" i="7"/>
  <c r="M1306" i="7"/>
  <c r="L1306" i="7"/>
  <c r="L1305" i="7"/>
  <c r="M1304" i="7"/>
  <c r="L1304" i="7"/>
  <c r="L1303" i="7"/>
  <c r="M1302" i="7"/>
  <c r="M1301" i="7"/>
  <c r="L1301" i="7"/>
  <c r="M1300" i="7"/>
  <c r="L1300" i="7"/>
  <c r="M1299" i="7"/>
  <c r="M1298" i="7"/>
  <c r="L1298" i="7"/>
  <c r="M1297" i="7"/>
  <c r="L1297" i="7"/>
  <c r="M1296" i="7"/>
  <c r="L1296" i="7"/>
  <c r="M1295" i="7"/>
  <c r="M1294" i="7"/>
  <c r="M1293" i="7"/>
  <c r="L1293" i="7"/>
  <c r="M1292" i="7"/>
  <c r="L1292" i="7"/>
  <c r="L1291" i="7"/>
  <c r="L1290" i="7"/>
  <c r="M1289" i="7"/>
  <c r="L1289" i="7"/>
  <c r="M1288" i="7"/>
  <c r="L1288" i="7"/>
  <c r="M1287" i="7"/>
  <c r="L1287" i="7"/>
  <c r="M1286" i="7"/>
  <c r="L1286" i="7"/>
  <c r="M1285" i="7"/>
  <c r="L1285" i="7"/>
  <c r="M1284" i="7"/>
  <c r="L1284" i="7"/>
  <c r="M1283" i="7"/>
  <c r="L1283" i="7"/>
  <c r="M1282" i="7"/>
  <c r="L1282" i="7"/>
  <c r="M1281" i="7"/>
  <c r="L1281" i="7"/>
  <c r="M1280" i="7"/>
  <c r="L1280" i="7"/>
  <c r="M1279" i="7"/>
  <c r="L1279" i="7"/>
  <c r="M1278" i="7"/>
  <c r="L1278" i="7"/>
  <c r="M1277" i="7"/>
  <c r="L1277" i="7"/>
  <c r="M1276" i="7"/>
  <c r="L1276" i="7"/>
  <c r="M1275" i="7"/>
  <c r="L1275" i="7"/>
  <c r="L1274" i="7"/>
  <c r="M1273" i="7"/>
  <c r="M1272" i="7"/>
  <c r="L1272" i="7"/>
  <c r="L1271" i="7"/>
  <c r="L1270" i="7"/>
  <c r="L1269" i="7"/>
  <c r="M1268" i="7"/>
  <c r="L1268" i="7"/>
  <c r="L1267" i="7"/>
  <c r="M1266" i="7"/>
  <c r="L1265" i="7"/>
  <c r="L1264" i="7"/>
  <c r="M1263" i="7"/>
  <c r="M1262" i="7"/>
  <c r="L1262" i="7"/>
  <c r="M1261" i="7"/>
  <c r="L1261" i="7"/>
  <c r="M1260" i="7"/>
  <c r="M1259" i="7"/>
  <c r="L1259" i="7"/>
  <c r="M1258" i="7"/>
  <c r="M1257" i="7"/>
  <c r="L1256" i="7"/>
  <c r="M1255" i="7"/>
  <c r="L1255" i="7"/>
  <c r="L1254" i="7"/>
  <c r="M1253" i="7"/>
  <c r="L1253" i="7"/>
  <c r="L1252" i="7"/>
  <c r="M1251" i="7"/>
  <c r="L1251" i="7"/>
  <c r="L1250" i="7"/>
  <c r="M1249" i="7"/>
  <c r="L1249" i="7"/>
  <c r="L1248" i="7"/>
  <c r="M1247" i="7"/>
  <c r="M1246" i="7"/>
  <c r="L1246" i="7"/>
  <c r="L1245" i="7"/>
  <c r="L1244" i="7"/>
  <c r="M1243" i="7"/>
  <c r="L1243" i="7"/>
  <c r="L1242" i="7"/>
  <c r="M1241" i="7"/>
  <c r="L1241" i="7"/>
  <c r="M1240" i="7"/>
  <c r="L1240" i="7"/>
  <c r="L1239" i="7"/>
  <c r="M1238" i="7"/>
  <c r="L1238" i="7"/>
  <c r="M1237" i="7"/>
  <c r="L1237" i="7"/>
  <c r="M1236" i="7"/>
  <c r="L1236" i="7"/>
  <c r="M1235" i="7"/>
  <c r="L1235" i="7"/>
  <c r="M1234" i="7"/>
  <c r="L1234" i="7"/>
  <c r="M1233" i="7"/>
  <c r="L1233" i="7"/>
  <c r="M1232" i="7"/>
  <c r="L1232" i="7"/>
  <c r="M1231" i="7"/>
  <c r="L1231" i="7"/>
  <c r="M1230" i="7"/>
  <c r="L1230" i="7"/>
  <c r="M1229" i="7"/>
  <c r="L1229" i="7"/>
  <c r="M1228" i="7"/>
  <c r="M1227" i="7"/>
  <c r="L1227" i="7"/>
  <c r="M1226" i="7"/>
  <c r="L1226" i="7"/>
  <c r="M1225" i="7"/>
  <c r="L1225" i="7"/>
  <c r="M1224" i="7"/>
  <c r="M1223" i="7"/>
  <c r="L1223" i="7"/>
  <c r="M1222" i="7"/>
  <c r="L1222" i="7"/>
  <c r="M1221" i="7"/>
  <c r="M1220" i="7"/>
  <c r="L1220" i="7"/>
  <c r="M1219" i="7"/>
  <c r="M1218" i="7"/>
  <c r="L1217" i="7"/>
  <c r="M1216" i="7"/>
  <c r="M1215" i="7"/>
  <c r="L1215" i="7"/>
  <c r="M1214" i="7"/>
  <c r="M1213" i="7"/>
  <c r="L1213" i="7"/>
  <c r="M1212" i="7"/>
  <c r="L1212" i="7"/>
  <c r="M1211" i="7"/>
  <c r="L1211" i="7"/>
  <c r="M1210" i="7"/>
  <c r="L1210" i="7"/>
  <c r="M1209" i="7"/>
  <c r="M1208" i="7"/>
  <c r="L1208" i="7"/>
  <c r="M1207" i="7"/>
  <c r="M1206" i="7"/>
  <c r="L1206" i="7"/>
  <c r="M1205" i="7"/>
  <c r="L1205" i="7"/>
  <c r="M1204" i="7"/>
  <c r="M1203" i="7"/>
  <c r="L1203" i="7"/>
  <c r="M1202" i="7"/>
  <c r="L1202" i="7"/>
  <c r="M1201" i="7"/>
  <c r="L1201" i="7"/>
  <c r="L1200" i="7"/>
  <c r="L1199" i="7"/>
  <c r="M1198" i="7"/>
  <c r="M1197" i="7"/>
  <c r="L1197" i="7"/>
  <c r="M1196" i="7"/>
  <c r="L1196" i="7"/>
  <c r="M1195" i="7"/>
  <c r="L1194" i="7"/>
  <c r="M1193" i="7"/>
  <c r="L1193" i="7"/>
  <c r="M1192" i="7"/>
  <c r="L1192" i="7"/>
  <c r="M1191" i="7"/>
  <c r="M1190" i="7"/>
  <c r="L1190" i="7"/>
  <c r="M1189" i="7"/>
  <c r="L1189" i="7"/>
  <c r="M1188" i="7"/>
  <c r="M1187" i="7"/>
  <c r="L1187" i="7"/>
  <c r="M1186" i="7"/>
  <c r="L1186" i="7"/>
  <c r="L1185" i="7"/>
  <c r="M1184" i="7"/>
  <c r="L1184" i="7"/>
  <c r="L1183" i="7"/>
  <c r="M1182" i="7"/>
  <c r="L1182" i="7"/>
  <c r="L1181" i="7"/>
  <c r="M1180" i="7"/>
  <c r="L1180" i="7"/>
  <c r="M1179" i="7"/>
  <c r="L1179" i="7"/>
  <c r="L1178" i="7"/>
  <c r="M1177" i="7"/>
  <c r="L1177" i="7"/>
  <c r="L1176" i="7"/>
  <c r="M1175" i="7"/>
  <c r="L1175" i="7"/>
  <c r="M1174" i="7"/>
  <c r="L1174" i="7"/>
  <c r="M1173" i="7"/>
  <c r="L1173" i="7"/>
  <c r="M1172" i="7"/>
  <c r="L1172" i="7"/>
  <c r="L1171" i="7"/>
  <c r="M1170" i="7"/>
  <c r="L1170" i="7"/>
  <c r="L1169" i="7"/>
  <c r="M1168" i="7"/>
  <c r="L1168" i="7"/>
  <c r="M515" i="7"/>
  <c r="M516" i="7"/>
  <c r="M517" i="7"/>
  <c r="M518" i="7"/>
  <c r="M519" i="7"/>
  <c r="L520" i="7"/>
  <c r="M520" i="7"/>
  <c r="L521" i="7"/>
  <c r="L522" i="7"/>
  <c r="L523" i="7"/>
  <c r="M523" i="7"/>
  <c r="L524" i="7"/>
  <c r="M524" i="7"/>
  <c r="L525" i="7"/>
  <c r="M525" i="7"/>
  <c r="L526" i="7"/>
  <c r="M526" i="7"/>
  <c r="L527" i="7"/>
  <c r="L528" i="7"/>
  <c r="M529" i="7"/>
  <c r="M530" i="7"/>
  <c r="M531" i="7"/>
  <c r="M532" i="7"/>
  <c r="M533" i="7"/>
  <c r="L534" i="7"/>
  <c r="M534" i="7"/>
  <c r="L535" i="7"/>
  <c r="M535" i="7"/>
  <c r="L536" i="7"/>
  <c r="L537" i="7"/>
  <c r="M538" i="7"/>
  <c r="L539" i="7"/>
  <c r="M539" i="7"/>
  <c r="M540" i="7"/>
  <c r="L541" i="7"/>
  <c r="L542" i="7"/>
  <c r="L543" i="7"/>
  <c r="M543" i="7"/>
  <c r="L544" i="7"/>
  <c r="M544" i="7"/>
  <c r="L545" i="7"/>
  <c r="M546" i="7"/>
  <c r="L547" i="7"/>
  <c r="M548" i="7"/>
  <c r="L549" i="7"/>
  <c r="M549" i="7"/>
  <c r="L550" i="7"/>
  <c r="M550" i="7"/>
  <c r="L551" i="7"/>
  <c r="M551" i="7"/>
  <c r="M552" i="7"/>
  <c r="M553" i="7"/>
  <c r="M554" i="7"/>
  <c r="M555" i="7"/>
  <c r="L556" i="7"/>
  <c r="M556" i="7"/>
  <c r="L557" i="7"/>
  <c r="M557" i="7"/>
  <c r="L558" i="7"/>
  <c r="L559" i="7"/>
  <c r="M560" i="7"/>
  <c r="L561" i="7"/>
  <c r="L562" i="7"/>
  <c r="M562" i="7"/>
  <c r="M563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L571" i="7"/>
  <c r="M571" i="7"/>
  <c r="L572" i="7"/>
  <c r="L573" i="7"/>
  <c r="M573" i="7"/>
  <c r="L574" i="7"/>
  <c r="L575" i="7"/>
  <c r="M575" i="7"/>
  <c r="L576" i="7"/>
  <c r="L577" i="7"/>
  <c r="M578" i="7"/>
  <c r="M579" i="7"/>
  <c r="L580" i="7"/>
  <c r="M580" i="7"/>
  <c r="M581" i="7"/>
  <c r="L582" i="7"/>
  <c r="M582" i="7"/>
  <c r="L583" i="7"/>
  <c r="M583" i="7"/>
  <c r="M584" i="7"/>
  <c r="L585" i="7"/>
  <c r="L586" i="7"/>
  <c r="M586" i="7"/>
  <c r="L587" i="7"/>
  <c r="M587" i="7"/>
  <c r="L588" i="7"/>
  <c r="L589" i="7"/>
  <c r="M589" i="7"/>
  <c r="L590" i="7"/>
  <c r="L591" i="7"/>
  <c r="M591" i="7"/>
  <c r="L592" i="7"/>
  <c r="M592" i="7"/>
  <c r="L593" i="7"/>
  <c r="L594" i="7"/>
  <c r="M594" i="7"/>
  <c r="L595" i="7"/>
  <c r="L596" i="7"/>
  <c r="L597" i="7"/>
  <c r="L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L607" i="7"/>
  <c r="M607" i="7"/>
  <c r="L608" i="7"/>
  <c r="M608" i="7"/>
  <c r="L609" i="7"/>
  <c r="M609" i="7"/>
  <c r="L610" i="7"/>
  <c r="L611" i="7"/>
  <c r="M611" i="7"/>
  <c r="L612" i="7"/>
  <c r="M612" i="7"/>
  <c r="L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L633" i="7"/>
  <c r="M633" i="7"/>
  <c r="L634" i="7"/>
  <c r="M634" i="7"/>
  <c r="L635" i="7"/>
  <c r="M635" i="7"/>
  <c r="M636" i="7"/>
  <c r="M637" i="7"/>
  <c r="M638" i="7"/>
  <c r="M639" i="7"/>
  <c r="M640" i="7"/>
  <c r="M641" i="7"/>
  <c r="M642" i="7"/>
  <c r="L643" i="7"/>
  <c r="L644" i="7"/>
  <c r="M644" i="7"/>
  <c r="L645" i="7"/>
  <c r="L646" i="7"/>
  <c r="M647" i="7"/>
  <c r="M648" i="7"/>
  <c r="L649" i="7"/>
  <c r="L650" i="7"/>
  <c r="L651" i="7"/>
  <c r="L652" i="7"/>
  <c r="L653" i="7"/>
  <c r="M653" i="7"/>
  <c r="L654" i="7"/>
  <c r="M654" i="7"/>
  <c r="L655" i="7"/>
  <c r="M655" i="7"/>
  <c r="L656" i="7"/>
  <c r="M656" i="7"/>
  <c r="M657" i="7"/>
  <c r="L658" i="7"/>
  <c r="M659" i="7"/>
  <c r="M660" i="7"/>
  <c r="M661" i="7"/>
  <c r="M662" i="7"/>
  <c r="L663" i="7"/>
  <c r="M663" i="7"/>
  <c r="L664" i="7"/>
  <c r="M664" i="7"/>
  <c r="L665" i="7"/>
  <c r="M665" i="7"/>
  <c r="L666" i="7"/>
  <c r="L667" i="7"/>
  <c r="M667" i="7"/>
  <c r="L668" i="7"/>
  <c r="M668" i="7"/>
  <c r="L669" i="7"/>
  <c r="M669" i="7"/>
  <c r="L670" i="7"/>
  <c r="M670" i="7"/>
  <c r="L671" i="7"/>
  <c r="M672" i="7"/>
  <c r="L673" i="7"/>
  <c r="L674" i="7"/>
  <c r="L675" i="7"/>
  <c r="M675" i="7"/>
  <c r="L676" i="7"/>
  <c r="M676" i="7"/>
  <c r="L677" i="7"/>
  <c r="M677" i="7"/>
  <c r="L678" i="7"/>
  <c r="M678" i="7"/>
  <c r="L679" i="7"/>
  <c r="L680" i="7"/>
  <c r="L681" i="7"/>
  <c r="M681" i="7"/>
  <c r="L682" i="7"/>
  <c r="L683" i="7"/>
  <c r="L684" i="7"/>
  <c r="L685" i="7"/>
  <c r="M685" i="7"/>
  <c r="L686" i="7"/>
  <c r="L687" i="7"/>
  <c r="L688" i="7"/>
  <c r="M688" i="7"/>
  <c r="L689" i="7"/>
  <c r="M689" i="7"/>
  <c r="L690" i="7"/>
  <c r="M690" i="7"/>
  <c r="L691" i="7"/>
  <c r="M691" i="7"/>
  <c r="L692" i="7"/>
  <c r="L693" i="7"/>
  <c r="M693" i="7"/>
  <c r="L694" i="7"/>
  <c r="M694" i="7"/>
  <c r="L695" i="7"/>
  <c r="M695" i="7"/>
  <c r="L696" i="7"/>
  <c r="M696" i="7"/>
  <c r="M697" i="7"/>
  <c r="M698" i="7"/>
  <c r="M699" i="7"/>
  <c r="L700" i="7"/>
  <c r="L701" i="7"/>
  <c r="L702" i="7"/>
  <c r="L703" i="7"/>
  <c r="L704" i="7"/>
  <c r="L705" i="7"/>
  <c r="L706" i="7"/>
  <c r="M706" i="7"/>
  <c r="L707" i="7"/>
  <c r="M707" i="7"/>
  <c r="L708" i="7"/>
  <c r="L709" i="7"/>
  <c r="M709" i="7"/>
  <c r="L710" i="7"/>
  <c r="M710" i="7"/>
  <c r="L711" i="7"/>
  <c r="M711" i="7"/>
  <c r="L712" i="7"/>
  <c r="M712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L731" i="7"/>
  <c r="M731" i="7"/>
  <c r="L732" i="7"/>
  <c r="M732" i="7"/>
  <c r="L733" i="7"/>
  <c r="M733" i="7"/>
  <c r="L734" i="7"/>
  <c r="L735" i="7"/>
  <c r="M735" i="7"/>
  <c r="L736" i="7"/>
  <c r="L737" i="7"/>
  <c r="M737" i="7"/>
  <c r="L738" i="7"/>
  <c r="M738" i="7"/>
  <c r="L739" i="7"/>
  <c r="M739" i="7"/>
  <c r="L740" i="7"/>
  <c r="M740" i="7"/>
  <c r="L741" i="7"/>
  <c r="M741" i="7"/>
  <c r="L742" i="7"/>
  <c r="M742" i="7"/>
  <c r="L743" i="7"/>
  <c r="M743" i="7"/>
  <c r="L744" i="7"/>
  <c r="L745" i="7"/>
  <c r="M745" i="7"/>
  <c r="L746" i="7"/>
  <c r="M746" i="7"/>
  <c r="L747" i="7"/>
  <c r="M747" i="7"/>
  <c r="M748" i="7"/>
  <c r="M749" i="7"/>
  <c r="M750" i="7"/>
  <c r="M751" i="7"/>
  <c r="M752" i="7"/>
  <c r="M753" i="7"/>
  <c r="M754" i="7"/>
  <c r="L755" i="7"/>
  <c r="M755" i="7"/>
  <c r="L756" i="7"/>
  <c r="L757" i="7"/>
  <c r="M757" i="7"/>
  <c r="L758" i="7"/>
  <c r="L759" i="7"/>
  <c r="M759" i="7"/>
  <c r="L760" i="7"/>
  <c r="M760" i="7"/>
  <c r="L761" i="7"/>
  <c r="M761" i="7"/>
  <c r="L762" i="7"/>
  <c r="M762" i="7"/>
  <c r="L763" i="7"/>
  <c r="M763" i="7"/>
  <c r="L764" i="7"/>
  <c r="M764" i="7"/>
  <c r="L765" i="7"/>
  <c r="M766" i="7"/>
  <c r="L767" i="7"/>
  <c r="L768" i="7"/>
  <c r="M768" i="7"/>
  <c r="L769" i="7"/>
  <c r="M76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L389" i="7"/>
  <c r="M389" i="7"/>
  <c r="L390" i="7"/>
  <c r="M390" i="7"/>
  <c r="L391" i="7"/>
  <c r="M391" i="7"/>
  <c r="L392" i="7"/>
  <c r="M392" i="7"/>
  <c r="L393" i="7"/>
  <c r="L394" i="7"/>
  <c r="M394" i="7"/>
  <c r="L395" i="7"/>
  <c r="M395" i="7"/>
  <c r="L396" i="7"/>
  <c r="M396" i="7"/>
  <c r="L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L408" i="7"/>
  <c r="M408" i="7"/>
  <c r="L409" i="7"/>
  <c r="M409" i="7"/>
  <c r="L410" i="7"/>
  <c r="M410" i="7"/>
  <c r="L411" i="7"/>
  <c r="L412" i="7"/>
  <c r="M412" i="7"/>
  <c r="L413" i="7"/>
  <c r="M413" i="7"/>
  <c r="L414" i="7"/>
  <c r="M414" i="7"/>
  <c r="L415" i="7"/>
  <c r="M415" i="7"/>
  <c r="L416" i="7"/>
  <c r="M416" i="7"/>
  <c r="L417" i="7"/>
  <c r="L418" i="7"/>
  <c r="L419" i="7"/>
  <c r="M419" i="7"/>
  <c r="L420" i="7"/>
  <c r="M420" i="7"/>
  <c r="L421" i="7"/>
  <c r="M421" i="7"/>
  <c r="L422" i="7"/>
  <c r="L423" i="7"/>
  <c r="L424" i="7"/>
  <c r="M424" i="7"/>
  <c r="L425" i="7"/>
  <c r="L426" i="7"/>
  <c r="M426" i="7"/>
  <c r="L427" i="7"/>
  <c r="M427" i="7"/>
  <c r="L428" i="7"/>
  <c r="L429" i="7"/>
  <c r="M429" i="7"/>
  <c r="L430" i="7"/>
  <c r="M430" i="7"/>
  <c r="L431" i="7"/>
  <c r="L432" i="7"/>
  <c r="L433" i="7"/>
  <c r="L434" i="7"/>
  <c r="M434" i="7"/>
  <c r="L435" i="7"/>
  <c r="M435" i="7"/>
  <c r="L436" i="7"/>
  <c r="M437" i="7"/>
  <c r="M438" i="7"/>
  <c r="M439" i="7"/>
  <c r="M440" i="7"/>
  <c r="M441" i="7"/>
  <c r="M442" i="7"/>
  <c r="M443" i="7"/>
  <c r="L444" i="7"/>
  <c r="M444" i="7"/>
  <c r="L445" i="7"/>
  <c r="M445" i="7"/>
  <c r="L446" i="7"/>
  <c r="M446" i="7"/>
  <c r="L447" i="7"/>
  <c r="L448" i="7"/>
  <c r="L449" i="7"/>
  <c r="L450" i="7"/>
  <c r="M450" i="7"/>
  <c r="L451" i="7"/>
  <c r="L452" i="7"/>
  <c r="M453" i="7"/>
  <c r="M454" i="7"/>
  <c r="L455" i="7"/>
  <c r="M456" i="7"/>
  <c r="L457" i="7"/>
  <c r="M457" i="7"/>
  <c r="L458" i="7"/>
  <c r="L459" i="7"/>
  <c r="L460" i="7"/>
  <c r="M460" i="7"/>
  <c r="L461" i="7"/>
  <c r="M461" i="7"/>
  <c r="L462" i="7"/>
  <c r="M462" i="7"/>
  <c r="M463" i="7"/>
  <c r="L464" i="7"/>
  <c r="L465" i="7"/>
  <c r="L466" i="7"/>
  <c r="M466" i="7"/>
  <c r="L467" i="7"/>
  <c r="M467" i="7"/>
  <c r="L468" i="7"/>
  <c r="M468" i="7"/>
  <c r="L469" i="7"/>
  <c r="M469" i="7"/>
  <c r="M470" i="7"/>
  <c r="M355" i="7"/>
  <c r="M354" i="7"/>
  <c r="L354" i="7"/>
  <c r="M353" i="7"/>
  <c r="M352" i="7"/>
  <c r="M351" i="7"/>
  <c r="M350" i="7"/>
  <c r="M349" i="7"/>
  <c r="M348" i="7"/>
  <c r="M347" i="7"/>
  <c r="M346" i="7"/>
  <c r="M345" i="7"/>
  <c r="L345" i="7"/>
  <c r="M344" i="7"/>
  <c r="L344" i="7"/>
  <c r="M343" i="7"/>
  <c r="L343" i="7"/>
  <c r="M342" i="7"/>
  <c r="L342" i="7"/>
  <c r="M341" i="7"/>
  <c r="L341" i="7"/>
  <c r="L340" i="7"/>
  <c r="M339" i="7"/>
  <c r="L339" i="7"/>
  <c r="M338" i="7"/>
  <c r="L338" i="7"/>
  <c r="M337" i="7"/>
  <c r="L337" i="7"/>
  <c r="M336" i="7"/>
  <c r="L336" i="7"/>
  <c r="M335" i="7"/>
  <c r="L335" i="7"/>
  <c r="L334" i="7"/>
  <c r="M333" i="7"/>
  <c r="L333" i="7"/>
  <c r="M332" i="7"/>
  <c r="L332" i="7"/>
  <c r="M331" i="7"/>
  <c r="L331" i="7"/>
  <c r="M330" i="7"/>
  <c r="L330" i="7"/>
  <c r="M329" i="7"/>
  <c r="L329" i="7"/>
  <c r="M328" i="7"/>
  <c r="L328" i="7"/>
  <c r="M327" i="7"/>
  <c r="L327" i="7"/>
  <c r="M326" i="7"/>
  <c r="L326" i="7"/>
  <c r="M325" i="7"/>
  <c r="L325" i="7"/>
  <c r="M324" i="7"/>
  <c r="L324" i="7"/>
  <c r="L323" i="7"/>
  <c r="M322" i="7"/>
  <c r="L322" i="7"/>
  <c r="L321" i="7"/>
  <c r="L320" i="7"/>
  <c r="M319" i="7"/>
  <c r="L319" i="7"/>
  <c r="M318" i="7"/>
  <c r="M317" i="7"/>
  <c r="M316" i="7"/>
  <c r="M315" i="7"/>
  <c r="M314" i="7"/>
  <c r="L314" i="7"/>
  <c r="M313" i="7"/>
  <c r="L313" i="7"/>
  <c r="M312" i="7"/>
  <c r="L312" i="7"/>
  <c r="L311" i="7"/>
  <c r="M310" i="7"/>
  <c r="M309" i="7"/>
  <c r="M308" i="7"/>
  <c r="L308" i="7"/>
  <c r="M307" i="7"/>
  <c r="L307" i="7"/>
  <c r="M306" i="7"/>
  <c r="L306" i="7"/>
  <c r="M305" i="7"/>
  <c r="L305" i="7"/>
  <c r="M304" i="7"/>
  <c r="L304" i="7"/>
  <c r="L303" i="7"/>
  <c r="L302" i="7"/>
  <c r="M301" i="7"/>
  <c r="L301" i="7"/>
  <c r="M300" i="7"/>
  <c r="M299" i="7"/>
  <c r="M298" i="7"/>
  <c r="M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L284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M276" i="7"/>
  <c r="L276" i="7"/>
  <c r="L275" i="7"/>
  <c r="M274" i="7"/>
  <c r="M273" i="7"/>
  <c r="M272" i="7"/>
  <c r="M271" i="7"/>
  <c r="M270" i="7"/>
  <c r="L270" i="7"/>
  <c r="L269" i="7"/>
  <c r="M268" i="7"/>
  <c r="L267" i="7"/>
  <c r="M266" i="7"/>
  <c r="L266" i="7"/>
  <c r="L265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M256" i="7"/>
  <c r="M255" i="7"/>
  <c r="L254" i="7"/>
  <c r="L253" i="7"/>
  <c r="L252" i="7"/>
  <c r="L251" i="7"/>
  <c r="M250" i="7"/>
  <c r="L250" i="7"/>
  <c r="L249" i="7"/>
  <c r="L248" i="7"/>
  <c r="L247" i="7"/>
  <c r="L246" i="7"/>
  <c r="L245" i="7"/>
  <c r="L244" i="7"/>
  <c r="M243" i="7"/>
  <c r="M242" i="7"/>
  <c r="L241" i="7"/>
  <c r="M240" i="7"/>
  <c r="M239" i="7"/>
  <c r="L239" i="7"/>
  <c r="M238" i="7"/>
  <c r="L238" i="7"/>
  <c r="M237" i="7"/>
  <c r="M236" i="7"/>
  <c r="L236" i="7"/>
  <c r="M235" i="7"/>
  <c r="L234" i="7"/>
  <c r="M233" i="7"/>
  <c r="L233" i="7"/>
  <c r="L232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L222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M214" i="7"/>
  <c r="L214" i="7"/>
  <c r="M213" i="7"/>
  <c r="M212" i="7"/>
  <c r="L212" i="7"/>
  <c r="M211" i="7"/>
  <c r="L211" i="7"/>
  <c r="M210" i="7"/>
  <c r="L210" i="7"/>
  <c r="L209" i="7"/>
  <c r="L208" i="7"/>
  <c r="M207" i="7"/>
  <c r="M206" i="7"/>
  <c r="M205" i="7"/>
  <c r="L205" i="7"/>
  <c r="M204" i="7"/>
  <c r="L204" i="7"/>
  <c r="M203" i="7"/>
  <c r="L203" i="7"/>
  <c r="M202" i="7"/>
  <c r="M201" i="7"/>
  <c r="L201" i="7"/>
  <c r="M200" i="7"/>
  <c r="L200" i="7"/>
  <c r="M199" i="7"/>
  <c r="L199" i="7"/>
  <c r="M198" i="7"/>
  <c r="L198" i="7"/>
  <c r="M197" i="7"/>
  <c r="L197" i="7"/>
  <c r="M196" i="7"/>
  <c r="M195" i="7"/>
  <c r="L195" i="7"/>
  <c r="M194" i="7"/>
  <c r="L194" i="7"/>
  <c r="M193" i="7"/>
  <c r="L193" i="7"/>
  <c r="M192" i="7"/>
  <c r="L192" i="7"/>
  <c r="M191" i="7"/>
  <c r="M190" i="7"/>
  <c r="M189" i="7"/>
  <c r="M188" i="7"/>
  <c r="L188" i="7"/>
  <c r="L187" i="7"/>
  <c r="L186" i="7"/>
  <c r="L185" i="7"/>
  <c r="M184" i="7"/>
  <c r="M183" i="7"/>
  <c r="L183" i="7"/>
  <c r="M182" i="7"/>
  <c r="L182" i="7"/>
  <c r="L181" i="7"/>
  <c r="M180" i="7"/>
  <c r="L180" i="7"/>
  <c r="L179" i="7"/>
  <c r="L178" i="7"/>
  <c r="M177" i="7"/>
  <c r="L176" i="7"/>
  <c r="L175" i="7"/>
  <c r="M174" i="7"/>
  <c r="L174" i="7"/>
  <c r="M173" i="7"/>
  <c r="M172" i="7"/>
  <c r="M171" i="7"/>
  <c r="L170" i="7"/>
  <c r="M169" i="7"/>
  <c r="L169" i="7"/>
  <c r="M168" i="7"/>
  <c r="M167" i="7"/>
  <c r="M166" i="7"/>
  <c r="M165" i="7"/>
  <c r="L164" i="7"/>
  <c r="M163" i="7"/>
  <c r="L163" i="7"/>
  <c r="L162" i="7"/>
  <c r="L161" i="7"/>
  <c r="M160" i="7"/>
  <c r="L160" i="7"/>
  <c r="M159" i="7"/>
  <c r="M158" i="7"/>
  <c r="L158" i="7"/>
  <c r="L157" i="7"/>
  <c r="M156" i="7"/>
  <c r="M155" i="7"/>
  <c r="M154" i="7"/>
  <c r="M153" i="7"/>
  <c r="L153" i="7"/>
  <c r="M152" i="7"/>
  <c r="L151" i="7"/>
  <c r="M150" i="7"/>
  <c r="M149" i="7"/>
  <c r="M148" i="7"/>
  <c r="M147" i="7"/>
  <c r="L147" i="7"/>
  <c r="L146" i="7"/>
  <c r="L145" i="7"/>
  <c r="L144" i="7"/>
  <c r="M143" i="7"/>
  <c r="L142" i="7"/>
  <c r="M141" i="7"/>
  <c r="L141" i="7"/>
  <c r="L140" i="7"/>
  <c r="L139" i="7"/>
  <c r="M138" i="7"/>
  <c r="L138" i="7"/>
  <c r="M137" i="7"/>
  <c r="L137" i="7"/>
  <c r="L136" i="7"/>
  <c r="M135" i="7"/>
  <c r="M134" i="7"/>
  <c r="L134" i="7"/>
  <c r="M133" i="7"/>
  <c r="L133" i="7"/>
  <c r="L132" i="7"/>
  <c r="M131" i="7"/>
  <c r="M130" i="7"/>
  <c r="M129" i="7"/>
  <c r="L129" i="7"/>
  <c r="L128" i="7"/>
  <c r="M127" i="7"/>
  <c r="L127" i="7"/>
  <c r="M126" i="7"/>
  <c r="L126" i="7"/>
  <c r="L125" i="7"/>
  <c r="M124" i="7"/>
  <c r="M123" i="7"/>
  <c r="L123" i="7"/>
  <c r="M122" i="7"/>
  <c r="M121" i="7"/>
  <c r="L121" i="7"/>
  <c r="M120" i="7"/>
  <c r="L120" i="7"/>
  <c r="L97" i="7"/>
  <c r="M96" i="7"/>
  <c r="L95" i="7"/>
  <c r="M94" i="7"/>
  <c r="L94" i="7"/>
  <c r="M93" i="7"/>
  <c r="L93" i="7"/>
  <c r="L92" i="7"/>
  <c r="M91" i="7"/>
  <c r="L91" i="7"/>
  <c r="M90" i="7"/>
  <c r="L90" i="7"/>
  <c r="M89" i="7"/>
  <c r="L89" i="7"/>
  <c r="L88" i="7"/>
  <c r="M87" i="7"/>
  <c r="L87" i="7"/>
  <c r="M86" i="7"/>
  <c r="L86" i="7"/>
  <c r="L85" i="7"/>
  <c r="L84" i="7"/>
  <c r="M83" i="7"/>
  <c r="L83" i="7"/>
  <c r="M82" i="7"/>
  <c r="L82" i="7"/>
  <c r="M81" i="7"/>
  <c r="L81" i="7"/>
  <c r="M80" i="7"/>
  <c r="L80" i="7"/>
  <c r="M79" i="7"/>
  <c r="L79" i="7"/>
  <c r="M78" i="7"/>
  <c r="M77" i="7"/>
  <c r="M76" i="7"/>
  <c r="M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L65" i="7"/>
  <c r="M64" i="7"/>
  <c r="M63" i="7"/>
  <c r="M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M40" i="7"/>
  <c r="L40" i="7"/>
  <c r="M39" i="7"/>
  <c r="L39" i="7"/>
  <c r="M38" i="7"/>
  <c r="L38" i="7"/>
  <c r="M37" i="7"/>
  <c r="L37" i="7"/>
  <c r="M36" i="7"/>
  <c r="L36" i="7"/>
  <c r="M35" i="7"/>
  <c r="M34" i="7"/>
  <c r="L34" i="7"/>
  <c r="M33" i="7"/>
  <c r="L33" i="7"/>
  <c r="M32" i="7"/>
  <c r="L32" i="7"/>
  <c r="M31" i="7"/>
  <c r="L31" i="7"/>
  <c r="L30" i="7"/>
  <c r="M29" i="7"/>
  <c r="L29" i="7"/>
  <c r="M28" i="7"/>
  <c r="L28" i="7"/>
  <c r="M27" i="7"/>
  <c r="M26" i="7"/>
  <c r="L26" i="7"/>
  <c r="M25" i="7"/>
  <c r="L25" i="7"/>
  <c r="M24" i="7"/>
  <c r="M23" i="7"/>
  <c r="L23" i="7"/>
  <c r="M22" i="7"/>
  <c r="L22" i="7"/>
  <c r="M21" i="7"/>
  <c r="L21" i="7"/>
  <c r="M20" i="7"/>
  <c r="L20" i="7"/>
  <c r="L19" i="7"/>
  <c r="M18" i="7"/>
  <c r="M17" i="7"/>
  <c r="M16" i="7"/>
  <c r="M15" i="7"/>
  <c r="M14" i="7"/>
  <c r="M13" i="7"/>
  <c r="L13" i="7"/>
  <c r="M12" i="7"/>
  <c r="L12" i="7"/>
  <c r="M11" i="7"/>
  <c r="L11" i="7"/>
  <c r="L10" i="7"/>
  <c r="M9" i="7"/>
  <c r="L9" i="7"/>
  <c r="L8" i="7"/>
  <c r="M7" i="7"/>
  <c r="L7" i="7"/>
  <c r="L6" i="7"/>
  <c r="M5" i="7"/>
  <c r="L5" i="7"/>
  <c r="L4" i="7"/>
  <c r="M356" i="7"/>
  <c r="M357" i="7"/>
  <c r="L358" i="7"/>
  <c r="M358" i="7"/>
  <c r="L359" i="7"/>
  <c r="M359" i="7"/>
  <c r="M360" i="7"/>
  <c r="M361" i="7"/>
  <c r="L362" i="7"/>
  <c r="M362" i="7"/>
  <c r="L363" i="7"/>
  <c r="L364" i="7"/>
  <c r="M364" i="7"/>
  <c r="L365" i="7"/>
  <c r="L366" i="7"/>
  <c r="M366" i="7"/>
  <c r="L367" i="7"/>
  <c r="M367" i="7"/>
  <c r="M368" i="7"/>
  <c r="M369" i="7"/>
  <c r="M370" i="7"/>
  <c r="M371" i="7"/>
  <c r="L372" i="7"/>
  <c r="L373" i="7"/>
  <c r="L374" i="7"/>
  <c r="L375" i="7"/>
  <c r="M375" i="7"/>
  <c r="L376" i="7"/>
  <c r="L377" i="7"/>
  <c r="L378" i="7"/>
  <c r="M484" i="7"/>
  <c r="L483" i="7"/>
  <c r="M482" i="7"/>
  <c r="M481" i="7"/>
  <c r="M480" i="7"/>
  <c r="M479" i="7"/>
  <c r="L479" i="7"/>
  <c r="M478" i="7"/>
  <c r="L477" i="7"/>
  <c r="M476" i="7"/>
  <c r="L475" i="7"/>
  <c r="L474" i="7"/>
  <c r="M473" i="7"/>
  <c r="M472" i="7"/>
  <c r="L471" i="7"/>
  <c r="M504" i="7"/>
  <c r="M503" i="7"/>
  <c r="L503" i="7"/>
  <c r="M502" i="7"/>
  <c r="L502" i="7"/>
  <c r="L501" i="7"/>
  <c r="M500" i="7"/>
  <c r="L495" i="7"/>
  <c r="M499" i="7"/>
  <c r="M498" i="7"/>
  <c r="L498" i="7"/>
  <c r="M497" i="7"/>
  <c r="L497" i="7"/>
  <c r="M496" i="7"/>
  <c r="L496" i="7"/>
  <c r="M494" i="7"/>
  <c r="M493" i="7"/>
  <c r="L493" i="7"/>
  <c r="L492" i="7"/>
  <c r="L885" i="7"/>
  <c r="L884" i="7"/>
  <c r="M883" i="7"/>
  <c r="L883" i="7"/>
  <c r="M882" i="7"/>
  <c r="M881" i="7"/>
  <c r="M880" i="7"/>
  <c r="M879" i="7"/>
  <c r="M878" i="7"/>
  <c r="M877" i="7"/>
  <c r="M876" i="7"/>
  <c r="L875" i="7"/>
  <c r="L874" i="7"/>
  <c r="M873" i="7"/>
  <c r="L873" i="7"/>
  <c r="M872" i="7"/>
  <c r="L872" i="7"/>
  <c r="M871" i="7"/>
  <c r="L871" i="7"/>
  <c r="M870" i="7"/>
  <c r="L870" i="7"/>
  <c r="L869" i="7"/>
  <c r="M868" i="7"/>
  <c r="L868" i="7"/>
  <c r="L867" i="7"/>
  <c r="M866" i="7"/>
  <c r="L866" i="7"/>
  <c r="M865" i="7"/>
  <c r="L865" i="7"/>
  <c r="M864" i="7"/>
  <c r="L864" i="7"/>
  <c r="M863" i="7"/>
  <c r="L863" i="7"/>
  <c r="M862" i="7"/>
  <c r="L862" i="7"/>
  <c r="M861" i="7"/>
  <c r="M860" i="7"/>
  <c r="M859" i="7"/>
  <c r="L859" i="7"/>
  <c r="M858" i="7"/>
  <c r="L858" i="7"/>
  <c r="M857" i="7"/>
  <c r="L857" i="7"/>
  <c r="L856" i="7"/>
  <c r="M855" i="7"/>
  <c r="L855" i="7"/>
  <c r="L854" i="7"/>
  <c r="M853" i="7"/>
  <c r="L853" i="7"/>
  <c r="M852" i="7"/>
  <c r="L852" i="7"/>
  <c r="L851" i="7"/>
  <c r="M1080" i="7"/>
  <c r="M1079" i="7"/>
  <c r="L1079" i="7"/>
  <c r="M1078" i="7"/>
  <c r="L1078" i="7"/>
  <c r="M1077" i="7"/>
  <c r="L1077" i="7"/>
  <c r="L1076" i="7"/>
  <c r="M1075" i="7"/>
  <c r="L1075" i="7"/>
  <c r="L1074" i="7"/>
  <c r="M1073" i="7"/>
  <c r="M1072" i="7"/>
  <c r="L1072" i="7"/>
  <c r="M1071" i="7"/>
  <c r="L1071" i="7"/>
  <c r="M1070" i="7"/>
  <c r="M1069" i="7"/>
  <c r="M1068" i="7"/>
  <c r="L1067" i="7"/>
  <c r="M1066" i="7"/>
  <c r="L1066" i="7"/>
  <c r="M1062" i="7"/>
  <c r="M1167" i="7"/>
  <c r="L1167" i="7"/>
  <c r="L1166" i="7"/>
  <c r="L1165" i="7"/>
  <c r="M1164" i="7"/>
  <c r="L1164" i="7"/>
  <c r="M1163" i="7"/>
  <c r="L1163" i="7"/>
  <c r="M1162" i="7"/>
  <c r="L1162" i="7"/>
  <c r="L1161" i="7"/>
  <c r="M1160" i="7"/>
  <c r="L1160" i="7"/>
  <c r="L1159" i="7"/>
  <c r="L1158" i="7"/>
  <c r="M1157" i="7"/>
  <c r="M1156" i="7"/>
  <c r="M1155" i="7"/>
  <c r="M1154" i="7"/>
  <c r="L1153" i="7"/>
  <c r="M1152" i="7"/>
  <c r="L1152" i="7"/>
  <c r="M1151" i="7"/>
  <c r="L1151" i="7"/>
  <c r="M1150" i="7"/>
  <c r="L1150" i="7"/>
  <c r="M1149" i="7"/>
  <c r="L1149" i="7"/>
  <c r="M1148" i="7"/>
  <c r="M1147" i="7"/>
  <c r="L1147" i="7"/>
  <c r="M1146" i="7"/>
  <c r="L1146" i="7"/>
  <c r="L1145" i="7"/>
  <c r="L1144" i="7"/>
  <c r="M1143" i="7"/>
  <c r="L1143" i="7"/>
  <c r="M1142" i="7"/>
  <c r="L1142" i="7"/>
  <c r="M1141" i="7"/>
  <c r="L1141" i="7"/>
  <c r="M1140" i="7"/>
  <c r="M1139" i="7"/>
  <c r="L1139" i="7"/>
  <c r="L1138" i="7"/>
  <c r="M1137" i="7"/>
  <c r="L1137" i="7"/>
  <c r="M1136" i="7"/>
  <c r="L1135" i="7"/>
  <c r="M1134" i="7"/>
  <c r="M1133" i="7"/>
  <c r="L1133" i="7"/>
  <c r="M1132" i="7"/>
  <c r="L1132" i="7"/>
  <c r="M1131" i="7"/>
  <c r="L1131" i="7"/>
  <c r="M1130" i="7"/>
  <c r="M1129" i="7"/>
  <c r="M1128" i="7"/>
  <c r="M1127" i="7"/>
  <c r="L1126" i="7"/>
  <c r="M1125" i="7"/>
  <c r="L1125" i="7"/>
  <c r="L1124" i="7"/>
  <c r="M1123" i="7"/>
  <c r="L1123" i="7"/>
  <c r="M1122" i="7"/>
  <c r="L1122" i="7"/>
  <c r="M1121" i="7"/>
  <c r="L1121" i="7"/>
  <c r="M1120" i="7"/>
  <c r="L1120" i="7"/>
  <c r="M1119" i="7"/>
  <c r="L1119" i="7"/>
  <c r="M1118" i="7"/>
  <c r="L1118" i="7"/>
  <c r="M1117" i="7"/>
  <c r="L1117" i="7"/>
  <c r="M1116" i="7"/>
  <c r="L1116" i="7"/>
  <c r="M1115" i="7"/>
  <c r="L1115" i="7"/>
  <c r="M1114" i="7"/>
  <c r="L1114" i="7"/>
  <c r="M1113" i="7"/>
  <c r="L1112" i="7"/>
  <c r="L1111" i="7"/>
  <c r="M1110" i="7"/>
  <c r="M1109" i="7"/>
  <c r="M1108" i="7"/>
  <c r="M1107" i="7"/>
  <c r="M1106" i="7"/>
  <c r="M1105" i="7"/>
  <c r="L1105" i="7"/>
  <c r="L1104" i="7"/>
  <c r="M1103" i="7"/>
  <c r="L1103" i="7"/>
  <c r="M1102" i="7"/>
  <c r="L1102" i="7"/>
  <c r="M1101" i="7"/>
  <c r="L1101" i="7"/>
  <c r="L1100" i="7"/>
  <c r="M1099" i="7"/>
  <c r="L1098" i="7"/>
  <c r="M1097" i="7"/>
  <c r="M1096" i="7"/>
  <c r="L1096" i="7"/>
  <c r="M1095" i="7"/>
  <c r="L1095" i="7"/>
  <c r="M1094" i="7"/>
  <c r="M1093" i="7"/>
  <c r="M1092" i="7"/>
  <c r="L1092" i="7"/>
  <c r="L1091" i="7"/>
  <c r="M1090" i="7"/>
  <c r="L1090" i="7"/>
  <c r="L1089" i="7"/>
  <c r="L1088" i="7"/>
  <c r="L1087" i="7"/>
  <c r="M1086" i="7"/>
  <c r="L1085" i="7"/>
  <c r="L1084" i="7"/>
  <c r="M1083" i="7"/>
  <c r="L1083" i="7"/>
  <c r="M1082" i="7"/>
  <c r="M1081" i="7"/>
  <c r="L1081" i="7"/>
  <c r="L1051" i="7"/>
  <c r="M1050" i="7"/>
  <c r="L1050" i="7"/>
  <c r="M1049" i="7"/>
  <c r="L1049" i="7"/>
  <c r="L1048" i="7"/>
  <c r="L1047" i="7"/>
  <c r="M1046" i="7"/>
  <c r="L1046" i="7"/>
  <c r="M1045" i="7"/>
  <c r="L1045" i="7"/>
  <c r="M1044" i="7"/>
  <c r="L1044" i="7"/>
  <c r="M1043" i="7"/>
  <c r="L1043" i="7"/>
  <c r="M1042" i="7"/>
  <c r="M1041" i="7"/>
  <c r="L1040" i="7"/>
  <c r="M1039" i="7"/>
  <c r="L1039" i="7"/>
  <c r="M1038" i="7"/>
  <c r="M1037" i="7"/>
  <c r="M1036" i="7"/>
  <c r="L1036" i="7"/>
  <c r="L1035" i="7"/>
  <c r="M1034" i="7"/>
  <c r="L1034" i="7"/>
  <c r="M1033" i="7"/>
  <c r="L1033" i="7"/>
  <c r="M1032" i="7"/>
  <c r="M1031" i="7"/>
  <c r="M1030" i="7"/>
  <c r="M1029" i="7"/>
  <c r="L1029" i="7"/>
  <c r="M1028" i="7"/>
  <c r="L1028" i="7"/>
  <c r="M1027" i="7"/>
  <c r="L1027" i="7"/>
  <c r="M1026" i="7"/>
  <c r="L1026" i="7"/>
  <c r="L1025" i="7"/>
  <c r="L1024" i="7"/>
  <c r="M1023" i="7"/>
  <c r="M1022" i="7"/>
  <c r="M1021" i="7"/>
  <c r="L1021" i="7"/>
  <c r="M1020" i="7"/>
  <c r="L1019" i="7"/>
  <c r="M1018" i="7"/>
  <c r="M1017" i="7"/>
  <c r="L1017" i="7"/>
  <c r="L1016" i="7"/>
  <c r="M1015" i="7"/>
  <c r="L1015" i="7"/>
  <c r="M1014" i="7"/>
  <c r="L1013" i="7"/>
  <c r="M1012" i="7"/>
  <c r="L1012" i="7"/>
  <c r="M1011" i="7"/>
  <c r="L1011" i="7"/>
  <c r="M1010" i="7"/>
  <c r="L1010" i="7"/>
  <c r="M1009" i="7"/>
  <c r="M1008" i="7"/>
  <c r="L1008" i="7"/>
  <c r="M1007" i="7"/>
  <c r="L1007" i="7"/>
  <c r="M1006" i="7"/>
  <c r="L1006" i="7"/>
  <c r="M1005" i="7"/>
  <c r="L1005" i="7"/>
  <c r="L1004" i="7"/>
  <c r="M1003" i="7"/>
  <c r="L1003" i="7"/>
  <c r="M1002" i="7"/>
  <c r="L1002" i="7"/>
  <c r="L1001" i="7"/>
  <c r="M1000" i="7"/>
  <c r="L1000" i="7"/>
  <c r="M999" i="7"/>
  <c r="L999" i="7"/>
  <c r="L998" i="7"/>
  <c r="L997" i="7"/>
  <c r="M996" i="7"/>
  <c r="L996" i="7"/>
  <c r="M995" i="7"/>
  <c r="L995" i="7"/>
  <c r="M994" i="7"/>
  <c r="L994" i="7"/>
  <c r="M993" i="7"/>
  <c r="L993" i="7"/>
  <c r="M992" i="7"/>
  <c r="L992" i="7"/>
  <c r="L991" i="7"/>
  <c r="L990" i="7"/>
  <c r="M989" i="7"/>
  <c r="M988" i="7"/>
  <c r="M987" i="7"/>
  <c r="L987" i="7"/>
  <c r="L986" i="7"/>
  <c r="M985" i="7"/>
  <c r="M984" i="7"/>
  <c r="L983" i="7"/>
  <c r="M982" i="7"/>
  <c r="L982" i="7"/>
  <c r="L981" i="7"/>
  <c r="M980" i="7"/>
  <c r="L980" i="7"/>
  <c r="L979" i="7"/>
  <c r="M978" i="7"/>
  <c r="M977" i="7"/>
  <c r="M976" i="7"/>
  <c r="M975" i="7"/>
  <c r="L975" i="7"/>
  <c r="M974" i="7"/>
  <c r="L974" i="7"/>
  <c r="M973" i="7"/>
  <c r="M972" i="7"/>
  <c r="L972" i="7"/>
  <c r="M971" i="7"/>
  <c r="M970" i="7"/>
  <c r="L970" i="7"/>
  <c r="M969" i="7"/>
  <c r="L969" i="7"/>
  <c r="M968" i="7"/>
  <c r="M967" i="7"/>
  <c r="L967" i="7"/>
  <c r="L966" i="7"/>
  <c r="M965" i="7"/>
  <c r="L965" i="7"/>
  <c r="M964" i="7"/>
  <c r="L964" i="7"/>
  <c r="M963" i="7"/>
  <c r="L963" i="7"/>
  <c r="M962" i="7"/>
  <c r="L962" i="7"/>
  <c r="M961" i="7"/>
  <c r="M960" i="7"/>
  <c r="M959" i="7"/>
  <c r="M958" i="7"/>
  <c r="M957" i="7"/>
  <c r="M956" i="7"/>
  <c r="L956" i="7"/>
  <c r="M955" i="7"/>
  <c r="L955" i="7"/>
  <c r="M954" i="7"/>
  <c r="L954" i="7"/>
  <c r="M953" i="7"/>
  <c r="L953" i="7"/>
  <c r="M952" i="7"/>
  <c r="L952" i="7"/>
  <c r="L951" i="7"/>
  <c r="M950" i="7"/>
  <c r="L950" i="7"/>
  <c r="M949" i="7"/>
  <c r="L949" i="7"/>
  <c r="M948" i="7"/>
  <c r="L948" i="7"/>
  <c r="M947" i="7"/>
  <c r="L947" i="7"/>
  <c r="M946" i="7"/>
  <c r="L946" i="7"/>
  <c r="M945" i="7"/>
  <c r="L945" i="7"/>
  <c r="L944" i="7"/>
  <c r="M943" i="7"/>
  <c r="L943" i="7"/>
  <c r="M942" i="7"/>
  <c r="M941" i="7"/>
  <c r="M940" i="7"/>
  <c r="M939" i="7"/>
  <c r="M938" i="7"/>
  <c r="L938" i="7"/>
  <c r="M937" i="7"/>
  <c r="L937" i="7"/>
  <c r="L936" i="7"/>
  <c r="M935" i="7"/>
  <c r="M934" i="7"/>
  <c r="M933" i="7"/>
  <c r="M932" i="7"/>
  <c r="M931" i="7"/>
  <c r="M930" i="7"/>
  <c r="L930" i="7"/>
  <c r="L929" i="7"/>
  <c r="L928" i="7"/>
  <c r="M927" i="7"/>
  <c r="L927" i="7"/>
  <c r="L926" i="7"/>
  <c r="M925" i="7"/>
  <c r="M924" i="7"/>
  <c r="L924" i="7"/>
  <c r="M923" i="7"/>
  <c r="M922" i="7"/>
  <c r="L922" i="7"/>
  <c r="M921" i="7"/>
  <c r="L921" i="7"/>
  <c r="L920" i="7"/>
  <c r="M919" i="7"/>
  <c r="L919" i="7"/>
  <c r="M918" i="7"/>
  <c r="M917" i="7"/>
  <c r="M916" i="7"/>
  <c r="M915" i="7"/>
  <c r="M914" i="7"/>
  <c r="L914" i="7"/>
  <c r="M913" i="7"/>
  <c r="L913" i="7"/>
  <c r="M912" i="7"/>
  <c r="L912" i="7"/>
  <c r="L911" i="7"/>
  <c r="M910" i="7"/>
  <c r="L909" i="7"/>
  <c r="M908" i="7"/>
  <c r="M907" i="7"/>
  <c r="M906" i="7"/>
  <c r="L906" i="7"/>
  <c r="M905" i="7"/>
  <c r="L905" i="7"/>
  <c r="M904" i="7"/>
  <c r="L904" i="7"/>
  <c r="L903" i="7"/>
  <c r="M902" i="7"/>
  <c r="L902" i="7"/>
  <c r="M901" i="7"/>
  <c r="L901" i="7"/>
  <c r="L900" i="7"/>
  <c r="M899" i="7"/>
  <c r="L899" i="7"/>
  <c r="M898" i="7"/>
  <c r="L898" i="7"/>
  <c r="M819" i="7"/>
  <c r="M113" i="7"/>
  <c r="M800" i="7"/>
  <c r="M886" i="7"/>
  <c r="M1060" i="7"/>
  <c r="M1059" i="7"/>
  <c r="M850" i="7"/>
  <c r="M849" i="7"/>
  <c r="M490" i="7"/>
  <c r="M827" i="7"/>
  <c r="M99" i="7"/>
  <c r="M771" i="7"/>
  <c r="M794" i="7"/>
  <c r="M832" i="7"/>
  <c r="M792" i="7"/>
  <c r="M791" i="7"/>
  <c r="M116" i="7"/>
  <c r="M793" i="7"/>
  <c r="M842" i="7"/>
  <c r="M508" i="7"/>
  <c r="M896" i="7"/>
  <c r="M1065" i="7"/>
  <c r="M797" i="7"/>
  <c r="M110" i="7"/>
  <c r="M117" i="7"/>
  <c r="M895" i="7"/>
  <c r="M801" i="7"/>
  <c r="M485" i="7"/>
  <c r="M845" i="7"/>
  <c r="M836" i="7"/>
  <c r="M818" i="7"/>
  <c r="M812" i="7"/>
  <c r="M841" i="7"/>
  <c r="M817" i="7"/>
  <c r="M894" i="7"/>
  <c r="M893" i="7"/>
  <c r="M822" i="7"/>
  <c r="M820" i="7"/>
  <c r="M892" i="7"/>
  <c r="M491" i="7"/>
  <c r="M2" i="7"/>
  <c r="M783" i="7"/>
  <c r="M3" i="7"/>
  <c r="M799" i="7"/>
  <c r="L1064" i="7"/>
  <c r="M1063" i="7"/>
  <c r="L1063" i="7"/>
  <c r="L1061" i="7"/>
  <c r="L1057" i="7"/>
  <c r="M1058" i="7"/>
  <c r="L1058" i="7"/>
  <c r="M1056" i="7"/>
  <c r="L1056" i="7"/>
  <c r="M1054" i="7"/>
  <c r="L1054" i="7"/>
  <c r="M1055" i="7"/>
  <c r="L1055" i="7"/>
  <c r="M1053" i="7"/>
  <c r="L1053" i="7"/>
  <c r="M1052" i="7"/>
  <c r="L1052" i="7"/>
  <c r="M897" i="7"/>
  <c r="L897" i="7"/>
  <c r="M888" i="7"/>
  <c r="L888" i="7"/>
  <c r="M889" i="7"/>
  <c r="L889" i="7"/>
  <c r="M887" i="7"/>
  <c r="L887" i="7"/>
  <c r="M891" i="7"/>
  <c r="L891" i="7"/>
  <c r="M890" i="7"/>
  <c r="L890" i="7"/>
  <c r="L848" i="7"/>
  <c r="L514" i="7"/>
  <c r="M846" i="7"/>
  <c r="L846" i="7"/>
  <c r="L847" i="7"/>
  <c r="M844" i="7"/>
  <c r="L844" i="7"/>
  <c r="M798" i="7"/>
  <c r="L798" i="7"/>
  <c r="L821" i="7"/>
  <c r="M796" i="7"/>
  <c r="L796" i="7"/>
  <c r="L786" i="7"/>
  <c r="L843" i="7"/>
  <c r="M814" i="7"/>
  <c r="L814" i="7"/>
  <c r="L815" i="7"/>
  <c r="M816" i="7"/>
  <c r="L816" i="7"/>
  <c r="M813" i="7"/>
  <c r="L813" i="7"/>
  <c r="L795" i="7"/>
  <c r="M838" i="7"/>
  <c r="L838" i="7"/>
  <c r="M840" i="7"/>
  <c r="L840" i="7"/>
  <c r="M839" i="7"/>
  <c r="L839" i="7"/>
  <c r="L785" i="7"/>
  <c r="M784" i="7"/>
  <c r="L784" i="7"/>
  <c r="L837" i="7"/>
  <c r="M781" i="7"/>
  <c r="L781" i="7"/>
  <c r="M782" i="7"/>
  <c r="L782" i="7"/>
  <c r="M835" i="7"/>
  <c r="L835" i="7"/>
  <c r="M834" i="7"/>
  <c r="L834" i="7"/>
  <c r="M776" i="7"/>
  <c r="L776" i="7"/>
  <c r="L775" i="7"/>
  <c r="L777" i="7"/>
  <c r="M772" i="7"/>
  <c r="L772" i="7"/>
  <c r="L773" i="7"/>
  <c r="M774" i="7"/>
  <c r="L774" i="7"/>
  <c r="L780" i="7"/>
  <c r="M779" i="7"/>
  <c r="L779" i="7"/>
  <c r="M778" i="7"/>
  <c r="L778" i="7"/>
  <c r="L833" i="7"/>
  <c r="M828" i="7"/>
  <c r="L828" i="7"/>
  <c r="M830" i="7"/>
  <c r="L830" i="7"/>
  <c r="M829" i="7"/>
  <c r="L829" i="7"/>
  <c r="M831" i="7"/>
  <c r="L831" i="7"/>
  <c r="L770" i="7"/>
  <c r="M824" i="7"/>
  <c r="L824" i="7"/>
  <c r="M825" i="7"/>
  <c r="L825" i="7"/>
  <c r="M826" i="7"/>
  <c r="L826" i="7"/>
  <c r="M790" i="7"/>
  <c r="L790" i="7"/>
  <c r="M789" i="7"/>
  <c r="L789" i="7"/>
  <c r="M788" i="7"/>
  <c r="L788" i="7"/>
  <c r="M809" i="7"/>
  <c r="L809" i="7"/>
  <c r="M808" i="7"/>
  <c r="L808" i="7"/>
  <c r="L811" i="7"/>
  <c r="M810" i="7"/>
  <c r="L810" i="7"/>
  <c r="L803" i="7"/>
  <c r="M802" i="7"/>
  <c r="L802" i="7"/>
  <c r="L805" i="7"/>
  <c r="M804" i="7"/>
  <c r="L804" i="7"/>
  <c r="L807" i="7"/>
  <c r="M806" i="7"/>
  <c r="L806" i="7"/>
  <c r="L787" i="7"/>
  <c r="L823" i="7"/>
  <c r="L513" i="7"/>
  <c r="L512" i="7"/>
  <c r="M511" i="7"/>
  <c r="L511" i="7"/>
  <c r="L509" i="7"/>
  <c r="M510" i="7"/>
  <c r="L510" i="7"/>
  <c r="L507" i="7"/>
  <c r="M505" i="7"/>
  <c r="L505" i="7"/>
  <c r="L506" i="7"/>
  <c r="L489" i="7"/>
  <c r="M486" i="7"/>
  <c r="L486" i="7"/>
  <c r="M487" i="7"/>
  <c r="L487" i="7"/>
  <c r="M488" i="7"/>
  <c r="L488" i="7"/>
  <c r="L118" i="7"/>
  <c r="M119" i="7"/>
  <c r="L119" i="7"/>
  <c r="M115" i="7"/>
  <c r="L115" i="7"/>
  <c r="M114" i="7"/>
  <c r="L114" i="7"/>
  <c r="L112" i="7"/>
  <c r="L111" i="7"/>
  <c r="L103" i="7"/>
  <c r="M100" i="7"/>
  <c r="L100" i="7"/>
  <c r="M108" i="7"/>
  <c r="L108" i="7"/>
  <c r="M107" i="7"/>
  <c r="L107" i="7"/>
  <c r="M106" i="7"/>
  <c r="L106" i="7"/>
  <c r="L105" i="7"/>
  <c r="L104" i="7"/>
  <c r="M109" i="7"/>
  <c r="L109" i="7"/>
  <c r="M102" i="7"/>
  <c r="L102" i="7"/>
  <c r="M101" i="7"/>
  <c r="L101" i="7"/>
  <c r="M98" i="7"/>
  <c r="L98" i="7"/>
</calcChain>
</file>

<file path=xl/sharedStrings.xml><?xml version="1.0" encoding="utf-8"?>
<sst xmlns="http://schemas.openxmlformats.org/spreadsheetml/2006/main" count="21364" uniqueCount="3697">
  <si>
    <t>Protein Type</t>
  </si>
  <si>
    <t>Gene Name</t>
  </si>
  <si>
    <t>Protein Name</t>
  </si>
  <si>
    <t>Site</t>
  </si>
  <si>
    <t>Description</t>
  </si>
  <si>
    <t>Accession</t>
  </si>
  <si>
    <t>kD</t>
  </si>
  <si>
    <t>-7/+7 peptide</t>
  </si>
  <si>
    <t>Peptide</t>
  </si>
  <si>
    <t>Charge</t>
  </si>
  <si>
    <t>Calc. m/z</t>
  </si>
  <si>
    <t>Species</t>
  </si>
  <si>
    <t>Actin binding protein</t>
  </si>
  <si>
    <t>human</t>
  </si>
  <si>
    <t>SYNPO</t>
  </si>
  <si>
    <t>Synaptopodin</t>
  </si>
  <si>
    <t>PSSCTSPrSPLPAPP</t>
  </si>
  <si>
    <t>LPAGPSSCTSPR@</t>
  </si>
  <si>
    <t>WAS/WASL-interacting protein family member 1</t>
  </si>
  <si>
    <t>NKTEQAGrNALLSDL</t>
  </si>
  <si>
    <t>TEQAGR@NALLSDISK</t>
  </si>
  <si>
    <t>Adaptor/scaffold</t>
  </si>
  <si>
    <t>A-kinase anchor protein 8-like</t>
  </si>
  <si>
    <t>WEDPMGArGQCMSGA</t>
  </si>
  <si>
    <t>M#WEDPM#GAR@GQ</t>
  </si>
  <si>
    <t>M#WEDPM#GAR@GQC</t>
  </si>
  <si>
    <t>M#WEDPM#GAR@GQCM#</t>
  </si>
  <si>
    <t>M#WEDPMGAR@GQ</t>
  </si>
  <si>
    <t>M#WEDPMGAR@GQCM#</t>
  </si>
  <si>
    <t>MWEDPM#GAR@GQ</t>
  </si>
  <si>
    <t>QCMSGASrLPSLFSQ</t>
  </si>
  <si>
    <t>GQCM#SGASR@LPSLF</t>
  </si>
  <si>
    <t>G3BP1</t>
  </si>
  <si>
    <t>G3BP</t>
  </si>
  <si>
    <t>Ras GTPase-activating protein-binding protein 1</t>
  </si>
  <si>
    <t>LRGPGGPrGGLGGGM</t>
  </si>
  <si>
    <t>GGPR@GGLGGGMR</t>
  </si>
  <si>
    <t>GPGGPR@GGLGGGM#R</t>
  </si>
  <si>
    <t>GPGGPR@GGLGGGMR</t>
  </si>
  <si>
    <t>IRS2</t>
  </si>
  <si>
    <t>Insulin receptor substrate 2</t>
  </si>
  <si>
    <t>PVSVAGSPLSPGPVR*APLSR*</t>
  </si>
  <si>
    <t>LPP</t>
  </si>
  <si>
    <t>Lipoma-preferred partner</t>
  </si>
  <si>
    <t>TTASTSSrPTFNVQV</t>
  </si>
  <si>
    <t>SYTTASTSSR@PTFNVQVK</t>
  </si>
  <si>
    <t>RANBP2</t>
  </si>
  <si>
    <t>ANE1</t>
  </si>
  <si>
    <t>E3 SUMO-protein ligase RanBP2</t>
  </si>
  <si>
    <t>GPVYGMNrLPPQQHL</t>
  </si>
  <si>
    <t>GPVYGM#NR@LPPQQHIYAYPQQM#</t>
  </si>
  <si>
    <t>MYGPPALrFESPATG</t>
  </si>
  <si>
    <t>HTPPVQSSSACM#FSQEM#YGPPALR@FESPATGILSPR</t>
  </si>
  <si>
    <t>LPPQQHIYAYPQQM#HTPPVQSSSACM#FSQEM#YGPPALR@FESPATGILSPR</t>
  </si>
  <si>
    <t>M#FSQEM#YGPPALR@FESPATGILSPR</t>
  </si>
  <si>
    <t>YGPPALR@FESPATGILSPR</t>
  </si>
  <si>
    <t>YNSQYLLrPAANVTP</t>
  </si>
  <si>
    <t>LLR@PAANVTPTK</t>
  </si>
  <si>
    <t>YLLR@PAANVTPTK</t>
  </si>
  <si>
    <t>YSQSPAYNSQYLLR@PAANVTPTK</t>
  </si>
  <si>
    <t>TGF-beta-activated kinase 1 and MAP3K7-binding protein 3</t>
  </si>
  <si>
    <t>SPGSLYLrQTSQSSS</t>
  </si>
  <si>
    <t>GSPGSIYIR@QTSQSSSGR</t>
  </si>
  <si>
    <t>IR@QTSQSSSGR</t>
  </si>
  <si>
    <t>WDR33</t>
  </si>
  <si>
    <t>NET14</t>
  </si>
  <si>
    <t>pre-mRNA 3' end processing protein WDR33</t>
  </si>
  <si>
    <t>RSGSNWGrGSNMNSG</t>
  </si>
  <si>
    <t>SGSNWGR@GSN</t>
  </si>
  <si>
    <t>SGSNWGR@GSNM#N</t>
  </si>
  <si>
    <t>SGSNWGR@GSNM#NSGPPR</t>
  </si>
  <si>
    <t>SGSNWGR@GSNM#NSGPPR*</t>
  </si>
  <si>
    <t>SGSNWGR@GSNMN</t>
  </si>
  <si>
    <t>SGSNWGR@GSNMNSGPPR</t>
  </si>
  <si>
    <t>WGR@GSNMNSGPPR</t>
  </si>
  <si>
    <t>PLLGDGPrAPFNQEG</t>
  </si>
  <si>
    <t>TPLLGDGPR@APFNQEGQSTGPPPLIPGLGQQGAQGR</t>
  </si>
  <si>
    <t>Adhesion</t>
  </si>
  <si>
    <t>Protein LAP2</t>
  </si>
  <si>
    <t>PSKRPNArVGSEHSL</t>
  </si>
  <si>
    <t>R@VGSEHSLLDPPGK</t>
  </si>
  <si>
    <t>ITGB4</t>
  </si>
  <si>
    <t>CD104</t>
  </si>
  <si>
    <t>Integrin beta-4</t>
  </si>
  <si>
    <t>LWEHGRSrLPLSWAL</t>
  </si>
  <si>
    <t>SR@LPLSWALGSR</t>
  </si>
  <si>
    <t>Melanoma inhibitory activity protein 3</t>
  </si>
  <si>
    <t>LCGPFGPrPLPPPFG;PPFGPGMrPPLGLRE;MRPPLGLrEFAPGVP</t>
  </si>
  <si>
    <t>CGPFGPR@PLPPPFGPGM#R@PPLGLR@EFAPGVPPGR</t>
  </si>
  <si>
    <t>GPFGPR@PLPPPFGPGM#R@PPLGLR@EFAPGVPPGR</t>
  </si>
  <si>
    <t>GPR@PLPPPFGPGM#R@PPLGLR@EFAPGVPPGR</t>
  </si>
  <si>
    <t>CGPFGPR@PLPPPFGPGM#RPPLGLR@EFAPGVPPGR@</t>
  </si>
  <si>
    <t>GPFGPR@PLPPPFGPGM#RPPLGLR@EFAPGVPPGR@</t>
  </si>
  <si>
    <t>GPR@PLPPPFGPGM#RPPLGLR@EFAPGVPPGR@</t>
  </si>
  <si>
    <t>LCGPFGPrPLPPPFG;PPFGPGMrPPLGLRE</t>
  </si>
  <si>
    <t>GPR@PLPPPFGPGM#RPPLGLR@</t>
  </si>
  <si>
    <t>LCGPFGPrPLPPPFG</t>
  </si>
  <si>
    <t>GPR@PLPPPFGPGM#R*PPLGLR*</t>
  </si>
  <si>
    <t>RDLPLHPrGFLPGHA</t>
  </si>
  <si>
    <t>DLPLHPR@GFLPGHAPF</t>
  </si>
  <si>
    <t>LPGHAPFrPLGSLGP;PLGSLGPrEYFLPGT;EYFLPGTrLPPPTHG</t>
  </si>
  <si>
    <t>R@PLGSLGPR@EYFIPGTR@LPPPTHGPQEYPPPPAVR</t>
  </si>
  <si>
    <t>PLGSLGPrEYFLPGT;EYFLPGTrLPPPTHG</t>
  </si>
  <si>
    <t>GSLGPR@EYFIPGTR@LPPPTHGPQEYPPPPAVR</t>
  </si>
  <si>
    <t>EYFLPGTrLPPPTHG</t>
  </si>
  <si>
    <t>FIPGTR@LPPPTHGPQEYPPPPAVR</t>
  </si>
  <si>
    <t>Usherin</t>
  </si>
  <si>
    <t>LCKDYFFrQVGADPS</t>
  </si>
  <si>
    <t>DYFFR@QVGADPSAIDVCKPCDCDTVGTRNGSIL</t>
  </si>
  <si>
    <t>Apoptosis</t>
  </si>
  <si>
    <t>Apoptotic chromatin condensation inducer in the nucleus</t>
  </si>
  <si>
    <t>DDEGQKSrEAPLLKE</t>
  </si>
  <si>
    <t>TEEEEEEEEEEEEDDEEEEGDDEGQKSR@EAPI</t>
  </si>
  <si>
    <t>ADNP</t>
  </si>
  <si>
    <t>Activity-dependent neuroprotector homeobox protein</t>
  </si>
  <si>
    <t>QRSQAPArYSLQSAN</t>
  </si>
  <si>
    <t>SQAPAR@YSLQSANASSLSSGQLK</t>
  </si>
  <si>
    <t>C2H2-type zinc finger protein</t>
  </si>
  <si>
    <t>ZNF703</t>
  </si>
  <si>
    <t>ZN703</t>
  </si>
  <si>
    <t>Zinc finger protein 703</t>
  </si>
  <si>
    <t>PYALYGQrLASASAL</t>
  </si>
  <si>
    <t>ALYGQR@LASASALGYQ</t>
  </si>
  <si>
    <t>GQR@LASASALGYQ</t>
  </si>
  <si>
    <t>SHLSTAGGLAVPSLPTAGPYYSPYALYGQR@LASAS</t>
  </si>
  <si>
    <t>SHLSTAGGLAVPSLPTAGPYYSPYALYGQR@LASASALG</t>
  </si>
  <si>
    <t>SHLSTAGGLAVPSLPTAGPYYSPYALYGQR@LASASALGYQ</t>
  </si>
  <si>
    <t>YGQR@LASASALGYQ</t>
  </si>
  <si>
    <t>YSPYALYGQR@LASASALGYQ</t>
  </si>
  <si>
    <t>ZNF846</t>
  </si>
  <si>
    <t>ZN846</t>
  </si>
  <si>
    <t>Zinc finger protein 846</t>
  </si>
  <si>
    <t>ELFKR*SLM#SGLEQMEELR*</t>
  </si>
  <si>
    <t>Cell cycle regulation</t>
  </si>
  <si>
    <t>NCAPD2</t>
  </si>
  <si>
    <t>CND1</t>
  </si>
  <si>
    <t>Condensin complex subunit 1</t>
  </si>
  <si>
    <t>QALFGVRrMLPLLWS</t>
  </si>
  <si>
    <t>QFGVPQALFGVR*R@MLPLIWSK</t>
  </si>
  <si>
    <t>ROMO1</t>
  </si>
  <si>
    <t>Reactive oxygen species modulator 1</t>
  </si>
  <si>
    <t>GM#RGR@ELMGGIGKTMMQSGGTFGTFM#AIGMGIRC</t>
  </si>
  <si>
    <t>Cell surface</t>
  </si>
  <si>
    <t>Caprin-1</t>
  </si>
  <si>
    <t>NQPYYNSrGVSRGGS</t>
  </si>
  <si>
    <t>SNQPYYNSR@GV</t>
  </si>
  <si>
    <t>RGGSRGArGLMNGYR</t>
  </si>
  <si>
    <t>R@GLMNGYR</t>
  </si>
  <si>
    <t>Channel, calcium</t>
  </si>
  <si>
    <t>ITPR2</t>
  </si>
  <si>
    <t>Inositol 1,4,5-trisphosphate receptor type 2</t>
  </si>
  <si>
    <t>QRAAMGWrLSARSGP</t>
  </si>
  <si>
    <t>MVQR*AAMGWRLSAR@</t>
  </si>
  <si>
    <t>Chaperone</t>
  </si>
  <si>
    <t>AFG3L2</t>
  </si>
  <si>
    <t>AFG32</t>
  </si>
  <si>
    <t>AFG3-like protein 2</t>
  </si>
  <si>
    <t>ESKPAATTR*SSGGGGGG</t>
  </si>
  <si>
    <t>Heat shock 70 kDa protein 1A/1B</t>
  </si>
  <si>
    <t>FELSGIPPAPR*</t>
  </si>
  <si>
    <t>Cytoskeletal protein</t>
  </si>
  <si>
    <t>KRT18</t>
  </si>
  <si>
    <t>CK-18</t>
  </si>
  <si>
    <t>Keratin, type I cytoskeletal 18</t>
  </si>
  <si>
    <t>GAGGSGSrLSVSRST</t>
  </si>
  <si>
    <t>PVSSAASVYAGAGGSGSRISVSR@</t>
  </si>
  <si>
    <t>SSAASVYAGAGGSGSR@ISVSR</t>
  </si>
  <si>
    <t>STSFR*GGM#GSGGLATGIAGGLAGM#GGIQNEK</t>
  </si>
  <si>
    <t>KRT19</t>
  </si>
  <si>
    <t>CK19</t>
  </si>
  <si>
    <t>Keratin, type I cytoskeletal 19</t>
  </si>
  <si>
    <t>QSSATSSFGGLGGGSVR*</t>
  </si>
  <si>
    <t>Keratin, type II cytoskeletal 8</t>
  </si>
  <si>
    <t>RVGSSNFrGGLGGGY</t>
  </si>
  <si>
    <t>VGSSNFR@GGLGGGY</t>
  </si>
  <si>
    <t>VGSSNFR@GGLGGGYGGASGM#GGI</t>
  </si>
  <si>
    <t>VGSSNFR@GGLGGGYGGASGM#GGITAV</t>
  </si>
  <si>
    <t>VGSSNFR@GGLGGGYGGASGMGGITAV</t>
  </si>
  <si>
    <t>VGSSNFR*GGLGGGYGGASGM#GGI</t>
  </si>
  <si>
    <t>VGSSNFR*GGLGGGYGGASGM#GGITAV</t>
  </si>
  <si>
    <t>LIM domain-binding protein 3</t>
  </si>
  <si>
    <t>ASDPGPPrASLRAKT</t>
  </si>
  <si>
    <t>SSLAEASDPGPPR@ASLR</t>
  </si>
  <si>
    <t>Transgelin-2</t>
  </si>
  <si>
    <t>MTGYGMPrQLLxxxx</t>
  </si>
  <si>
    <t>GASQAGM#TGYGM#PR@QIL</t>
  </si>
  <si>
    <t>TLN1</t>
  </si>
  <si>
    <t>Talin-1</t>
  </si>
  <si>
    <t>ER*IPEAPAGPPSDFGLFLSDDD</t>
  </si>
  <si>
    <t>Gamma-tubulin complex component 3</t>
  </si>
  <si>
    <t>PGVGDCLrQQLGSRL</t>
  </si>
  <si>
    <t>SAQSAQSSGSVGSSGISSIGLCALSGPAPAPQSLLPGQSNQAPGVGDCLR@QQLGSR</t>
  </si>
  <si>
    <t>SAQSAQSSGSVGSSGISSIGLCALSGPAPAPQSLLPGQSNQAPGVGDCLRQQLGSR@</t>
  </si>
  <si>
    <t>DNA binding protein</t>
  </si>
  <si>
    <t>AT-rich interactive domain-containing protein 1A</t>
  </si>
  <si>
    <t>YGSQTPQrYPMTMQG</t>
  </si>
  <si>
    <t>GGTNPYSQQQGPPSGPQQGHGYPGQPYGSQTPQR@YPM#TM#QGR</t>
  </si>
  <si>
    <t>M#RPQPYGGTNPYSQQQGPPSGPQQGHGYPGQPYGSQTPQR@YPM#</t>
  </si>
  <si>
    <t>M#RPQPYGGTNPYSQQQGPPSGPQQGHGYPGQPYGSQTPQR@YPM#T</t>
  </si>
  <si>
    <t>M#RPQPYGGTNPYSQQQGPPSGPQQGHGYPGQPYGSQTPQR@YPM#TM#QGR</t>
  </si>
  <si>
    <t>SQQQGPPSGPQQGHGYPGQPYGSQTPQR@YPM#TM#QGR</t>
  </si>
  <si>
    <t>GGTNPYSQQQGPPSGPQQGHGYPGQPYGSQTPQRYPM#TM#QGR@</t>
  </si>
  <si>
    <t>GGTNPYSQQQGPPSGPQQGHGYPGQPYGSQTPQRYPMTM#QGR@</t>
  </si>
  <si>
    <t>GGTNPYSQQQGPPSGPQQGHGYPGQPYGSQTPQR*YPM#TM#QGR*</t>
  </si>
  <si>
    <t>GGTNPYSQQQGPPSGPQQGHGYPGQPYGSQTPQR*YPM#TMQGR*</t>
  </si>
  <si>
    <t>GGTNPYSQQQGPPSGPQQGHGYPGQPYGSQTPQR*YPMTM#QGR*</t>
  </si>
  <si>
    <t>PLPR*PM#ENR</t>
  </si>
  <si>
    <t>AT-rich interactive domain-containing protein 1B</t>
  </si>
  <si>
    <t>MDPMVMKrPQLYGMG;YGPPGPQrYPLGLQG</t>
  </si>
  <si>
    <t>R@PQLYGM#GSNPHSQPQQSSPYPGGSYGPPGPQR@YPI</t>
  </si>
  <si>
    <t>R@PQLYGM#GSNPHSQPQQSSPYPGGSYGPPGPQR@YPIGI</t>
  </si>
  <si>
    <t>YGPPGPQrYPLGLQG</t>
  </si>
  <si>
    <t>QSSPYPGGSYGPPGPQR@YPIGIQGR</t>
  </si>
  <si>
    <t>SQPQQSSPYPGGSYGPPGPQR@YPIGIQGR</t>
  </si>
  <si>
    <t>GM#GSNPHSQPQQSSPYPGGSYGPPGPQRYPIGIQGR@</t>
  </si>
  <si>
    <t>GM#GSNPHSQPQQSSPYPGGSYGPPGPQR*YPIGIQGR*</t>
  </si>
  <si>
    <t>QSSPYPGGSYGPPGPQR*YPIGIQGR*</t>
  </si>
  <si>
    <t>SQPQQSSPYPGGSYGPPGPQR*YPIGIQGR*</t>
  </si>
  <si>
    <t>Chromodomain-helicase-DNA-binding protein 3</t>
  </si>
  <si>
    <t>EEEDDHMEYCR*VC</t>
  </si>
  <si>
    <t>Chromodomain-helicase-DNA-binding protein 7</t>
  </si>
  <si>
    <t>PPQQGAVrPQTLNFS</t>
  </si>
  <si>
    <t>FSPNPPQQGAVR@PQTLN</t>
  </si>
  <si>
    <t>NNSGQYSrYPYSNLN</t>
  </si>
  <si>
    <t>SQTVPSPTINNSGQYSR@YPY</t>
  </si>
  <si>
    <t>CRIP1</t>
  </si>
  <si>
    <t>CRHP</t>
  </si>
  <si>
    <t>Cysteine-rich protein 1</t>
  </si>
  <si>
    <t>GFGR*GGAESHTFK</t>
  </si>
  <si>
    <t>FOXN1</t>
  </si>
  <si>
    <t>RONU</t>
  </si>
  <si>
    <t>Forkhead box protein N1</t>
  </si>
  <si>
    <t>PGKNPLQDLLMGHTPSCYGQTYLHLSPGLAPPGPPQPLFPQPDGHLELR*</t>
  </si>
  <si>
    <t>RNA-binding protein FUS</t>
  </si>
  <si>
    <t>GQQDRGGrGRGGSGG;QDRGGRGrGGSGGGG</t>
  </si>
  <si>
    <t>GGR@GR@GGSGGGGGGGGGGYNR</t>
  </si>
  <si>
    <t>GRGGPMGrGGYGGGG;GGSGGGGrGGFPSGG</t>
  </si>
  <si>
    <t>GR@GGYGGGGSGGGGR@GGFPSGGGGGGGQQR</t>
  </si>
  <si>
    <t>GGSGGGGrGGFPSGG</t>
  </si>
  <si>
    <t>GGGGSGGGGR@GGFPSGGGGGGGQQR</t>
  </si>
  <si>
    <t>HIRA-interacting protein 3</t>
  </si>
  <si>
    <t>KEMQEFTrSFFRGRP;EFTRSFFrGRPDLST</t>
  </si>
  <si>
    <t>EKEM#QEFTR@SFFR@GRPD</t>
  </si>
  <si>
    <t>Heterogeneous nuclear ribonucleoprotein U</t>
  </si>
  <si>
    <t>RAPVFPGrGSYSNRG;GRGSYSNrGNYNRGG</t>
  </si>
  <si>
    <t>APVFPGR@GSYSNR@GNY</t>
  </si>
  <si>
    <t>APVFPGR@GSYSNR@GNYN</t>
  </si>
  <si>
    <t>RAPVFPGrGSYSNRG</t>
  </si>
  <si>
    <t>APVFPGR@GSY</t>
  </si>
  <si>
    <t>APVFPGR@GSYSN</t>
  </si>
  <si>
    <t>SGKNQFNrGGGHRGR</t>
  </si>
  <si>
    <t>NQFNR@GGGH</t>
  </si>
  <si>
    <t>FNRGGGHrGRGGFNM;RGGGHRGrGGFNMRG</t>
  </si>
  <si>
    <t>GGGHR@GR@GGFN</t>
  </si>
  <si>
    <t>ISL2</t>
  </si>
  <si>
    <t>Insulin gene enhancer protein ISL-2</t>
  </si>
  <si>
    <t>PGPLPGArGLHLPDA</t>
  </si>
  <si>
    <t>SPGPLPGAR@G</t>
  </si>
  <si>
    <t>Histone-lysine N-methyltransferase 2D</t>
  </si>
  <si>
    <t>GSQAFYQrAPYPGSL;ATAATSMrFAMSARF</t>
  </si>
  <si>
    <t>QLVGGSQAFYQR@APYPGSLPLQQQQQQLWQQQQATAATSM#R@FAM#</t>
  </si>
  <si>
    <t>QLVGGSQAFYQR@APYPGSLPLQQQQQQLWQQQQATAATSM#R@FAM#SA</t>
  </si>
  <si>
    <t>MRFAMSArFPSTPGP</t>
  </si>
  <si>
    <t>AM#SAR@FPSTPGPELGR</t>
  </si>
  <si>
    <t>M#SAR@FPSTPGPELGR</t>
  </si>
  <si>
    <t>SAR@FPSTPGPELGR</t>
  </si>
  <si>
    <t>PLAGLSTrLPGPGEP</t>
  </si>
  <si>
    <t>QALGSPLAGISTR@LPGPGEPVPGPAGPAQF</t>
  </si>
  <si>
    <t>QALGSPLAGISTR@LPGPGEPVPGPAGPAQFIELR</t>
  </si>
  <si>
    <t>QLQLQQQrMQLAQKL</t>
  </si>
  <si>
    <t>QLQLQQQR@M#QLAQK</t>
  </si>
  <si>
    <t>QLQLQQQR@MQLAQK</t>
  </si>
  <si>
    <t>MPTVGQLrAQLQGVL</t>
  </si>
  <si>
    <t>NTGPQPPKPGPVLQSGQGLPGVGIM#PTVGQLR@AQLQGVLAK</t>
  </si>
  <si>
    <t>PGPVLQSGQGLPGVGIM#PTVGQLR@AQLQGVLAK</t>
  </si>
  <si>
    <t>PM#QNNTGPQPPKPGPVLQSGQGLPGVGIM#PTVGQLR@AQLQGVLAK</t>
  </si>
  <si>
    <t>PM#QNNTGPQPPKPGPVLQSGQGLPGVGIMPTVGQLR@AQLQGVLAK</t>
  </si>
  <si>
    <t>TGPQPPKPGPVLQSGQGLPGVGIM#PTVGQLR@AQLQGVLAK</t>
  </si>
  <si>
    <t>VGQLR@AQLQGVLAK</t>
  </si>
  <si>
    <t>LEPVAAMrKEADMLR</t>
  </si>
  <si>
    <t>GR*PEFVIKVIEQGLEDLVFTDASPQAVWNR*IIEPVAAM#R@</t>
  </si>
  <si>
    <t>LHX3</t>
  </si>
  <si>
    <t>9, 11</t>
  </si>
  <si>
    <t>LIM/homeobox protein Lhx3</t>
  </si>
  <si>
    <t>LLETGLErDRARPGA;ETGLERDrARPGAAA</t>
  </si>
  <si>
    <t>MLLETGLER@DR@ARPGA</t>
  </si>
  <si>
    <t>MAX gene-associated protein</t>
  </si>
  <si>
    <t>TVKRAGPrLLLLPVQ;QQGSPTLrPVSNTQL</t>
  </si>
  <si>
    <t>AGPR@LLLIPVQQGSPTLR@PV</t>
  </si>
  <si>
    <t>Nuclear receptor coactivator 1</t>
  </si>
  <si>
    <t>RQLLQQQrAMLMRQQ</t>
  </si>
  <si>
    <t>QLIQQQR@AM#</t>
  </si>
  <si>
    <t>QLIQQQR@AM#L</t>
  </si>
  <si>
    <t>Nuclear factor of activated T-cells, cytoplasmic 4</t>
  </si>
  <si>
    <t>xxxMLSGrDLGAPAG</t>
  </si>
  <si>
    <t>MLSGR@DLGAPAGSM#</t>
  </si>
  <si>
    <t>Nuclear factor 1 X-type</t>
  </si>
  <si>
    <t>YFTHPTLrYHHHHGQ</t>
  </si>
  <si>
    <t>IR@YHHHHGQDSLK</t>
  </si>
  <si>
    <t>Protein polybromo-1</t>
  </si>
  <si>
    <t>FNVVLEArEPGSGRR;REPGSGRrLCDLFMV</t>
  </si>
  <si>
    <t>EAR@EPGSGR*R@</t>
  </si>
  <si>
    <t>DNA-binding protein SATB2</t>
  </si>
  <si>
    <t>LHHSTPLrNQVPALQ</t>
  </si>
  <si>
    <t>TNEQSPHSQIHHSTPIR@N</t>
  </si>
  <si>
    <t>QLSPQLVrQQLAMAH</t>
  </si>
  <si>
    <t>LSPQLVR@QQIAM#AHLINQQIAVSR</t>
  </si>
  <si>
    <t>LVR@QQIAM#AHLINQQIAVSR</t>
  </si>
  <si>
    <t>M#SPGLLSPQLSPQLVR@QQIAM#AHLINQQIAVSR</t>
  </si>
  <si>
    <t>M#SPGLLSPQLSPQLVR@QQIAMAHLINQQIAVSR</t>
  </si>
  <si>
    <t>MSPGLLSPQLSPQLVR@QQIAM#AHLINQQIAVSR</t>
  </si>
  <si>
    <t>R@QQIAM#AHLINQQIAVSR</t>
  </si>
  <si>
    <t>R@QQIAMAHLINQQIAVSR</t>
  </si>
  <si>
    <t>SPGLLSPQLSPQLVR@QQIAM#AHLINQQIAVSR</t>
  </si>
  <si>
    <t>SMARCC1</t>
  </si>
  <si>
    <t>SRG3</t>
  </si>
  <si>
    <t>SWI/SNF complex subunit SMARCC1</t>
  </si>
  <si>
    <t>PGNLLGPrVPLTAPN</t>
  </si>
  <si>
    <t>M#IPTVAANIHPSGSGPTPPGM#PPM#PGNILGPR@VPL</t>
  </si>
  <si>
    <t>M#IPTVAANIHPSGSGPTPPGM#PPM#PGNILGPR@VPLT</t>
  </si>
  <si>
    <t>M#IPTVAANIHPSGSGPTPPGM#PPM#PGNILGPR@VPLTAPN</t>
  </si>
  <si>
    <t>Single-stranded DNA-binding protein 3</t>
  </si>
  <si>
    <t>PRYAGGPrPPLRMGN;GGPRPPLrMGNQPPG</t>
  </si>
  <si>
    <t>YAGGPR@PPIR@M#GNQPPGGVPGTQPLLPN</t>
  </si>
  <si>
    <t>Transcription factor EB</t>
  </si>
  <si>
    <t>MASRLGLrMQLMREQ</t>
  </si>
  <si>
    <t>IGLR@M#QLM#R</t>
  </si>
  <si>
    <t>IGLR@M#QLMR</t>
  </si>
  <si>
    <t>IGLR@MQLM#R</t>
  </si>
  <si>
    <t>Zinc finger and SCAN domain-containing protein 18</t>
  </si>
  <si>
    <t>ADEPGLSrGKPYACG</t>
  </si>
  <si>
    <t>GPGADEPGLSR@GKPYACGECGEAFAWLSHLM#EHHSSHGGR*</t>
  </si>
  <si>
    <t>DNA replication</t>
  </si>
  <si>
    <t>CHTF8</t>
  </si>
  <si>
    <t>CTF8 iso 2</t>
  </si>
  <si>
    <t>Chromosome transmission fidelity protein 8 homolog isoform 2</t>
  </si>
  <si>
    <t>TGAVSFPrPGGLLGP;PGPTLNPrTGALPGP;PGPLSNPrLGGLPGP</t>
  </si>
  <si>
    <t>114, 132, 160</t>
  </si>
  <si>
    <t>SFPR@PGGLLGPGPGPGPTLNPR@TGALPGPGPLSNPRLGGLPGPGPM#SNPR@</t>
  </si>
  <si>
    <t>PGPMSNPrAGGLLGA</t>
  </si>
  <si>
    <t>PGPLSNPrLGGLPGP</t>
  </si>
  <si>
    <t>TGALPGPGPLSNPR@LGGLPGPGPM#SNPR</t>
  </si>
  <si>
    <t>146, 160</t>
  </si>
  <si>
    <t>PGPLSNPrLGGLPGP;PGPMSNPrAGGLLGA</t>
  </si>
  <si>
    <t>SNPR@LGGLPGPGPM#SNPR@AGGLLGAGPDPR</t>
  </si>
  <si>
    <t>TGALPGPGPLSNPR@LGGLPGPGPM#SNPR@AGGLLGAGPDPR</t>
  </si>
  <si>
    <t>SNPR@AGGLLGAGPDPR</t>
  </si>
  <si>
    <t>SNPR@AGGLLGAGPDPR*</t>
  </si>
  <si>
    <t>172, 186</t>
  </si>
  <si>
    <t>LGAGPDPrGGGPMGP;PGSGPNLrAGVLLTS</t>
  </si>
  <si>
    <t>AGGLLGAGPDPR@GGGPM#GPGSGPNLR@AGVLLT</t>
  </si>
  <si>
    <t>PGSGPNLrAGVLLTS</t>
  </si>
  <si>
    <t>GGGPM#GPGSGPNLR@AGVLLT</t>
  </si>
  <si>
    <t>LGTNPAPrSGVFPGP</t>
  </si>
  <si>
    <t>GFLGTNPAPR@SGVFPGPGLGPNPR*PSGLGPGPNLDAR*</t>
  </si>
  <si>
    <t>225, 239</t>
  </si>
  <si>
    <t>LGTNPAPrSGVFPGP;PGLGPNPrPSGLGPG</t>
  </si>
  <si>
    <t>SGFLGTNPAPR@SGVFPGPGLGPNPR@PSGLGPGPNLDAR</t>
  </si>
  <si>
    <t>PGLGPNPrPSGLGPG</t>
  </si>
  <si>
    <t>SGVFPGPGLGPNPR@PSGLGPGPNLDAR</t>
  </si>
  <si>
    <t>SGVFPGPGLGPNPR@PSGLGPGPNLDAR*</t>
  </si>
  <si>
    <t>TGSGLNLrMAGPQGL</t>
  </si>
  <si>
    <t>AGGLLGTGSGLNLR@M#</t>
  </si>
  <si>
    <t>AGGLLGTGSGLNLR@M#AGPQGLDLAPILR</t>
  </si>
  <si>
    <t>AGGLLGTGSGLNLR@M#AGPQGLDLAPILR*</t>
  </si>
  <si>
    <t>AGGLLGTGSGLNLR@M#AGPQGLDLAPILR*AAGLLG</t>
  </si>
  <si>
    <t>AGGLLGTGSGLNLR@M#AGPQGLDLAPILR*AAGLLGAN</t>
  </si>
  <si>
    <t>266, 280</t>
  </si>
  <si>
    <t>TGSGLNLrMAGPQGL;LDLAPLLrAAGLLGA</t>
  </si>
  <si>
    <t>AGGLLGTGSGLNLR@M#AGPQGLDLAPILR@A</t>
  </si>
  <si>
    <t>AGGLLGTGSGLNLR@M#AGPQGLDLAPILR@AA</t>
  </si>
  <si>
    <t>AGGLLGTGSGLNLR@M#AGPQGLDLAPILR@AAG</t>
  </si>
  <si>
    <t>AGGLLGTGSGLNLR@M#AGPQGLDLAPILR@AAGLL</t>
  </si>
  <si>
    <t>AGGLLGTGSGLNLR@M#AGPQGLDLAPILR@AAGLLG</t>
  </si>
  <si>
    <t>AGGLLGTGSGLNLR@M#AGPQGLDLAPILR@AAGLLGAN</t>
  </si>
  <si>
    <t>AGGLLGTGSGLNLR@M#AGPQGLDLAPILR@AAGLLGANSA</t>
  </si>
  <si>
    <t>AGGLLGTGSGLNLR@M#AGPQGLDLAPILR@AAGLLGANSASF</t>
  </si>
  <si>
    <t>AGGLLGTGSGLNLR@M#AGPQGLDLAPILR@AAGLLGANSASFSQ</t>
  </si>
  <si>
    <t>AGGLLGTGSGLNLR@M#AGPQGLDLAPILR@AAGLLGANSASFSQA</t>
  </si>
  <si>
    <t>AGGLLGTGSGLNLR@M#AGPQGLDLAPILR@AAGLLGANSASFSQASGN</t>
  </si>
  <si>
    <t>TSPSSMArVPGPMGP</t>
  </si>
  <si>
    <t>AR@VPGPM#GPNSGPSSR</t>
  </si>
  <si>
    <t>AR@VPGPM#GPNSGPSSR*</t>
  </si>
  <si>
    <t>AR@VPGPMGPNSGPSSR</t>
  </si>
  <si>
    <t>M#GTSPSSM#AR@VPGPM#GPNSGPSSR</t>
  </si>
  <si>
    <t>MGTSPSSM#AR@VPGPM#GPNSGPSSR</t>
  </si>
  <si>
    <t>SM#AR@VPGPM#GPNSGPSSR</t>
  </si>
  <si>
    <t>SQASGNM#GTSPSSM#AR@VPGPM#GPNSGPSSR</t>
  </si>
  <si>
    <t>466, 480</t>
  </si>
  <si>
    <t>LNPAPFTrPTGTLGL;LNPASFPrMNGPAGK</t>
  </si>
  <si>
    <t>TR@PTGTLGLNPASFPR@M#NGPAGK</t>
  </si>
  <si>
    <t>GNLTPFPrNPSPFPA</t>
  </si>
  <si>
    <t>LDGSLGPQGGPVLNTGHPLGVNSDPFLM#AAGSLGGNLTPFPR@NPSPFPASS</t>
  </si>
  <si>
    <t>G protein regulator, misc.</t>
  </si>
  <si>
    <t>COP9 signalosome complex subunit 1</t>
  </si>
  <si>
    <t>YLDCGDLSNALKCYSR*</t>
  </si>
  <si>
    <t>GTPase activating protein, misc.</t>
  </si>
  <si>
    <t>GTPase-activating Rap/Ran-GAP domain-like protein 3</t>
  </si>
  <si>
    <t>LQRAGRFrVENGSSD;TALPGTWrRTDVHLE</t>
  </si>
  <si>
    <t>FR@VENGSSDENATALPGTWR@</t>
  </si>
  <si>
    <t>Hydrolase</t>
  </si>
  <si>
    <t>Double-stranded RNA-specific adenosine deaminase</t>
  </si>
  <si>
    <t>GYEHRQLrYQQPGPG</t>
  </si>
  <si>
    <t>QLR@YQQPGPGSSPS</t>
  </si>
  <si>
    <t>QLR@YQQPGPGSSPSSF</t>
  </si>
  <si>
    <t>QLR@YQQPGPGSSPSSFLLK</t>
  </si>
  <si>
    <t>mRNA-decapping enzyme 1A</t>
  </si>
  <si>
    <t>LANQSPFrAPLNVTN</t>
  </si>
  <si>
    <t>ANQSPFR@APLNVTNTAGTSLPSVDLLQK</t>
  </si>
  <si>
    <t>QSPFR@APLNVTNTAGTSLPSVDLLQK</t>
  </si>
  <si>
    <t>R@APLNVTNTAGTSLPSVDLLQK</t>
  </si>
  <si>
    <t>SPLLNQPVPELSHASLIANQSPFR@APLNVTNTAGTSLPSVDLLQK</t>
  </si>
  <si>
    <t>Dynamin-1</t>
  </si>
  <si>
    <t>SRPGASPDPFGPPPQVPSRPNR*APPGVPSR</t>
  </si>
  <si>
    <t>Immunoglobulin superfamily</t>
  </si>
  <si>
    <t>G6B</t>
  </si>
  <si>
    <t>NG31</t>
  </si>
  <si>
    <t>Protein G6b</t>
  </si>
  <si>
    <t>THGACPR*NR</t>
  </si>
  <si>
    <t>Matrix-remodeling-associated protein 8</t>
  </si>
  <si>
    <t>LLLFILLLVTVLLAAR*R*RR</t>
  </si>
  <si>
    <t>Inhibitor protein</t>
  </si>
  <si>
    <t>GPS2</t>
  </si>
  <si>
    <t>G protein pathway suppressor 2</t>
  </si>
  <si>
    <t>ATSQPGPrLPFLQHS</t>
  </si>
  <si>
    <t>SGFAATSQPGPR@LPF</t>
  </si>
  <si>
    <t>SGFAATSQPGPR@LPFIQH</t>
  </si>
  <si>
    <t>ATSQPGPrLPFLQHS;LQHSQNPrFYHKxxx</t>
  </si>
  <si>
    <t>SGFAATSQPGPR@LPFIQHSQNPR@FYHK</t>
  </si>
  <si>
    <t>Isomerase</t>
  </si>
  <si>
    <t>Protein PAT1 homolog 1</t>
  </si>
  <si>
    <t>PVLSPLQrAQLLGGA</t>
  </si>
  <si>
    <t>M#SPNQLCSVPNSSLLGHPFPPSVPPVLSPLQR@AQLL</t>
  </si>
  <si>
    <t>M#SPNQLCSVPNSSLLGHPFPPSVPPVLSPLQR@AQLLG</t>
  </si>
  <si>
    <t>M#SPNQLCSVPNSSLLGHPFPPSVPPVLSPLQR@AQLLGGAQLQPGR</t>
  </si>
  <si>
    <t>MSPNQLCSVPNSSLLGHPFPPSVPPVLSPLQR@AQLLGGAQLQPGR</t>
  </si>
  <si>
    <t>QLCSVPNSSLLGHPFPPSVPPVLSPLQR@AQLLGGAQLQPGR</t>
  </si>
  <si>
    <t>QR@AQLLGGAQLQPGR</t>
  </si>
  <si>
    <t>QR@AQLLGGAQLQPGR*</t>
  </si>
  <si>
    <t>R@AQLLGGAQLQPGR</t>
  </si>
  <si>
    <t>SSLLGHPFPPSVPPVLSPLQR@AQLLGGAQLQPGR</t>
  </si>
  <si>
    <t>SSLLGHPFPPSVPPVLSPLQR@AQLLGGAQLQPGR*</t>
  </si>
  <si>
    <t>SVPNSSLLGHPFPPSVPPVLSPLQR@AQLLGGAQLQPGR</t>
  </si>
  <si>
    <t>SVPNSSLLGHPFPPSVPPVLSPLQR@AQLLGGAQLQPGR*</t>
  </si>
  <si>
    <t>M#SPNQLCSVPNSSLLGHPFPPSVPPVLSPLQRAQLLGGAQLQPGR@</t>
  </si>
  <si>
    <t>GAQLQPGrMSPSQFA</t>
  </si>
  <si>
    <t>QLCSVPNSSLLGHPFPPSVPPVLSPLQR*AQLLGGAQLQPGR@</t>
  </si>
  <si>
    <t>QLCSVPNSSLLGHPFPPSVPPVLSPLQRAQLLGGAQLQPGR@</t>
  </si>
  <si>
    <t>LGGAQLQPGR*</t>
  </si>
  <si>
    <t>LLGGAQLQPGR*</t>
  </si>
  <si>
    <t>M#SPNQLCSVPNSSLLGHPFPPSVPPVLSPLQR*AQLLGGAQLQPGR*</t>
  </si>
  <si>
    <t>SVPNSSLLGHPFPPSVPPVLSPLQR*AQLLGGAQLQPGR*</t>
  </si>
  <si>
    <t>MSPSQFArVPGFVGS</t>
  </si>
  <si>
    <t>AR@VPGFVGSPLAAM#NPK</t>
  </si>
  <si>
    <t>AR@VPGFVGSPLAAMNPK</t>
  </si>
  <si>
    <t>M#SPSQFAR@VPGFVG</t>
  </si>
  <si>
    <t>M#SPSQFAR@VPGFVGSPL</t>
  </si>
  <si>
    <t>M#SPSQFAR@VPGFVGSPLAA</t>
  </si>
  <si>
    <t>CPKPVHVrPPMPPRY;VRPPMPPrYPAPYGE</t>
  </si>
  <si>
    <t>HVR@PPM#PPR@YPAPYGER</t>
  </si>
  <si>
    <t>PVHVR@PPM#PPR@YPAPYGER</t>
  </si>
  <si>
    <t>NPKLLQGrVGQMLPP;LPPAPGFrAFFSAPP</t>
  </si>
  <si>
    <t>LLQGR@VGQM#LPPAPGFR@AF</t>
  </si>
  <si>
    <t>LPPAPGFrAFFSAPP</t>
  </si>
  <si>
    <t>VGQM#LPPAPGFR@AF</t>
  </si>
  <si>
    <t>PUS7</t>
  </si>
  <si>
    <t>Pseudouridylate synthase 7 homolog</t>
  </si>
  <si>
    <t>DGR*ISHLNDLSIPVDE</t>
  </si>
  <si>
    <t>KINASE</t>
  </si>
  <si>
    <t>HSPA5</t>
  </si>
  <si>
    <t>MIF2</t>
  </si>
  <si>
    <t>78 kDa glucose-regulated protein</t>
  </si>
  <si>
    <t>SQHQARIEIESFYEGEDFSETLTRAKFEELNM#DLFR*</t>
  </si>
  <si>
    <t>Interleukin-1 receptor-associated kinase 1</t>
  </si>
  <si>
    <t>SRFAGSSPSQSSMVARTQTVR*</t>
  </si>
  <si>
    <t>Dual specificity mitogen-activated protein kinase kinase 4</t>
  </si>
  <si>
    <t>PPFKSTArFTLNPNP</t>
  </si>
  <si>
    <t>STAR@FTLNPNPTGVQNPHIER</t>
  </si>
  <si>
    <t>STAR*FTLNPNPTGVQNPHIER</t>
  </si>
  <si>
    <t>Serine/threonine-protein kinase Nek7</t>
  </si>
  <si>
    <t>M#DEQSQGMQGPPVPQFQPQKALR*PDM#G</t>
  </si>
  <si>
    <t>PIK3CA</t>
  </si>
  <si>
    <t>PI3K</t>
  </si>
  <si>
    <t>Phosphatidylinositol 4,5-bisphosphate 3-kinase catalytic subunit alpha isoform</t>
  </si>
  <si>
    <t>M#PPRPSSGELWGIHLMPPR*ILVECL</t>
  </si>
  <si>
    <t>E3 ubiquitin-protein ligase TRIM33</t>
  </si>
  <si>
    <t>QLNLAQLrLQHMQQQ</t>
  </si>
  <si>
    <t>TPGQINLAQLR@LQH</t>
  </si>
  <si>
    <t>LSVQTMQrGNMNCGA</t>
  </si>
  <si>
    <t>QR@GNM#NCGAFQAHQM#R</t>
  </si>
  <si>
    <t>Triple functional domain protein</t>
  </si>
  <si>
    <t>GPSAPSRrPPGADAE</t>
  </si>
  <si>
    <t>MSGTSTPGPSLPPPGAAPEAGPSAPSR*R@PPGAD</t>
  </si>
  <si>
    <t>Titin</t>
  </si>
  <si>
    <t>PSDTGEYQCIVSNEGGSCSCSTR*</t>
  </si>
  <si>
    <t>TYRO3</t>
  </si>
  <si>
    <t>BYK</t>
  </si>
  <si>
    <t>Tyrosine-protein kinase receptor TYRO3</t>
  </si>
  <si>
    <t>QLSCEAVGPPEPVTIVWWR*</t>
  </si>
  <si>
    <t>Kinase (non-protein)</t>
  </si>
  <si>
    <t>UMP-CMP kinase 2, mitochondrial</t>
  </si>
  <si>
    <t>AFARRLLrGPLSGPL</t>
  </si>
  <si>
    <t>LLR@GPLSGPLLGR</t>
  </si>
  <si>
    <t>Ligase</t>
  </si>
  <si>
    <t>CCR4-NOT transcription complex subunit 4</t>
  </si>
  <si>
    <t>TFSVLPQrFPQFQQH</t>
  </si>
  <si>
    <t>GPGSGFLHPAAATNANSLNSTFSVLPQR@FPQFQQH</t>
  </si>
  <si>
    <t>Probable E3 ubiquitin-protein ligase DTX2</t>
  </si>
  <si>
    <t>SGARSAPrLNTTNAW;LGSQPLYrSSLSHLG</t>
  </si>
  <si>
    <t>SAPR@LNTTNAWGAAPPSLGSQPLYR@SSLSH</t>
  </si>
  <si>
    <t>DZIP3</t>
  </si>
  <si>
    <t>977, 1000</t>
  </si>
  <si>
    <t>E3 ubiquitin-protein ligase DZIP3</t>
  </si>
  <si>
    <t>LVKESFFrPLLTVPQ;VSATGQPrAPLMTGL</t>
  </si>
  <si>
    <t>ESFFR@PILTVPQM#PAVCPGVVSATGQPR@APLM#TGI</t>
  </si>
  <si>
    <t>E3 ubiquitin-protein ligase RNF123</t>
  </si>
  <si>
    <t>PTLGRANrFLSTAAV</t>
  </si>
  <si>
    <t>ANR@FLSTAAV</t>
  </si>
  <si>
    <t>Membrane protein, integral</t>
  </si>
  <si>
    <t>COLCA1</t>
  </si>
  <si>
    <t>Q6ZS62</t>
  </si>
  <si>
    <t>Colorectal cancer-associated protein 1</t>
  </si>
  <si>
    <t>DADDQLPCGEGR*PGWVRGELLGSQGVCKDSK</t>
  </si>
  <si>
    <t>cTAGE family member 5</t>
  </si>
  <si>
    <t>PPPLAPLrGPLFPVD;PLFPVDArGPFLRRG</t>
  </si>
  <si>
    <t>NDTKDDLGNLNVPDSSLPAENEATGPGFVPPPLAPIR@GPLFPVDAR@GPF</t>
  </si>
  <si>
    <t>NDTKDDLGNLNVPDSSLPAENEATGPGFVPPPLAPIR@GPLFPVDARGPFLR@</t>
  </si>
  <si>
    <t>PLFPVDArGPFLRRG</t>
  </si>
  <si>
    <t>DDLGNLNVPDSSLPAENEATGPGFVPPPLAPIR*GPLFPVDAR@GPFLR</t>
  </si>
  <si>
    <t>NDTKDDLGNLNVPDSSLPAENEATGPGFVPPPLAPIR*GPLFPVDAR@GPF</t>
  </si>
  <si>
    <t>PPAPFAMrNVYPPRG;MRNVYPPrGFPPYLP;FPPYLPPrPGFFPPP</t>
  </si>
  <si>
    <t>AM#R@NVYPPR@GFPPYLPPR@PGFFPPPPHSEGR</t>
  </si>
  <si>
    <t>PCNXL3</t>
  </si>
  <si>
    <t>PCX3</t>
  </si>
  <si>
    <t>Pecanex-like protein 3</t>
  </si>
  <si>
    <t>MRQSVR*EVLHSDLVMCVVIAVLTFAISASTVF</t>
  </si>
  <si>
    <t>Transmembrane protein 39A</t>
  </si>
  <si>
    <t>FLTVMLArRLVWALL</t>
  </si>
  <si>
    <t>FIQYINIYKTVWWYPYNHPASCTSLNFHLIDYHLAAFITVMLARR@</t>
  </si>
  <si>
    <t>TMEM43</t>
  </si>
  <si>
    <t>LUMA</t>
  </si>
  <si>
    <t>Transmembrane protein 43</t>
  </si>
  <si>
    <t>HVVTVLArQRGDQLV</t>
  </si>
  <si>
    <t>R*VSFSYAGLSGDDPDLGPAHVVTVIAR@QR</t>
  </si>
  <si>
    <t>Methyltransferase</t>
  </si>
  <si>
    <t>Histone-lysine N-methyltransferase 2C</t>
  </si>
  <si>
    <t>NVNQAFTrPPPPYPG;PPYPGNLrSPVAPPL;VAPPLGPrYAVFPKD</t>
  </si>
  <si>
    <t>TR@PPPPYPGNIR@SPVAPPLGPR@YAVFPK</t>
  </si>
  <si>
    <t>PPYPGNLrSPVAPPL;VAPPLGPrYAVFPKD</t>
  </si>
  <si>
    <t>R@SPVAPPLGPR@YAVFPK</t>
  </si>
  <si>
    <t>tRNA (cytosine(34)-C(5))-methyltransferase</t>
  </si>
  <si>
    <t>DGQWFTDWDAVPHSRHTQIR*PTM#FPPKDPEKLQAM#H</t>
  </si>
  <si>
    <t>Motor protein</t>
  </si>
  <si>
    <t>Dynein heavy chain 9, axonemal</t>
  </si>
  <si>
    <t>EILER*VTDEFNIPELMAK</t>
  </si>
  <si>
    <t>Nuclear receptor co-regulator</t>
  </si>
  <si>
    <t>B-cell lymphoma/leukemia 11B</t>
  </si>
  <si>
    <t>PLFSPPPrHHLDPHR</t>
  </si>
  <si>
    <t>LPGTPPLFSPPPR@HHLDPHR</t>
  </si>
  <si>
    <t>GMEB2</t>
  </si>
  <si>
    <t>Glucocorticoid modulatory element-binding protein 2</t>
  </si>
  <si>
    <t>SLPPPVKrPRLARAT</t>
  </si>
  <si>
    <t>R@PR*LARATSGPAAM#ASQVLTQSAQLALGPGVPVPQLTSVPLGKV</t>
  </si>
  <si>
    <t>Nucleoporin</t>
  </si>
  <si>
    <t>TPR</t>
  </si>
  <si>
    <t>2345, 2354</t>
  </si>
  <si>
    <t>Nucleoprotein TPR</t>
  </si>
  <si>
    <t>GRQFNRQrGVSHAMG;VSHAMGGrGGLNRGN</t>
  </si>
  <si>
    <t>QR@GVSHAMGGR@GGIN</t>
  </si>
  <si>
    <t>INPP5J</t>
  </si>
  <si>
    <t>PIPP</t>
  </si>
  <si>
    <t>56, 65</t>
  </si>
  <si>
    <t>Phosphatidylinositol 4,5-bisphosphate 5-phosphatase A</t>
  </si>
  <si>
    <t>ALGPSEPrLALAPVG;ALAPVGPrAAMSASS</t>
  </si>
  <si>
    <t>NAALGPSEPR@LALAPVGPR@AAM#</t>
  </si>
  <si>
    <t>Protein kinase, regulatory subunit</t>
  </si>
  <si>
    <t>PRKAB2</t>
  </si>
  <si>
    <t>AAKB2</t>
  </si>
  <si>
    <t>5'-AMP-activated protein kinase subunit beta-2</t>
  </si>
  <si>
    <t>EFVSWQQDLEDSVKPTQQAR*PTVIR</t>
  </si>
  <si>
    <t>RNA binding protein</t>
  </si>
  <si>
    <t>APOBEC1 complementation factor</t>
  </si>
  <si>
    <t>VRGAAGVrGLGGRGY;GVRGLGGrGYLAYTG</t>
  </si>
  <si>
    <t>GAAGVR@GLGGR@GYLA</t>
  </si>
  <si>
    <t>GVRGLGGrGYLAYTG</t>
  </si>
  <si>
    <t>GLGGR@GYLAY</t>
  </si>
  <si>
    <t>Cold-inducible RNA-binding protein</t>
  </si>
  <si>
    <t>GRGRGFSrGGGDRGY;FSRGGGDrGYGGNRF</t>
  </si>
  <si>
    <t>SR@GGGDR@GYGGNR</t>
  </si>
  <si>
    <t>DNRSRGYrGGSAGGR;RGGSAGGrGFFRGGR</t>
  </si>
  <si>
    <t>GYR@GGSAGGR@GFF</t>
  </si>
  <si>
    <t>SR*GYR@GGSAGGR@GFF</t>
  </si>
  <si>
    <t>RNA-binding protein EWS</t>
  </si>
  <si>
    <t>RGGRGMDrGGFGGGR</t>
  </si>
  <si>
    <t>DR@GGFGGGR</t>
  </si>
  <si>
    <t>GGFGGGRrGGPGGPP</t>
  </si>
  <si>
    <t>R@GGPGGPPGPL</t>
  </si>
  <si>
    <t>R@GGPGGPPGPLM#EQ</t>
  </si>
  <si>
    <t>R@GGPGGPPGPLM#EQM#</t>
  </si>
  <si>
    <t>R@GGPGGPPGPLM#EQM#GGR</t>
  </si>
  <si>
    <t>R@GGPGGPPGPLMEQM#</t>
  </si>
  <si>
    <t>FBL</t>
  </si>
  <si>
    <t>FIB1</t>
  </si>
  <si>
    <t>rRNA 2'-O-methyltransferase fibrillarin</t>
  </si>
  <si>
    <t>GGGGGGGrGGGGFHS</t>
  </si>
  <si>
    <t>GGGGGGGGGGGGGR@GGGGF</t>
  </si>
  <si>
    <t>MKPGFSPrGGGFGGR</t>
  </si>
  <si>
    <t>M#KPGFSPR@GGGF</t>
  </si>
  <si>
    <t>GAR1</t>
  </si>
  <si>
    <t>H/ACA ribonucleoprotein complex subunit 1</t>
  </si>
  <si>
    <t>GGGFRGGrGGGGGGF</t>
  </si>
  <si>
    <t>GGR@GGGGGGF</t>
  </si>
  <si>
    <t>HNRNPA0</t>
  </si>
  <si>
    <t>ROA0</t>
  </si>
  <si>
    <t>Heterogeneous nuclear ribonucleoprotein A0</t>
  </si>
  <si>
    <t>RSNSGPYrGGYGGGG</t>
  </si>
  <si>
    <t>SNSGPYR@GGYGGGGGYGGSSF</t>
  </si>
  <si>
    <t>Heterogeneous nuclear ribonucleoprotein A1</t>
  </si>
  <si>
    <t>SGNFGGGrGGGFGGN;GGNDNFGrGGNFSGR;RGGNFSGrGGFGGSR</t>
  </si>
  <si>
    <t>FGGGR@GGGFGGNDNFGR@GGNFSGR@GGFGGSR</t>
  </si>
  <si>
    <t>SGSGNFGGGR@GGGFGGNDNFGR@GGNFSGR@GGFGGSR*</t>
  </si>
  <si>
    <t>SGNFGGGrGGGFGGN;GGNDNFGrGGNFSGR</t>
  </si>
  <si>
    <t>SGSGNFGGGR@GGGFGGNDNFGR@GGN</t>
  </si>
  <si>
    <t>GGNDNFGrGGNFSGR;RGGNFSGrGGFGGSR</t>
  </si>
  <si>
    <t>SGSGNFGGGR@GGGFGGNDNFGR*GGNFSGR@GGFGGSR</t>
  </si>
  <si>
    <t>SGNFGGGrGGGFGGN</t>
  </si>
  <si>
    <t>SGSGNFGGGR@GGGFGGNDNFGR*</t>
  </si>
  <si>
    <t>Heterogeneous nuclear ribonucleoproteins A2/B1</t>
  </si>
  <si>
    <t>GFGDGYNGYGGGPGGGNFGGSPGYGGGR*</t>
  </si>
  <si>
    <t>GGNFGFGDSR*GGGGNFGPGPGSNFR</t>
  </si>
  <si>
    <t>SGR*GGNFGFGDSR*GGGGNFGPGPGSNFR</t>
  </si>
  <si>
    <t>Heterogeneous nuclear ribonucleoprotein A3</t>
  </si>
  <si>
    <t>GGGGNFGrGGNFGGR;RGGNFGGrGGYGGGG</t>
  </si>
  <si>
    <t>FGGGGGNFGR@GGNFGGR@GGYGGGGGGSR</t>
  </si>
  <si>
    <t>FGR@GGNFGGR@GGYGGGGGGSR</t>
  </si>
  <si>
    <t>RGGNFGGrGGYGGGG</t>
  </si>
  <si>
    <t>FGGR@GGYGGGGGGSR</t>
  </si>
  <si>
    <t>GGR@GGYGGGGGGSR</t>
  </si>
  <si>
    <t>GSYGGGDGGYNGFGGDGGNYGGGPGYSSR*</t>
  </si>
  <si>
    <t>Heterogeneous nuclear ribonucleoprotein D0</t>
  </si>
  <si>
    <t>GYGKVSRrGGHQNSY</t>
  </si>
  <si>
    <t>R@GGHQNSYKPY</t>
  </si>
  <si>
    <t>Heterogeneous nuclear ribonucleoprotein H3</t>
  </si>
  <si>
    <t>M#GM#GNNYSGGYGTPDGLGGYGR*</t>
  </si>
  <si>
    <t>M#GM#GNNYSGGYGTPDGLGGYGR*GGGGSGGYYGQGGM#SGGGWR</t>
  </si>
  <si>
    <t>Heterogeneous nuclear ribonucleoprotein U-like protein 1</t>
  </si>
  <si>
    <t>RGPPGGNrGGFQNRG;NRGGFQNrGGGSGGG;SGGGGNYrGGFNRSG</t>
  </si>
  <si>
    <t>GPPGGNR@GGFQNR@GGGSGGGGNYR@GGF</t>
  </si>
  <si>
    <t>GPPGGNR@GGFQNR@GGGSGGGGNYR@GGFN</t>
  </si>
  <si>
    <t>R@GGFQNR@GGGSGGGGNYR@GGFNR</t>
  </si>
  <si>
    <t>RGPPGGNrGGFQNRG;NRGGFQNrGGGSGGG</t>
  </si>
  <si>
    <t>GPPGGNR@GGFQNR@GGGSGGGGNY</t>
  </si>
  <si>
    <t>RGPPGGNrGGFQNRG</t>
  </si>
  <si>
    <t>GPPGGNR@GGF</t>
  </si>
  <si>
    <t>GPPGGNR@GGFQN</t>
  </si>
  <si>
    <t>NRGGFQNrGGGSGGG;SGGGGNYrGGFNRSG</t>
  </si>
  <si>
    <t>QNR@GGGSGGGGNYR@GGFNR</t>
  </si>
  <si>
    <t>KH domain-containing, RNA-binding, signal transduction-associated protein 1</t>
  </si>
  <si>
    <t>VPEPSRGrGVPVRGR;RGRGVPVrGRGAAPP;RGVPVRGrGAAPPPP;PPPPPVPrGRGVGPP</t>
  </si>
  <si>
    <t>GR@GVPVR@GR@GAAPPPPPVPR@</t>
  </si>
  <si>
    <t>PPPVPRGrGVGPPRG;GRGVGPPrGALVRGT</t>
  </si>
  <si>
    <t>GR@GVGPPR@GALV</t>
  </si>
  <si>
    <t>TRGATVTrGVPPPPT;VPPPPTVrGAPAPRA;VRGAPAPrARTAGLQ</t>
  </si>
  <si>
    <t>R@GVPPPPTVR@GAPAPR@</t>
  </si>
  <si>
    <t>Polyadenylate-binding protein 4</t>
  </si>
  <si>
    <t>AVQNLAPrAAVAAAA;AVAAAAPrAVAPYKY</t>
  </si>
  <si>
    <t>LAM#DFGGAGAAQQGLTDSCQSGGVPTAVQNLAPR@AAVAAAAPR@AV</t>
  </si>
  <si>
    <t>LAM#DFGGAGAAQQGLTDSCQSGGVPTAVQNLAPR@AAVAAAAPR@AVAPYK</t>
  </si>
  <si>
    <t>LAMDFGGAGAAQQGLTDSCQSGGVPTAVQNLAPR@AAVAAAAPR@AVAPYK</t>
  </si>
  <si>
    <t>QNLAPR@AAVAAAAPR@AVAPYK</t>
  </si>
  <si>
    <t>AVAAAAPrAVAPYKY</t>
  </si>
  <si>
    <t>VAAAAPR@AVAPYK</t>
  </si>
  <si>
    <t>YKYASSVrSPHPALQ</t>
  </si>
  <si>
    <t>YASSVR@SPHPAIQPLQ</t>
  </si>
  <si>
    <t>Polyadenylate-binding protein 2</t>
  </si>
  <si>
    <t>VLPKRTNrPGLSTTD;PGLSTTDrGFPRARY;TTDRGFPrARYRART</t>
  </si>
  <si>
    <t>TNRPGISTTDR@GFPR@AR@</t>
  </si>
  <si>
    <t>NYNSSRSrFYSGFNS</t>
  </si>
  <si>
    <t>SR@FYSGFN</t>
  </si>
  <si>
    <t>TSLALDESLFR*</t>
  </si>
  <si>
    <t>RBM27</t>
  </si>
  <si>
    <t>RNA-binding protein 27</t>
  </si>
  <si>
    <t>NLASVGTrLPPPLPQ</t>
  </si>
  <si>
    <t>DQPGTSAVPNLASVGTR@LPPPLPQNLLYTVSER</t>
  </si>
  <si>
    <t>RBM33</t>
  </si>
  <si>
    <t>PRR8</t>
  </si>
  <si>
    <t>RNA-binding protein 33</t>
  </si>
  <si>
    <t>NSFSQPPrLPLQDQW;LPLQDQWrAPPPPQD</t>
  </si>
  <si>
    <t>SFSQPPR@LPLQDQWR@APPPPQDR</t>
  </si>
  <si>
    <t>SQPPR@LPLQDQWR@APPPPQDR</t>
  </si>
  <si>
    <t>LGVSGEPrFPSHLFL</t>
  </si>
  <si>
    <t>DPFFLGVSGEPR@FPS</t>
  </si>
  <si>
    <t>DPFFLGVSGEPR@FPSH</t>
  </si>
  <si>
    <t>DPFFLGVSGEPR@FPSHL</t>
  </si>
  <si>
    <t>DPFFLGVSGEPR@FPSHLF</t>
  </si>
  <si>
    <t>DPFFLGVSGEPR@FPSHLFL</t>
  </si>
  <si>
    <t>DPFFLGVSGEPR@FPSHLFLE</t>
  </si>
  <si>
    <t>DPFFLGVSGEPR@FPSHLFLEQ</t>
  </si>
  <si>
    <t>DPFFLGVSGEPR@FPSHLFLEQR</t>
  </si>
  <si>
    <t>DPFFLGVSGEPR@FPSHLFLEQR*</t>
  </si>
  <si>
    <t>FLGVSGEPR@FPSHLFLEQR</t>
  </si>
  <si>
    <t>GEPR@FPSHLFLEQR</t>
  </si>
  <si>
    <t>GVSGEPR@FPSHLFLEQR</t>
  </si>
  <si>
    <t>PFFLGVSGEPR@FPSHLFLEQR</t>
  </si>
  <si>
    <t>LPVPSQPrPAVGPQR</t>
  </si>
  <si>
    <t>GTVVTPVQVPLLPVPSQPR@PA</t>
  </si>
  <si>
    <t>GTVVTPVQVPLLPVPSQPR@PAVGPQ</t>
  </si>
  <si>
    <t>411, 418</t>
  </si>
  <si>
    <t>LPVPSQPrPAVGPQR;RPAVGPQrFPGPPEF</t>
  </si>
  <si>
    <t>GTVVTPVQVPLLPVPSQPR@PAVGPQR@FPGPPEFPQHTPGPVPN</t>
  </si>
  <si>
    <t>RPAVGPQrFPGPPEF;LPLQDQWrAPPPPQD</t>
  </si>
  <si>
    <t>PAVGPQR@FPGPPEFPQHTPGPVPNSFSQPPR@LPLQDQWR*APPPPQDR*</t>
  </si>
  <si>
    <t>PAVGPQR@FPGPPEFPQHTPGPVPNSFSQPPR*LPLQDQWR@APPPPQDR*</t>
  </si>
  <si>
    <t>RPAVGPQrFPGPPEF;NSFSQPPrLPLQDQW</t>
  </si>
  <si>
    <t>VGPQR@FPGPPEFPQHTPGPVPNSFSQPPR@LPLQDQWR*APPPPQDR*</t>
  </si>
  <si>
    <t>RPAVGPQrFPGPPEF;NSFSQPPrLPLQDQW;LPLQDQWrAPPPPQD</t>
  </si>
  <si>
    <t>PAVGPQR@FPGPPEFPQHTPGPVPNSFSQPPR@LPLQDQWR@APPPPQDR</t>
  </si>
  <si>
    <t>R@FPGPPEFPQHTPGPVPNSFSQPPR@LPLQDQWRAPPPPQDR@</t>
  </si>
  <si>
    <t>VGPQR@FPGPPEFPQHTPGPVPNSFSQPPR@LPLQDQWRAPPPPQDR@</t>
  </si>
  <si>
    <t>418, 450</t>
  </si>
  <si>
    <t>LPLQDQWrAPPPPQD</t>
  </si>
  <si>
    <t>R@APPPPQDR</t>
  </si>
  <si>
    <t>QPQASSSrMQCPQRQ</t>
  </si>
  <si>
    <t>SSR@MQCPQR*QGLR*</t>
  </si>
  <si>
    <t>DPFFLGVSGEPR*</t>
  </si>
  <si>
    <t>DPFFLGVSGEPR*FPSHLFLEQR</t>
  </si>
  <si>
    <t>Splicing factor, arginine/serine-rich 15</t>
  </si>
  <si>
    <t>PPHGPFVrPGGMPGL</t>
  </si>
  <si>
    <t>VR@PGGM#PGLGGPGPGPGGPEDR</t>
  </si>
  <si>
    <t>Protein SCAF8</t>
  </si>
  <si>
    <t>DVVGRPIDPR*EGPGR@</t>
  </si>
  <si>
    <t>SLNMLPPrGCAYVCM</t>
  </si>
  <si>
    <t>ATQQDLTNLFEEFGQIESINMIPPR@GCAYVCM</t>
  </si>
  <si>
    <t>TMPMLDLrPGLLPQA;LPQAPGPrFPLLQPG</t>
  </si>
  <si>
    <t>IR@PGLIPQAPGPR@FPLIQPGIPPQR</t>
  </si>
  <si>
    <t>LDIR@PGLIPQAPGPR@FPLIQPGIPPQR</t>
  </si>
  <si>
    <t>M#PM#LDIR@PGLIPQAPGPR@FPLIQPGIPPQR</t>
  </si>
  <si>
    <t>LPQAPGPrFPLLQPG</t>
  </si>
  <si>
    <t>PGLIPQAPGPR@FPLIQPGIPPQR</t>
  </si>
  <si>
    <t>ATQQDLTNLFEEFGQIESINMIPPR*GCAYVCM#</t>
  </si>
  <si>
    <t>SRRM2</t>
  </si>
  <si>
    <t>Serine/arginine repetitive matrix protein 2</t>
  </si>
  <si>
    <t>GANLTSPrVPLSAYE</t>
  </si>
  <si>
    <t>M#APALSGANLTSPR@VPLSAYER</t>
  </si>
  <si>
    <t>Double-stranded RNA-binding protein Staufen homolog 1</t>
  </si>
  <si>
    <t>STYNYNMrGGAYPPR;RGGAYPPrYFYPFPV</t>
  </si>
  <si>
    <t>M#QSTYNYNM#R@GGAYPPR@YFYPFPVPPLL</t>
  </si>
  <si>
    <t>M#QSTYNYNM#R@GGAYPPR@YFYPFPVPPLLY</t>
  </si>
  <si>
    <t>M#QSTYNYNM#R@GGAYPPR@YFYPFPVPPLLYQ</t>
  </si>
  <si>
    <t>M#QSTYNYNM#R@GGAYPPR@YFYPFPVPPLLYQV</t>
  </si>
  <si>
    <t>M#QSTYNYNM#R@GGAYPPR@YFYPFPVPPLLYQVELSVGGQQFNGK</t>
  </si>
  <si>
    <t>M#QSTYNYNMR@GGAYPPR@YFYPFPVPPLLYQV</t>
  </si>
  <si>
    <t>M#R@GGAYPPR@YFYPFPVPPLLYQVELSVGGQQFNGK</t>
  </si>
  <si>
    <t>MQSTYNYNM#R@GGAYPPR@YFYPFPVPPLLYQV</t>
  </si>
  <si>
    <t>NM#R@GGAYPPR@YFYPFPVPPLLYQVELSVGGQQFNGK</t>
  </si>
  <si>
    <t>NYNM#R@GGAYPPR@YFYPFPVPPLLYQVELSVGGQQFNGK</t>
  </si>
  <si>
    <t>RGGAYPPrYFYPFPV</t>
  </si>
  <si>
    <t>GGAYPPR@YFYPFPVPPL</t>
  </si>
  <si>
    <t>GGAYPPR@YFYPFPVPPLL</t>
  </si>
  <si>
    <t>GGAYPPR@YFYPFPVPPLLY</t>
  </si>
  <si>
    <t>GGAYPPR@YFYPFPVPPLLYQ</t>
  </si>
  <si>
    <t>GGAYPPR@YFYPFPVPPLLYQV</t>
  </si>
  <si>
    <t>GGAYPPR@YFYPFPVPPLLYQVEL</t>
  </si>
  <si>
    <t>GGAYPPR@YFYPFPVPPLLYQVELS</t>
  </si>
  <si>
    <t>GGAYPPR@YFYPFPVPPLLYQVELSVGGQQFNGK</t>
  </si>
  <si>
    <t>M#QSTYNYNM#R*GGAYPPR@YFYPFPVPPLLYQV</t>
  </si>
  <si>
    <t>M#QSTYNYNM#R*</t>
  </si>
  <si>
    <t>M#QSTYNYNMR*</t>
  </si>
  <si>
    <t>MQSTYNYNM#R*</t>
  </si>
  <si>
    <t>PVDPYSR*</t>
  </si>
  <si>
    <t>5'-3' exoribonuclease 2</t>
  </si>
  <si>
    <t>PLPPPSGrYNWNxxx</t>
  </si>
  <si>
    <t>KYPLPPPSGR@YNWN</t>
  </si>
  <si>
    <t>RNA processing</t>
  </si>
  <si>
    <t>PCF11</t>
  </si>
  <si>
    <t>Pre-mRNA cleavage complex 2 protein Pcf11</t>
  </si>
  <si>
    <t>VQQGGGMrFEGPSVP</t>
  </si>
  <si>
    <t>GPLVQQGGGM#RFEGPSVPGGGLRIEGPLGQGGPR@FEGCHALR*</t>
  </si>
  <si>
    <t>GQPSLLPrFDGLHGQ;LHGQPGPrFERTPGQ</t>
  </si>
  <si>
    <t>LHGQPGPrFERTPGQ</t>
  </si>
  <si>
    <t>FDGQPGQPSLLPR*FDGLHGQPGPR@FER*</t>
  </si>
  <si>
    <t>1062, 1065</t>
  </si>
  <si>
    <t>FDGQPGQPSLLPRFDGLHGQPGPR@FER@</t>
  </si>
  <si>
    <t>MGGGGPLrFEGPQGQ</t>
  </si>
  <si>
    <t>FDGSPGQM#GGGGPLR@F</t>
  </si>
  <si>
    <t>FDGSPGQM#GGGGPLR@FEGPQGQ</t>
  </si>
  <si>
    <t>FDGSPGQM#GGGGPLR@FEGPQGQLGGGCPL</t>
  </si>
  <si>
    <t>FDGSPGQM#GGGGPLR@FEGPQGQLGGGCPLR</t>
  </si>
  <si>
    <t>805, 820</t>
  </si>
  <si>
    <t>MGGGGPLrFEGPQGQ;LGGGCPLrFEGPPGP</t>
  </si>
  <si>
    <t>FDGSPGQM#GGGGPLR@FEGPQGQLGGGCPLR@F</t>
  </si>
  <si>
    <t>FDGSPGQM#GGGGPLR@FEGPQGQLGGGCPLR@FEGPPGPVGTPL</t>
  </si>
  <si>
    <t>R@FEGPQGQLGGGCPLR@FEGPPGPVGTPLR*FEGPIGQAGGGGFR*</t>
  </si>
  <si>
    <t>805, 820, 833</t>
  </si>
  <si>
    <t>MGGGGPLrFEGPQGQ;LGGGCPLrFEGPPGP;GPVGTPLrFEGPLGQ</t>
  </si>
  <si>
    <t>FDGSPGQM#GGGGPLR@FEGPQGQLGGGCPLR@FEGPPGPVGTPLR@F</t>
  </si>
  <si>
    <t>FDGSPGQM#GGGGPLR@FEGPQGQLGGGCPLR@FEGPPGPVGTPLR@FEGPIGQ</t>
  </si>
  <si>
    <t>FDGSPGQM#GGGGPLR@FEGPQGQLGGGCPLR@FEGPPGPVGTPLR@FEGPIGQAGGGGFR</t>
  </si>
  <si>
    <t>LGGGCPLrFEGPPGP</t>
  </si>
  <si>
    <t>EGPQGQLGGGCPLR@FEGPPGPVGTPLR*FEGPIGQAGGGGFR*</t>
  </si>
  <si>
    <t>FEGPQGQLGGGCPLR@FEGPPGPVGTPLR*FEGPIGQAGGGGFR*</t>
  </si>
  <si>
    <t>820, 833</t>
  </si>
  <si>
    <t>LGGGCPLrFEGPPGP;GPVGTPLrFEGPLGQ</t>
  </si>
  <si>
    <t>LGGGCPLR@FEGPPGPVGTPLR@FEGPIGQAGGGGFR</t>
  </si>
  <si>
    <t>LGGGCPLrFEGPPGP;QAGGGGFrFEGSPGL</t>
  </si>
  <si>
    <t>LGGGCPLR@FEGPPGPVGTPLR@FEGPIGQAGGGGFRFEGSPGLR*</t>
  </si>
  <si>
    <t>R@FEGPPGPVGTPLR@FEGPIGQAGGGGFR</t>
  </si>
  <si>
    <t>820, 833, 847</t>
  </si>
  <si>
    <t>LGGGCPLrFEGPPGP;GPVGTPLrFEGPLGQ;QAGGGGFrFEGSPGL</t>
  </si>
  <si>
    <t>LGGGCPLR@FEGPPGPVGTPLR@FEGPIGQAGGGGFR@FEGSPGLR</t>
  </si>
  <si>
    <t>R@FEGPPGPVGTPLR@FEGPIGQAGGGGFR@FEGSPGLR</t>
  </si>
  <si>
    <t>820, 833, 855</t>
  </si>
  <si>
    <t>LGGGCPLR@FEGPPGPVGTPLR@FEGPIGQAGGGGFRFEGSPGLR@</t>
  </si>
  <si>
    <t>GPVGTPLrFEGPLGQ</t>
  </si>
  <si>
    <t>EGPPGPVGTPLR@FEGPIGQAGGGGFR</t>
  </si>
  <si>
    <t>FEGPPGPVGTPLR@FEGPIGQAGGGGFR</t>
  </si>
  <si>
    <t>R@FEGPIGQAGGGGFR</t>
  </si>
  <si>
    <t>R@FEGPIGQAGGGGFR*FEGSPGLR</t>
  </si>
  <si>
    <t>R@FEGPIGQAGGGGFR*FEGSPGLR*</t>
  </si>
  <si>
    <t>833, 847</t>
  </si>
  <si>
    <t>GPVGTPLrFEGPLGQ;QAGGGGFrFEGSPGL</t>
  </si>
  <si>
    <t>R@FEGPIGQAGGGGFR@FEGSPGLR</t>
  </si>
  <si>
    <t>QAGGGGFrFEGSPGL</t>
  </si>
  <si>
    <t>AGGGGFR@FEGSPGLR</t>
  </si>
  <si>
    <t>847, 855, 864</t>
  </si>
  <si>
    <t>QAGGGGFrFEGSPGL;FEGSPGLrFEGSPGG;EGSPGGLrFEGPGGQ</t>
  </si>
  <si>
    <t>AGGGGFR@FEGSPGLR@FEGSPGGLR@FEGPGGQPVGGLR</t>
  </si>
  <si>
    <t>FEGSPGLrFEGSPGG</t>
  </si>
  <si>
    <t>FEGSPGLR@FEGSPGGL</t>
  </si>
  <si>
    <t>855, 864</t>
  </si>
  <si>
    <t>FEGSPGLrFEGSPGG;EGSPGGLrFEGPGGQ</t>
  </si>
  <si>
    <t>FEGSPGLR@FEGSPGGLR@</t>
  </si>
  <si>
    <t>FEGSPGLR@FEGSPGGLR@F</t>
  </si>
  <si>
    <t>FEGSPGLR@FEGSPGGLR@FEGPGGQPV</t>
  </si>
  <si>
    <t>FEGSPGLR@FEGSPGGLR@FEGPGGQPVGGLR</t>
  </si>
  <si>
    <t>855, 864, 877</t>
  </si>
  <si>
    <t>FEGSPGLrFEGSPGG;EGSPGGLrFEGPGGQ;GQPVGGLrFEGHRGQ</t>
  </si>
  <si>
    <t>FEGSPGLR@FEGSPGGLR@FEGPGGQPVGGLR@FEGHR</t>
  </si>
  <si>
    <t>EGSPGGLrFEGPGGQ</t>
  </si>
  <si>
    <t>EGSPGGLR@FEGPGGQPVGGLR</t>
  </si>
  <si>
    <t>FEGSPGGLR@FEGPGGQPV</t>
  </si>
  <si>
    <t>FEGSPGGLR@FEGPGGQPVGGLR</t>
  </si>
  <si>
    <t>FEGSPGLR*FEGSPGGLR@FEGPGGQPV</t>
  </si>
  <si>
    <t>FEGSPGLR*FEGSPGGLR@FEGPGGQPVGGLR</t>
  </si>
  <si>
    <t>R@FEGPGGQPVGGLR</t>
  </si>
  <si>
    <t>929, 942, 955</t>
  </si>
  <si>
    <t>GPSGAALrFDGPHGQ;GQPGGGLrFEGPLLQ;LQQGVGMrFEGPHGQ</t>
  </si>
  <si>
    <t>FEGGHGPSGAAIR@FDGPHGQPGGGIR@FEGPLLQQGVGM#R@FEGPHGQSVAGLR</t>
  </si>
  <si>
    <t>LQQGVGMrFEGPHGQ</t>
  </si>
  <si>
    <t>R@FEGPHGQSVAGLR</t>
  </si>
  <si>
    <t>NQLGGNLrFEGPHGQ</t>
  </si>
  <si>
    <t>HGQSVAGLRFEGQHNQLGGNLR@FEGPHGQPGVGIR</t>
  </si>
  <si>
    <t>981, 994, 1007</t>
  </si>
  <si>
    <t>NQLGGNLrFEGPHGQ;GQPGVGLrFEGPLVQ;VQQGGGMrFEGPSVP</t>
  </si>
  <si>
    <t>FEGQHNQLGGNLR@FEGPHGQPGVGIR@FEGPLVQQGGGM#R@FEGPSVPGGGLR</t>
  </si>
  <si>
    <t>LR@FEGPHGQPGVGIR@FEGPLVQQGGGM#R@FEGPSVPGGGLR</t>
  </si>
  <si>
    <t>HGQSVAGLRFEGQHNQLGGNLRFEGPHGQPGVGIR@</t>
  </si>
  <si>
    <t>DVPDLTNFTVEELKQR*</t>
  </si>
  <si>
    <t>FDGQPGQPSLLPR*</t>
  </si>
  <si>
    <t>IDGPPTPASLR*</t>
  </si>
  <si>
    <t>SF3B2</t>
  </si>
  <si>
    <t>Splicing factor 3B subunit 2</t>
  </si>
  <si>
    <t>DMGQLGVrTPLGPRV</t>
  </si>
  <si>
    <t>M#GTPVPRPPQDM#GQIGVR@TPL</t>
  </si>
  <si>
    <t>DMGQLGVrTPLGPRV;VRTPLGPrVAAPVGP</t>
  </si>
  <si>
    <t>M#GTPVPRPPQDM#GQIGVR@TPLGPR@VAAPVGPVGPTPT</t>
  </si>
  <si>
    <t>PMGAPVPrPRGPPPP</t>
  </si>
  <si>
    <t>VAAPVGPVGPTPTVLPM#GAPVPR@PR</t>
  </si>
  <si>
    <t>RNA splicing</t>
  </si>
  <si>
    <t>RNA binding protein fox-1 homolog 2</t>
  </si>
  <si>
    <t>YGGYAAYrYAQPATA</t>
  </si>
  <si>
    <t>AAYR@YAQPATATAATAAAAAAAAYSDGYGR</t>
  </si>
  <si>
    <t>R@YAQPATATAATAAAAAAAAYSDGYGR</t>
  </si>
  <si>
    <t>Receptor, misc.</t>
  </si>
  <si>
    <t>Plexin-B1</t>
  </si>
  <si>
    <t>M#QLGYR*LQQIAAAV</t>
  </si>
  <si>
    <t>Secreted</t>
  </si>
  <si>
    <t>ERP27</t>
  </si>
  <si>
    <t>Endoplasmic reticulum resident protein 27</t>
  </si>
  <si>
    <t>LSR*FIEINSLHMVTEYNPVTVIGLFNSVIQIHLLLIMNKASPEYEENM</t>
  </si>
  <si>
    <t>Sulfatase-modifying factor 2</t>
  </si>
  <si>
    <t>GASHQGRrGLSLLCF</t>
  </si>
  <si>
    <t>R@GLSLLCFGEGAQC</t>
  </si>
  <si>
    <t>VWCE</t>
  </si>
  <si>
    <t>843, 874</t>
  </si>
  <si>
    <t>von Willebrand factor C and EGF domain-containing protein</t>
  </si>
  <si>
    <t>GEPGASPrLSPGPST;PPPVTPErSFSASGA</t>
  </si>
  <si>
    <t>LALGLTATFPGEPGASPR@LSPGPSTPPGAPTLPLASPGAPQPPPVTPER@</t>
  </si>
  <si>
    <t>Transcription factor</t>
  </si>
  <si>
    <t>BCL9</t>
  </si>
  <si>
    <t>B-cell CLL/lymphoma 9 protein</t>
  </si>
  <si>
    <t>SGPGRGErFPNPQGL</t>
  </si>
  <si>
    <t>GER@FPNPQGLSEEM#FQQQLAEK</t>
  </si>
  <si>
    <t>DIDO1</t>
  </si>
  <si>
    <t>DIO1</t>
  </si>
  <si>
    <t>Death-inducer obliterator 1</t>
  </si>
  <si>
    <t>EFQDAPYNEVTGAPAQFEGTEQAPFLGSR*</t>
  </si>
  <si>
    <t>GATAD2B</t>
  </si>
  <si>
    <t>P66B</t>
  </si>
  <si>
    <t>Transcriptional repressor p66-beta</t>
  </si>
  <si>
    <t>RGLPTSArSMLSNFA</t>
  </si>
  <si>
    <t>GIPTSAR@SM#LSNFAQAPQLSVPGGLLGM#PGVNI</t>
  </si>
  <si>
    <t>TAF4</t>
  </si>
  <si>
    <t>414, 424</t>
  </si>
  <si>
    <t>Transcription initiation factor TFIID subunit 4</t>
  </si>
  <si>
    <t>AVTQSLSrTPTATTS;TATTSGLrATLTPTV</t>
  </si>
  <si>
    <t>GAAGAVTQSLSR@TPTATTSGIR@ATLTPT</t>
  </si>
  <si>
    <t>TATTSGLrATLTPTV</t>
  </si>
  <si>
    <t>GAAGAVTQSLSR*TPTATTSGIR@ATLTPT</t>
  </si>
  <si>
    <t>TPTATTSGIR@AT</t>
  </si>
  <si>
    <t>TPTATTSGIR@ATLTPT</t>
  </si>
  <si>
    <t>TPTATTSGIR@ATLTPTVL</t>
  </si>
  <si>
    <t>TATTSGLrATLTPTV;TPTVLAPrLPQPPQN</t>
  </si>
  <si>
    <t>SGIR@ATLTPTVLAPR@LPQPPQNPTNIQNFQLPPGM#VLVR</t>
  </si>
  <si>
    <t>TPTATTSGIR@ATLTPTVLAPR@LPQPPQNPT</t>
  </si>
  <si>
    <t>TPTATTSGIR@ATLTPTVLAPR@LPQPPQNPTNIQNF</t>
  </si>
  <si>
    <t>TPTATTSGIR@ATLTPTVLAPR@LPQPPQNPTNIQNFQLPPGM#VLVR</t>
  </si>
  <si>
    <t>TPTATTSGIR@ATLTPTVLAPR@LPQPPQNPTNIQNFQLPPGMVLVR</t>
  </si>
  <si>
    <t>GAAGAVTQSLSR*</t>
  </si>
  <si>
    <t>Transcription elongation regulator 1</t>
  </si>
  <si>
    <t>MAQQQALrFRGPAPP</t>
  </si>
  <si>
    <t>M#AQQQALR@F</t>
  </si>
  <si>
    <t>RFNPGELrMAQQQAL;MAQQQALrFRGPAPP</t>
  </si>
  <si>
    <t>FNPGELR@M#AQQQALR@F</t>
  </si>
  <si>
    <t>RFNPGELrMAQQQAL</t>
  </si>
  <si>
    <t>FNPGELR@M#AQQQAL</t>
  </si>
  <si>
    <t>YLP motif-containing protein 1</t>
  </si>
  <si>
    <t>xMYPNWGrYGGSSHY</t>
  </si>
  <si>
    <t>WGR@YGGSSHYPPPPVPPPPPVALPEASPGPGYSSSTTPAAPSSSGFM#SFR</t>
  </si>
  <si>
    <t>Transcription initiation complex</t>
  </si>
  <si>
    <t>TATA-binding protein-associated factor 2N</t>
  </si>
  <si>
    <t>TGSSGGDrGGFKNFG</t>
  </si>
  <si>
    <t>GPM#TGSSGGDR@GGFK</t>
  </si>
  <si>
    <t>Transcription regulation</t>
  </si>
  <si>
    <t>PHD finger protein 3</t>
  </si>
  <si>
    <t>GPLSQASrYLGPQNF</t>
  </si>
  <si>
    <t>M#GPLSQASR@YIGPQNFYQVK</t>
  </si>
  <si>
    <t>MGPLSQASR@YIGPQNFYQVK</t>
  </si>
  <si>
    <t>QASR@YIGPQNFYQVK</t>
  </si>
  <si>
    <t>R@YIGPQNFYQVK</t>
  </si>
  <si>
    <t>SQASR@YIGPQNFYQVK</t>
  </si>
  <si>
    <t>SR@YIGPQNFYQVK</t>
  </si>
  <si>
    <t>Zinc finger protein 503</t>
  </si>
  <si>
    <t>PYALYGQrLTTASAL</t>
  </si>
  <si>
    <t>ALYGQR@LTTASALGYQ</t>
  </si>
  <si>
    <t>Transcription, coactivator/corepressor</t>
  </si>
  <si>
    <t>ATF7IP</t>
  </si>
  <si>
    <t>MCAF</t>
  </si>
  <si>
    <t>Activating transcription factor 7-interacting protein 1</t>
  </si>
  <si>
    <t>FFLYMAPrYMxxxxx</t>
  </si>
  <si>
    <t>FFLYM#APR@YM#</t>
  </si>
  <si>
    <t>BCL-6 corepressor</t>
  </si>
  <si>
    <t>SSLASPMrLSTPSAS</t>
  </si>
  <si>
    <t>R@LSTPSASPAIPPLVHCADK</t>
  </si>
  <si>
    <t>CRTC2</t>
  </si>
  <si>
    <t>CREB-regulated transcription coactivator 2</t>
  </si>
  <si>
    <t>AEKGQLFrLPSALNR</t>
  </si>
  <si>
    <t>GQLFR@LPSALNR</t>
  </si>
  <si>
    <t>CTBP2</t>
  </si>
  <si>
    <t>C-terminal-binding protein 2</t>
  </si>
  <si>
    <t>DRLCEGLrPQLMNGP</t>
  </si>
  <si>
    <t>ICEGIR@PQIM#</t>
  </si>
  <si>
    <t>ICEGIR@PQIM#N</t>
  </si>
  <si>
    <t>ICEGIR@PQIM#NGPLHPR</t>
  </si>
  <si>
    <t>ICEGIR@PQIM#NGPLHPRPLVALLDGR</t>
  </si>
  <si>
    <t>ILF2</t>
  </si>
  <si>
    <t>Interleukin enhancer-binding factor 2</t>
  </si>
  <si>
    <t>RGGRFGSrGGPGGGF</t>
  </si>
  <si>
    <t>FGSR@GGPGGGFR</t>
  </si>
  <si>
    <t>GGPGGGFrPFVPHLP</t>
  </si>
  <si>
    <t>GGPGGGFR@PF</t>
  </si>
  <si>
    <t>GGPGGGFR@PFVPHIPFDFYLC</t>
  </si>
  <si>
    <t>GGPGGGFR*PF</t>
  </si>
  <si>
    <t>GGPGGGFR*PFVPHIPFDFYLC</t>
  </si>
  <si>
    <t>MAML3</t>
  </si>
  <si>
    <t>MAM2</t>
  </si>
  <si>
    <t>Mastermind-like protein 3</t>
  </si>
  <si>
    <t>LQQSHLPrQHLQPQR</t>
  </si>
  <si>
    <t>QQQQQQQQILAEQQLQQSHLPR@QHLQPQR</t>
  </si>
  <si>
    <t>MED12</t>
  </si>
  <si>
    <t>HOPA</t>
  </si>
  <si>
    <t>Mediator of RNA polymerase II transcription subunit 12</t>
  </si>
  <si>
    <t>VPQGQRLrQQLQQSQ</t>
  </si>
  <si>
    <t>LR@QQLQQSQGM#LGQSSVHQM#TPS</t>
  </si>
  <si>
    <t>LR@QQLQQSQGM#LGQSSVHQM#TPSSSYGLQTSQGYTPY</t>
  </si>
  <si>
    <t>LR@QQLQQSQGM#LGQSSVHQM#TPSSSYGLQTSQGYTPYVSHV</t>
  </si>
  <si>
    <t>SYKTSVYrQQQPAVP</t>
  </si>
  <si>
    <t>TSVYR@QQQPAVPQGQR*</t>
  </si>
  <si>
    <t>MED15</t>
  </si>
  <si>
    <t>TIG1</t>
  </si>
  <si>
    <t>Mediator of RNA polymerase II transcription subunit 15</t>
  </si>
  <si>
    <t>AQGGMHLrARFPPTT</t>
  </si>
  <si>
    <t>AAQM#VAPGVQM#ITEALAQGGM#HIR@AR</t>
  </si>
  <si>
    <t>VVQQPPVQPQVQQQQTAVQTAQAAQM#VAPGVQM#ITEALAQGGM#HIR@AR</t>
  </si>
  <si>
    <t>AAQM#VAPGVQM#ITEALAQGGM#HIRAR@</t>
  </si>
  <si>
    <t>VQQQQTAVQTAQAAQM#VAPGVQM#ITEALAQGGM#HIRAR@</t>
  </si>
  <si>
    <t>VVQQPPVQPQVQQQQTAVQTAQAAQM#VAPGVQM#ITEALAQGGM#HIRAR@</t>
  </si>
  <si>
    <t>QPPLKFVrAPMVVQQ</t>
  </si>
  <si>
    <t>FVR@APM#</t>
  </si>
  <si>
    <t>FVR@APM#VVQQPPVQPQ</t>
  </si>
  <si>
    <t>FVR@APM#VVQQPPVQPQVQQQ</t>
  </si>
  <si>
    <t>FVR@APM#VVQQPPVQPQVQQQQ</t>
  </si>
  <si>
    <t>FVR@APM#VVQQPPVQPQVQQQQT</t>
  </si>
  <si>
    <t>FVR@APM#VVQQPPVQPQVQQQQTAVQTAQ</t>
  </si>
  <si>
    <t>FVR@APM#VVQQPPVQPQVQQQQTAVQTAQAAQM#</t>
  </si>
  <si>
    <t>NCOA2</t>
  </si>
  <si>
    <t>TIF2</t>
  </si>
  <si>
    <t>Nuclear receptor coactivator 2</t>
  </si>
  <si>
    <t>RLQAQQNrQPLMNQL</t>
  </si>
  <si>
    <t>LQAQQNR@QPLM#N</t>
  </si>
  <si>
    <t>LQAQQNR@QPLM#NQI</t>
  </si>
  <si>
    <t>LQAQQNR@QPLM#NQISNVSNV</t>
  </si>
  <si>
    <t>QQQQVQQrTLMMRGQ</t>
  </si>
  <si>
    <t>QM#HQQQQVQQR@TLM#</t>
  </si>
  <si>
    <t>QQRTLMMrGQGLNMT</t>
  </si>
  <si>
    <t>TLM#M#R@GQGLN</t>
  </si>
  <si>
    <t>TLM#M#R@GQGLNM#TPS</t>
  </si>
  <si>
    <t>LAFSQLYrFSLSDGT</t>
  </si>
  <si>
    <t>QGLAFSQIYR@FSLSDGTLVAAQTK</t>
  </si>
  <si>
    <t>Nuclear receptor coactivator 3</t>
  </si>
  <si>
    <t>TNTPKQLrMQLQQRL;LRMQLQQrLQGQQFL;QQFLNQSrQALELKM</t>
  </si>
  <si>
    <t>QLR@M#QLQQR@LQGQQFLNQSR@QAL</t>
  </si>
  <si>
    <t>QLR@MQLQQR@LQGQQFLNQSR@QALELK</t>
  </si>
  <si>
    <t>TNTPKQLrMQLQQRL;LRMQLQQrLQGQQFL</t>
  </si>
  <si>
    <t>QLR@M#QLQQR@LQGQQF</t>
  </si>
  <si>
    <t>QLR@M#QLQQR@LQGQQFLN</t>
  </si>
  <si>
    <t>QLR@M#QLQQR@LQGQQFLNQSR</t>
  </si>
  <si>
    <t>QLR@M#QLQQR@LQGQQFLNQSR*</t>
  </si>
  <si>
    <t>TNTPKQLrMQLQQRL</t>
  </si>
  <si>
    <t>QLR@MQLQQR</t>
  </si>
  <si>
    <t>LRMQLQQrLQGQQFL;QQFLNQSrQALELKM</t>
  </si>
  <si>
    <t>LQQR@LQGQQFLNQSR@QALELK</t>
  </si>
  <si>
    <t>QR@LQGQQFLNQSR@QALELK</t>
  </si>
  <si>
    <t>R@LQGQQFLNQSR@QALELK</t>
  </si>
  <si>
    <t>DYNTSLPrPALGGSL</t>
  </si>
  <si>
    <t>PGGDYNTSLPR@PALGGSIPTLPLR</t>
  </si>
  <si>
    <t>NCOA6</t>
  </si>
  <si>
    <t>AIB3</t>
  </si>
  <si>
    <t>Nuclear receptor coactivator 6</t>
  </si>
  <si>
    <t>SLQGGPSrVPTPLQQ</t>
  </si>
  <si>
    <t>SLQGGPSR@VPTPL</t>
  </si>
  <si>
    <t>LNLPLPPrPNLNRGF</t>
  </si>
  <si>
    <t>LNASIAGLFPPQINIPLPPR@PNLNR</t>
  </si>
  <si>
    <t>LNASIAGLFPPQINIPLPPRPNLNR@</t>
  </si>
  <si>
    <t>NLGPSPQrMTPPKQM</t>
  </si>
  <si>
    <t>M#M#VNPPSQNLGPSPQR@M#TPPK</t>
  </si>
  <si>
    <t>MM#VNPPSQNLGPSPQR@M#TPPK</t>
  </si>
  <si>
    <t>VEPWNSVrVTFNLPR</t>
  </si>
  <si>
    <t>SVR@VTFNIPR</t>
  </si>
  <si>
    <t>LNASIAGLFPPQINIPLPPR*PNLNR*</t>
  </si>
  <si>
    <t>RAD54L2</t>
  </si>
  <si>
    <t>ARIP4</t>
  </si>
  <si>
    <t>Helicase ARIP4</t>
  </si>
  <si>
    <t>QPLLSEPrMFAPFPS</t>
  </si>
  <si>
    <t>LSEPR@M#FAPFPSPVLPSNLSR</t>
  </si>
  <si>
    <t>SLPFSQPLLSEPR@M#FAPFPSPVLPSNLSR</t>
  </si>
  <si>
    <t>SQPLLSEPR@M#FAPFPSPVLPSNLSR</t>
  </si>
  <si>
    <t>YSLPFSQPLLSEPR@M#FAPFPSPVLPSNLSR</t>
  </si>
  <si>
    <t>RCOR2</t>
  </si>
  <si>
    <t>479, 491</t>
  </si>
  <si>
    <t>REST corepressor 2</t>
  </si>
  <si>
    <t>QGRFLQPrLAPNQPP;QPPPPLLrPALAAPR</t>
  </si>
  <si>
    <t>FLQPR@LAPNQPPPPLIR@PA</t>
  </si>
  <si>
    <t>FLQPR@LAPNQPPPPLIR@PALA</t>
  </si>
  <si>
    <t>FLQPR@LAPNQPPPPLIR@PALAAPR</t>
  </si>
  <si>
    <t>479, 498</t>
  </si>
  <si>
    <t>FLQPR@LAPNQPPPPLIRPALAAPR@</t>
  </si>
  <si>
    <t>REST corepressor 3</t>
  </si>
  <si>
    <t>QARFLQPrPTLNQPP;QPPPPLLrPANSMPP</t>
  </si>
  <si>
    <t>FIQPR@PTLNQPPPPLIR@PA</t>
  </si>
  <si>
    <t>FIQPR@PTLNQPPPPLIR@PAN</t>
  </si>
  <si>
    <t>FIQPR@PTLNQPPPPLIR@PANSM#PPR</t>
  </si>
  <si>
    <t>FIQPR@PTLNQPPPPLIRPANSM#PPR@</t>
  </si>
  <si>
    <t>QARFLQPrPTLNQPP</t>
  </si>
  <si>
    <t>FIQPR@PTLNQPPPPLIR*PANSM#PPR*</t>
  </si>
  <si>
    <t>MPPRLNPrPVLSTVG</t>
  </si>
  <si>
    <t>LNPR@PVLSTVGGQQPPSLIGIQTD</t>
  </si>
  <si>
    <t>LNPR@PVLSTVGGQQPPSLIGIQTDSQSSLH</t>
  </si>
  <si>
    <t>SWI/SNF-related matrix-associated actin-dependent regulator of chromatin subfamily D member 2</t>
  </si>
  <si>
    <t>FGAAAPLrPGMPPTM</t>
  </si>
  <si>
    <t>AGLQVGPPAGSPFGAAAPLR@PGM#PPTM#M#DPFR</t>
  </si>
  <si>
    <t>GAAAPLR@PGM#PPTM#M#DPFR</t>
  </si>
  <si>
    <t>THRAP3</t>
  </si>
  <si>
    <t>TR150</t>
  </si>
  <si>
    <t>Thyroid hormone receptor-associated protein 3</t>
  </si>
  <si>
    <t>NRERNHPrVYQNRDF</t>
  </si>
  <si>
    <t>ERNHPR@VYQNR</t>
  </si>
  <si>
    <t>NHPR@VYQNR</t>
  </si>
  <si>
    <t>NHPR@VYQNR*</t>
  </si>
  <si>
    <t>TLE1</t>
  </si>
  <si>
    <t>ESG1</t>
  </si>
  <si>
    <t>338, 359</t>
  </si>
  <si>
    <t>Transducin-like enhancer protein 1</t>
  </si>
  <si>
    <t>TSATPGLrPGLGKPP;NQAAAGLrTPLAVPG</t>
  </si>
  <si>
    <t>SDM#PTPGTSATPGLR@PGLGKPPAIDPLVNQAAAGLR@TPL</t>
  </si>
  <si>
    <t>Zinc finger MIZ domain-containing protein 2</t>
  </si>
  <si>
    <t>SPSYPGHrLPLQQGM</t>
  </si>
  <si>
    <t>R@LPLQQGM#TQSLSVPGPTGLHYKPTR</t>
  </si>
  <si>
    <t>TPLYAGQrLPQHGYP;PQAQPLPrQGVKRTY</t>
  </si>
  <si>
    <t>YAGQR@LPQHGYPGPPQAQPLPR@QGVK</t>
  </si>
  <si>
    <t>TYSEVYPGQQYLQGGQYAPSTAQFAPSPGQPPAPSPSYPGHR@LPLQQGM#</t>
  </si>
  <si>
    <t>TYSEVYPGQQYLQGGQYAPSTAQFAPSPGQPPAPSPSYPGHR@LPLQQGM#TQ</t>
  </si>
  <si>
    <t>Transferase</t>
  </si>
  <si>
    <t>PARP4</t>
  </si>
  <si>
    <t>PH5P</t>
  </si>
  <si>
    <t>Poly [ADP-ribose] polymerase 4</t>
  </si>
  <si>
    <t>ASLTANLrLPMASAL</t>
  </si>
  <si>
    <t>LR@LPM#ASALPEALCSQSR</t>
  </si>
  <si>
    <t>SLTANLR@LPM#ASALPEALCSQSR</t>
  </si>
  <si>
    <t>Translation</t>
  </si>
  <si>
    <t>Protein LSM14 homolog A</t>
  </si>
  <si>
    <t>ETFGLPLrPNRGRGG</t>
  </si>
  <si>
    <t>LNAETFGIPLR@PN</t>
  </si>
  <si>
    <t>RBM3</t>
  </si>
  <si>
    <t>RNA-binding protein 3</t>
  </si>
  <si>
    <t>GRGRSYSrGGGDQGY</t>
  </si>
  <si>
    <t>SYSR@GGGDQGYGSGR</t>
  </si>
  <si>
    <t>Transporter</t>
  </si>
  <si>
    <t>Adenomatous polyposis coli protein 2</t>
  </si>
  <si>
    <t>ERGEEAAGSDR*ASDLDSVEWR</t>
  </si>
  <si>
    <t>Solute carrier family 12 member 6</t>
  </si>
  <si>
    <t>FQDLLNMrPDQSNVR</t>
  </si>
  <si>
    <t>AKSM#EGFQDLLNM#R@PDQSNVR</t>
  </si>
  <si>
    <t>Zinc transporter 6</t>
  </si>
  <si>
    <t>LGATQGLrTGFTNLP;GFTNLPSrYGTNNRL</t>
  </si>
  <si>
    <t>SSM#LNQGLGVPGIGATQGLRTGFTNIPSR@YGTNNR@</t>
  </si>
  <si>
    <t>GFTNLPSrYGTNNRL</t>
  </si>
  <si>
    <t>TGFTNIPSR@YGTN</t>
  </si>
  <si>
    <t>TGFTNIPSR@YGTNNR</t>
  </si>
  <si>
    <t>Ubiquitin conjugating system</t>
  </si>
  <si>
    <t>ATN1</t>
  </si>
  <si>
    <t>Atrophin-1</t>
  </si>
  <si>
    <t>ASGSHLTrLPYPAGT</t>
  </si>
  <si>
    <t>SASVHPLIDPLASGSHLTR@IPYPAGTLPNPLLPHPLHENEVLR*HQLFAAPYR*</t>
  </si>
  <si>
    <t>LHENEVLrHQLFAAP</t>
  </si>
  <si>
    <t>IPYPAGTLPNPLLPHPLHENEVLR@HQLF</t>
  </si>
  <si>
    <t>IPYPAGTLPNPLLPHPLHENEVLR@HQLFAAPYR</t>
  </si>
  <si>
    <t>Cullin-7</t>
  </si>
  <si>
    <t>TLRRHDDrPQVLSYA</t>
  </si>
  <si>
    <t>R*HDDR@PQVLSYAVPVTVME</t>
  </si>
  <si>
    <t>TULP4</t>
  </si>
  <si>
    <t>TUSP</t>
  </si>
  <si>
    <t>Tubby-related protein 4</t>
  </si>
  <si>
    <t>LNRLTVPrYSLPTGD</t>
  </si>
  <si>
    <t>LTVPR@YSIPTGDPPPYPEIASQLAQGR</t>
  </si>
  <si>
    <t>Ubiquitin-associated protein 2-like</t>
  </si>
  <si>
    <t>GRGGSGRrGGRFSAQ;GSGRRGGrFSAQGMG</t>
  </si>
  <si>
    <t>R@GGR@FSAQGM#GTFNPADY</t>
  </si>
  <si>
    <t>R@GGR@FSAQGM#GTFNPADYAEPANTDDNYGN</t>
  </si>
  <si>
    <t>R@GGR@FSAQGM#GTFNPADYAEPANTDDNYGNSSGNTWNNTGHFEPDDGTSAWR</t>
  </si>
  <si>
    <t>R@GGR@FSAQGMGTFNPADYAEPANTDDNYGNSSGNTWNNTGHFEPDDGTSAWR</t>
  </si>
  <si>
    <t>Ubiquitin-like modifier</t>
  </si>
  <si>
    <t>SUMO3</t>
  </si>
  <si>
    <t>HSMT3</t>
  </si>
  <si>
    <t xml:space="preserve">Small ubiquitin-related modifier 3 </t>
  </si>
  <si>
    <t>LPRARASrGWTQMQL</t>
  </si>
  <si>
    <t>R@GWTQMQLPEGLSM#R</t>
  </si>
  <si>
    <t>Unknown function</t>
  </si>
  <si>
    <t>AIMP2</t>
  </si>
  <si>
    <t>JTV1</t>
  </si>
  <si>
    <t>Aminoacyl tRNA synthase complex-interacting multifunctional protein 2</t>
  </si>
  <si>
    <t>ELPTCMYrLPNVHGR</t>
  </si>
  <si>
    <t>R@LPNVHGR</t>
  </si>
  <si>
    <t>YR@LPNVHGR</t>
  </si>
  <si>
    <t>Serum albumin</t>
  </si>
  <si>
    <t>VPQVSTPTLVEVSR*N</t>
  </si>
  <si>
    <t>ALYREF</t>
  </si>
  <si>
    <t>THO complex subunit 4</t>
  </si>
  <si>
    <t>RGGMTRNrGAGGFGG</t>
  </si>
  <si>
    <t>NR@GAGGFGGGGGTR</t>
  </si>
  <si>
    <t>BEN domain-containing protein 6</t>
  </si>
  <si>
    <t>RKENSRLrQSLVMLQ</t>
  </si>
  <si>
    <t>ENSR@LR*QSLVM#LQVLPQAVTQFEELVGM#AEA</t>
  </si>
  <si>
    <t>BRMS1L</t>
  </si>
  <si>
    <t>BRMS1</t>
  </si>
  <si>
    <t>Breast cancer metastasis-suppressor 1-like protein</t>
  </si>
  <si>
    <t>SSVSEDGDSSEMDDEDCER*</t>
  </si>
  <si>
    <t>Uncharacterized protein C17orf53</t>
  </si>
  <si>
    <t>SSCSTPSrTSSGLFP;TSSGLFPrLPLQPQA</t>
  </si>
  <si>
    <t>TPNSSCSTPSR@TSSGLFPR@IPLQPQAPV</t>
  </si>
  <si>
    <t>TSSGLFPrLPLQPQA</t>
  </si>
  <si>
    <t>TSSGLFPR@IPLQPQAPV</t>
  </si>
  <si>
    <t>TSSGLFPR@IPLQPQAPVSSIGSPVGTPK</t>
  </si>
  <si>
    <t>C6orf132</t>
  </si>
  <si>
    <t>CF132</t>
  </si>
  <si>
    <t>Uncharacterized protein C6orf132</t>
  </si>
  <si>
    <t>RSPYTTTrYGSPLNT</t>
  </si>
  <si>
    <t>SPYTTTR@YGSPI</t>
  </si>
  <si>
    <t>SPYTTTR@YGSPINTF</t>
  </si>
  <si>
    <t>CCDC13</t>
  </si>
  <si>
    <t>CCD13</t>
  </si>
  <si>
    <t xml:space="preserve">Coiled-coil domain-containing protein 13 </t>
  </si>
  <si>
    <t>M#KTLKSQM#GTLVEKGR*</t>
  </si>
  <si>
    <t>CUE domain-containing protein 1</t>
  </si>
  <si>
    <t>GGGTAGArGGGGGTA</t>
  </si>
  <si>
    <t>SSSGSGGGGTAGAR@</t>
  </si>
  <si>
    <t>Cytoplasmic dynein 2 heavy chain 1</t>
  </si>
  <si>
    <t>DRLVLLLrEVRQLSA</t>
  </si>
  <si>
    <t>LVILLR@EVRQLSALGFVIPAKIQQV</t>
  </si>
  <si>
    <t>FAM195A</t>
  </si>
  <si>
    <t>F195A</t>
  </si>
  <si>
    <t>Protein FAM195A</t>
  </si>
  <si>
    <t>PLSSPGPrLVFNRVN</t>
  </si>
  <si>
    <t>AQPFAQPPGPWPLSSPGPR@LVF</t>
  </si>
  <si>
    <t>FAM98B</t>
  </si>
  <si>
    <t>Protein FAM98B</t>
  </si>
  <si>
    <t>GRGGYGGrGYGDPYG</t>
  </si>
  <si>
    <t>GGR@GYGDPYGGGGGGGGGGGGGGGYR</t>
  </si>
  <si>
    <t>Genetic suppressor element 1</t>
  </si>
  <si>
    <t>LSMLHYLrGAAPKDL</t>
  </si>
  <si>
    <t>SLSM#LHYIR@GAAPKDIPVPLSHS</t>
  </si>
  <si>
    <t>KH domain-containing, RNA-binding, signal transduction-associated protein 3</t>
  </si>
  <si>
    <t>PRGTPTPrGVLSTRG</t>
  </si>
  <si>
    <t>GTPTPR@GVLST</t>
  </si>
  <si>
    <t>Keratin-associated protein 9-3</t>
  </si>
  <si>
    <t>SSCCQPCCHPTCCQNTCCR*</t>
  </si>
  <si>
    <t>Methyl-CpG-binding domain protein 2</t>
  </si>
  <si>
    <t>PSPVSGVrREGARGG</t>
  </si>
  <si>
    <t>ALAPSPVSGVR@R*</t>
  </si>
  <si>
    <t>MICALL1</t>
  </si>
  <si>
    <t>MILK1</t>
  </si>
  <si>
    <t>MICAL-like protein 1</t>
  </si>
  <si>
    <t>ARLGPGTrSGTRPGP</t>
  </si>
  <si>
    <t>LGPGTR@SGT</t>
  </si>
  <si>
    <t>Multiple myeloma tumor-associated protein 2</t>
  </si>
  <si>
    <t>GSSRGGVrGGQDQFN</t>
  </si>
  <si>
    <t>MFGSSRGGVR@GGQDQF</t>
  </si>
  <si>
    <t>MROH6</t>
  </si>
  <si>
    <t>331, 332</t>
  </si>
  <si>
    <t>Maestro heat-like repeat-containing protein family member 6</t>
  </si>
  <si>
    <t>MEQAGGWrRLVGAHT;EQAGGWRrLVGAHTH</t>
  </si>
  <si>
    <t>ALLTGDGGRMVVTCMEQAGGWR@R@LVGAHTHLEGVLLLASAM#VAHADHHLR*</t>
  </si>
  <si>
    <t>MRPL57</t>
  </si>
  <si>
    <t>Ribosomal protein 63, mitochondrial</t>
  </si>
  <si>
    <t>YMTREQErGHAAVRR</t>
  </si>
  <si>
    <t>MPYMTREQER@GHAAVR*</t>
  </si>
  <si>
    <t>NA</t>
  </si>
  <si>
    <t>Ig heavy chain V-III region BUR</t>
  </si>
  <si>
    <t>LLAVAGTrBFWGQGT</t>
  </si>
  <si>
    <t>LIAVAGTR@BFWGQGT</t>
  </si>
  <si>
    <t>Protein PRRC2A</t>
  </si>
  <si>
    <t>PPQFPPYrGMMPPFM</t>
  </si>
  <si>
    <t>GGLQPSGPPQFPPYR@GM#</t>
  </si>
  <si>
    <t>GGLQPSGPPQFPPYR@GM#M#PPFM#YPPYLPFPPPYGPQGPY</t>
  </si>
  <si>
    <t>GGLQPSGPPQFPPYR@GM#MPPFM#YPPYLPFPPPYGPQGPY</t>
  </si>
  <si>
    <t>GGLQPSGPPQFPPYR@GMM#PPFM#YPPYLPFPPPYGPQGPY</t>
  </si>
  <si>
    <t>GGLQPSGPPQFPPYR*</t>
  </si>
  <si>
    <t>GGLQPSGPPQFPPYR*GM#M#PPFM#YPPYLPFPPPYGPQGPY</t>
  </si>
  <si>
    <t>Protein PRRC2C</t>
  </si>
  <si>
    <t>LNGQQAALASQYR*</t>
  </si>
  <si>
    <t>Pentatricopeptide repeat-containing protein 1, mitochondrial</t>
  </si>
  <si>
    <t>LQSALKLrQQLQAKN</t>
  </si>
  <si>
    <t>LR@QQLQAK</t>
  </si>
  <si>
    <t>R3H domain-containing protein 1</t>
  </si>
  <si>
    <t>VPGQGDSrYPLLGQP</t>
  </si>
  <si>
    <t>PFVPGQGDSR@YPLLGQPLQYNPPAVLHGHIPNQQGQPGSR</t>
  </si>
  <si>
    <t>Ras-GEF domain-containing family member 1B</t>
  </si>
  <si>
    <t>HLCVEHQrLSDPDSD</t>
  </si>
  <si>
    <t>VEHQR@LSDPDSDKNQMRK</t>
  </si>
  <si>
    <t>RBM47</t>
  </si>
  <si>
    <t>RNA-binding protein 47</t>
  </si>
  <si>
    <t>GNRAPGPrGSYLGGY</t>
  </si>
  <si>
    <t>APGPR@GSYLGGYSAGR*</t>
  </si>
  <si>
    <t>GPR@GSYLGGYSAGR*</t>
  </si>
  <si>
    <t>GNRAPGPrGSYLGGY;LGGYSAGrGLYSRYH</t>
  </si>
  <si>
    <t>APGPR@GSYLGGYSAGR@GI</t>
  </si>
  <si>
    <t>APGPR@GSYLGGYSAGR@GIY</t>
  </si>
  <si>
    <t>GPR@GSYLGGYSAGR@GIYSR</t>
  </si>
  <si>
    <t>Regulation of nuclear pre-mRNA domain-containing protein 2</t>
  </si>
  <si>
    <t>PRPDFRPrEPFLSRD;PREPFLSrDPFHSLK</t>
  </si>
  <si>
    <t>PR@EPFLSR@DPFHSLK</t>
  </si>
  <si>
    <t>GPGLSRVrESLTLPS</t>
  </si>
  <si>
    <t>VR@ESLTLPSHSLEHLGPPHGGGGGGGSNSSSGPPLGPSHR</t>
  </si>
  <si>
    <t>SAMD4B</t>
  </si>
  <si>
    <t>SMGB</t>
  </si>
  <si>
    <t>Protein Smaug homolog 2</t>
  </si>
  <si>
    <t>GLGGVSPrHALTSPS</t>
  </si>
  <si>
    <t>GIGGVSPR@HALTSPSLGGQGR</t>
  </si>
  <si>
    <t>M#GLLSPSGIGGVSPR@HAL</t>
  </si>
  <si>
    <t>M#GLLSPSGIGGVSPR@HALTSPSLGGQGR</t>
  </si>
  <si>
    <t>MGLLSPSGIGGVSPR@HALTSPSLGGQGR</t>
  </si>
  <si>
    <t>SCAF1</t>
  </si>
  <si>
    <t>SCAF</t>
  </si>
  <si>
    <t>Splicing factor, arginine/serine-rich 19</t>
  </si>
  <si>
    <t>RRERYRQrSPSPAPA</t>
  </si>
  <si>
    <t>YR*QR@SPSPAPAPAPAAAAGPPTR</t>
  </si>
  <si>
    <t>SERPINH1</t>
  </si>
  <si>
    <t>CBP1</t>
  </si>
  <si>
    <t>Serpin H1</t>
  </si>
  <si>
    <t>NRGFMVTrSYTVGVM</t>
  </si>
  <si>
    <t>M#VDNR*GFMVTR@SYTVGVM#MMHR</t>
  </si>
  <si>
    <t>M#VDNR*GFMVTR@SYTVGVMMM#HR</t>
  </si>
  <si>
    <t>SLAIN motif-containing protein 1</t>
  </si>
  <si>
    <t>GHFPVSLrQPLKATA</t>
  </si>
  <si>
    <t>VGHFPVSIR@QPLK</t>
  </si>
  <si>
    <t>TOX high mobility group box family member 4</t>
  </si>
  <si>
    <t>QPPPQKVrLNLQQQP</t>
  </si>
  <si>
    <t>VR@INLQQQPPPLQIK</t>
  </si>
  <si>
    <t>WDR36</t>
  </si>
  <si>
    <t>WD repeat-containing protein 36</t>
  </si>
  <si>
    <t>TLPGLVPrYAAPEQN</t>
  </si>
  <si>
    <t>SAPFFIPTIPGLVPR@YAAPEQNNDPQQSK</t>
  </si>
  <si>
    <t>Protein WWC3</t>
  </si>
  <si>
    <t>TVSSGSSrGSLASSR;RGSLASSrGSLASSR</t>
  </si>
  <si>
    <t>SSGSSR@GSLASSR@GSLASSR</t>
  </si>
  <si>
    <t>1000;1000;1000;1000</t>
  </si>
  <si>
    <t>1000;1000</t>
  </si>
  <si>
    <t>1000;1000;1000</t>
  </si>
  <si>
    <t>8;0</t>
  </si>
  <si>
    <t>19;11</t>
  </si>
  <si>
    <t>0;0</t>
  </si>
  <si>
    <t>2;2</t>
  </si>
  <si>
    <t>2;1</t>
  </si>
  <si>
    <t>10;15</t>
  </si>
  <si>
    <t>O43516</t>
  </si>
  <si>
    <t>Q9ULX6</t>
  </si>
  <si>
    <t>Q13283</t>
  </si>
  <si>
    <t>Q9Y4H2</t>
  </si>
  <si>
    <t>Q93052</t>
  </si>
  <si>
    <t>P49792</t>
  </si>
  <si>
    <t>Q8N5C8</t>
  </si>
  <si>
    <t>Q9C0J8</t>
  </si>
  <si>
    <t>Q96RT1</t>
  </si>
  <si>
    <t>Q5JRA6</t>
  </si>
  <si>
    <t>O75445</t>
  </si>
  <si>
    <t>Q9UKV3</t>
  </si>
  <si>
    <t>Q9H2P0</t>
  </si>
  <si>
    <t>Q9H7S9</t>
  </si>
  <si>
    <t>Q147U1</t>
  </si>
  <si>
    <t>Q15021</t>
  </si>
  <si>
    <t>P60602</t>
  </si>
  <si>
    <t>Q14444</t>
  </si>
  <si>
    <t>Q14571</t>
  </si>
  <si>
    <t>Q9Y4W6</t>
  </si>
  <si>
    <t>P08107</t>
  </si>
  <si>
    <t>P05783</t>
  </si>
  <si>
    <t>P08727</t>
  </si>
  <si>
    <t>P05787</t>
  </si>
  <si>
    <t>O75112</t>
  </si>
  <si>
    <t>P37802</t>
  </si>
  <si>
    <t>Q9Y490</t>
  </si>
  <si>
    <t>Q96CW5</t>
  </si>
  <si>
    <t>O14497</t>
  </si>
  <si>
    <t>Q8NFD5</t>
  </si>
  <si>
    <t>Q12873</t>
  </si>
  <si>
    <t>Q9P2D1</t>
  </si>
  <si>
    <t>P50238</t>
  </si>
  <si>
    <t>O15353</t>
  </si>
  <si>
    <t>P35637</t>
  </si>
  <si>
    <t>Q9BW71</t>
  </si>
  <si>
    <t>Q00839</t>
  </si>
  <si>
    <t>Q96A47</t>
  </si>
  <si>
    <t>O14686</t>
  </si>
  <si>
    <t>Q9UBR4</t>
  </si>
  <si>
    <t>Q15788</t>
  </si>
  <si>
    <t>Q86U86</t>
  </si>
  <si>
    <t>Q9UPW6</t>
  </si>
  <si>
    <t>Q92922</t>
  </si>
  <si>
    <t>P19484</t>
  </si>
  <si>
    <t>Q8TBC5</t>
  </si>
  <si>
    <t>P0CG12</t>
  </si>
  <si>
    <t>Q13098</t>
  </si>
  <si>
    <t>Q5VVW2</t>
  </si>
  <si>
    <t>P55265</t>
  </si>
  <si>
    <t>Q9NPI6</t>
  </si>
  <si>
    <t>Q05193</t>
  </si>
  <si>
    <t>Q9BRK3</t>
  </si>
  <si>
    <t>Q13227</t>
  </si>
  <si>
    <t>Q86TB9</t>
  </si>
  <si>
    <t>Q96PZ0</t>
  </si>
  <si>
    <t>P11021</t>
  </si>
  <si>
    <t>P51617</t>
  </si>
  <si>
    <t>P45985</t>
  </si>
  <si>
    <t>Q8TDX7</t>
  </si>
  <si>
    <t>Q9UPN9</t>
  </si>
  <si>
    <t>O75962</t>
  </si>
  <si>
    <t>Q8WZ42</t>
  </si>
  <si>
    <t>Q5EBM0</t>
  </si>
  <si>
    <t>O95628</t>
  </si>
  <si>
    <t>Q86UW9</t>
  </si>
  <si>
    <t>Q86Y13</t>
  </si>
  <si>
    <t>Q5XPI4</t>
  </si>
  <si>
    <t>O15320</t>
  </si>
  <si>
    <t>Q9H6A9</t>
  </si>
  <si>
    <t>Q9NV64</t>
  </si>
  <si>
    <t>Q9BTV4</t>
  </si>
  <si>
    <t>Q8NEZ4</t>
  </si>
  <si>
    <t>Q08J23</t>
  </si>
  <si>
    <t>Q9NYC9</t>
  </si>
  <si>
    <t>Q9C0K0</t>
  </si>
  <si>
    <t>Q9UKD1</t>
  </si>
  <si>
    <t>P12270</t>
  </si>
  <si>
    <t>Q15735</t>
  </si>
  <si>
    <t>Q14011</t>
  </si>
  <si>
    <t>Q01844</t>
  </si>
  <si>
    <t>P22087</t>
  </si>
  <si>
    <t>Q9NY12</t>
  </si>
  <si>
    <t>Q13151</t>
  </si>
  <si>
    <t>P22626</t>
  </si>
  <si>
    <t>P51991</t>
  </si>
  <si>
    <t>Q14103</t>
  </si>
  <si>
    <t>P31942</t>
  </si>
  <si>
    <t>Q9BUJ2</t>
  </si>
  <si>
    <t>Q07666</t>
  </si>
  <si>
    <t>Q86U42</t>
  </si>
  <si>
    <t>Q9P2N5</t>
  </si>
  <si>
    <t>Q96EV2</t>
  </si>
  <si>
    <t>O95104</t>
  </si>
  <si>
    <t>Q9UPN6</t>
  </si>
  <si>
    <t>Q9UQ35</t>
  </si>
  <si>
    <t>O95793</t>
  </si>
  <si>
    <t>O94913</t>
  </si>
  <si>
    <t>Q13435</t>
  </si>
  <si>
    <t>O43251</t>
  </si>
  <si>
    <t>O43157</t>
  </si>
  <si>
    <t>Q96DN0</t>
  </si>
  <si>
    <t>Q8NBJ7-3</t>
  </si>
  <si>
    <t>Q96DN2</t>
  </si>
  <si>
    <t>O00512</t>
  </si>
  <si>
    <t>Q9BTC0</t>
  </si>
  <si>
    <t>Q8WXI9</t>
  </si>
  <si>
    <t>O00268</t>
  </si>
  <si>
    <t>O14776</t>
  </si>
  <si>
    <t>P49750</t>
  </si>
  <si>
    <t>Q92804</t>
  </si>
  <si>
    <t>Q92576</t>
  </si>
  <si>
    <t>Q96F45</t>
  </si>
  <si>
    <t>Q6W2J9</t>
  </si>
  <si>
    <t>Q53ET0</t>
  </si>
  <si>
    <t>P56545</t>
  </si>
  <si>
    <t>Q12905</t>
  </si>
  <si>
    <t>Q96JK9</t>
  </si>
  <si>
    <t>Q93074</t>
  </si>
  <si>
    <t>Q96RN5</t>
  </si>
  <si>
    <t>Q15596</t>
  </si>
  <si>
    <t>Q9Y6Q9</t>
  </si>
  <si>
    <t>Q14686</t>
  </si>
  <si>
    <t>Q9Y4B4</t>
  </si>
  <si>
    <t>Q8IZ40</t>
  </si>
  <si>
    <t>Q9P2K3</t>
  </si>
  <si>
    <t>Q92925</t>
  </si>
  <si>
    <t>Q9Y2W1</t>
  </si>
  <si>
    <t>Q04724</t>
  </si>
  <si>
    <t>Q8NF64</t>
  </si>
  <si>
    <t>Q9UKK3</t>
  </si>
  <si>
    <t>Q8ND56</t>
  </si>
  <si>
    <t>P98179</t>
  </si>
  <si>
    <t>O95996</t>
  </si>
  <si>
    <t>Q9UHW9</t>
  </si>
  <si>
    <t>Q6NXT4</t>
  </si>
  <si>
    <t>P54259</t>
  </si>
  <si>
    <t>Q14999</t>
  </si>
  <si>
    <t>Q9NRJ4</t>
  </si>
  <si>
    <t>Q14157</t>
  </si>
  <si>
    <t>Q13155</t>
  </si>
  <si>
    <t>P02768</t>
  </si>
  <si>
    <t>Q86V81</t>
  </si>
  <si>
    <t>Q5SZJ8</t>
  </si>
  <si>
    <t>Q5PSV4</t>
  </si>
  <si>
    <t>Q8N3J3</t>
  </si>
  <si>
    <t>Q5T0Z8</t>
  </si>
  <si>
    <t>Q8IYE1</t>
  </si>
  <si>
    <t>Q9NWM3</t>
  </si>
  <si>
    <t>Q8NCM8</t>
  </si>
  <si>
    <t>Q9BUT9</t>
  </si>
  <si>
    <t>Q14687</t>
  </si>
  <si>
    <t>O75525</t>
  </si>
  <si>
    <t>Q9BYQ3</t>
  </si>
  <si>
    <t>Q9UBB5</t>
  </si>
  <si>
    <t>Q8N3F8</t>
  </si>
  <si>
    <t>Q9BU76</t>
  </si>
  <si>
    <t>A6NGR9</t>
  </si>
  <si>
    <t>Q9BQC6</t>
  </si>
  <si>
    <t>P48634</t>
  </si>
  <si>
    <t>Q9Y520</t>
  </si>
  <si>
    <t>O75127</t>
  </si>
  <si>
    <t>Q15032</t>
  </si>
  <si>
    <t>Q0VAM2</t>
  </si>
  <si>
    <t>A0AV96</t>
  </si>
  <si>
    <t>Q5VT52</t>
  </si>
  <si>
    <t>Q5PRF9</t>
  </si>
  <si>
    <t>Q9H7N4</t>
  </si>
  <si>
    <t>P50454</t>
  </si>
  <si>
    <t>Q8ND83</t>
  </si>
  <si>
    <t>O94842</t>
  </si>
  <si>
    <t>Q8NI36</t>
  </si>
  <si>
    <t>Q9ULE0</t>
  </si>
  <si>
    <t>Q8N3V7</t>
    <phoneticPr fontId="4" type="noConversion"/>
  </si>
  <si>
    <t>Q8IWI9</t>
    <phoneticPr fontId="4" type="noConversion"/>
  </si>
  <si>
    <t>Q14934</t>
    <phoneticPr fontId="4" type="noConversion"/>
  </si>
  <si>
    <t>Q14938</t>
    <phoneticPr fontId="4" type="noConversion"/>
  </si>
  <si>
    <t>Q9BWW4</t>
    <phoneticPr fontId="4" type="noConversion"/>
  </si>
  <si>
    <t>Q9NQ94</t>
    <phoneticPr fontId="4" type="noConversion"/>
  </si>
  <si>
    <t>P09651</t>
    <phoneticPr fontId="4" type="noConversion"/>
  </si>
  <si>
    <t>Q13310</t>
    <phoneticPr fontId="4" type="noConversion"/>
  </si>
  <si>
    <t>Q6VMQ6</t>
    <phoneticPr fontId="4" type="noConversion"/>
  </si>
  <si>
    <t>P55854</t>
    <phoneticPr fontId="4" type="noConversion"/>
  </si>
  <si>
    <t>Q52LJ0</t>
    <phoneticPr fontId="4" type="noConversion"/>
  </si>
  <si>
    <t>P01773</t>
  </si>
  <si>
    <t>Q8NF64</t>
    <phoneticPr fontId="4" type="noConversion"/>
  </si>
  <si>
    <t>O43741</t>
  </si>
  <si>
    <t>Q06418</t>
  </si>
  <si>
    <t>P42336</t>
  </si>
  <si>
    <t>Spectrum number</t>
    <phoneticPr fontId="4" type="noConversion"/>
  </si>
  <si>
    <t>MS2 Retention Time</t>
    <phoneticPr fontId="4" type="noConversion"/>
  </si>
  <si>
    <t>Xcorr</t>
    <phoneticPr fontId="4" type="noConversion"/>
  </si>
  <si>
    <t>ppm</t>
    <phoneticPr fontId="4" type="noConversion"/>
  </si>
  <si>
    <t>DeltaCN</t>
    <phoneticPr fontId="4" type="noConversion"/>
  </si>
  <si>
    <t>Rsp</t>
    <phoneticPr fontId="4" type="noConversion"/>
  </si>
  <si>
    <t>DLA Discriminant Score</t>
    <phoneticPr fontId="4" type="noConversion"/>
  </si>
  <si>
    <t>ModScore</t>
    <phoneticPr fontId="4" type="noConversion"/>
  </si>
  <si>
    <t>429; 429; 46</t>
  </si>
  <si>
    <t>312, 323</t>
  </si>
  <si>
    <t>418, 442, 450</t>
  </si>
  <si>
    <t>442, 450</t>
  </si>
  <si>
    <t>418, 442</t>
  </si>
  <si>
    <t>418, 442, 458</t>
  </si>
  <si>
    <t>216, 222</t>
  </si>
  <si>
    <t>424, 435</t>
  </si>
  <si>
    <t>394, 405</t>
  </si>
  <si>
    <t>Nuclear receptor co-regulator</t>
    <phoneticPr fontId="4" type="noConversion"/>
  </si>
  <si>
    <t>Phosphatase (non-protein)</t>
    <phoneticPr fontId="4" type="noConversion"/>
  </si>
  <si>
    <t>P16144</t>
    <phoneticPr fontId="4" type="noConversion"/>
  </si>
  <si>
    <t>O95866</t>
    <phoneticPr fontId="4" type="noConversion"/>
  </si>
  <si>
    <t>394, 399</t>
    <phoneticPr fontId="4" type="noConversion"/>
  </si>
  <si>
    <t xml:space="preserve">DPREGPGrPPLDGRD </t>
    <phoneticPr fontId="8" type="noConversion"/>
  </si>
  <si>
    <t>LRIGMRGrELMGGIG</t>
    <phoneticPr fontId="8" type="noConversion"/>
  </si>
  <si>
    <t>WIPF</t>
    <phoneticPr fontId="4" type="noConversion"/>
  </si>
  <si>
    <t>WIP</t>
    <phoneticPr fontId="4" type="noConversion"/>
  </si>
  <si>
    <t>AKAP8L</t>
    <phoneticPr fontId="4" type="noConversion"/>
  </si>
  <si>
    <t>HA95</t>
    <phoneticPr fontId="4" type="noConversion"/>
  </si>
  <si>
    <t>RANBP2</t>
    <phoneticPr fontId="4" type="noConversion"/>
  </si>
  <si>
    <t>ANE1</t>
    <phoneticPr fontId="4" type="noConversion"/>
  </si>
  <si>
    <t>TAB3</t>
    <phoneticPr fontId="4" type="noConversion"/>
  </si>
  <si>
    <t>TAB3</t>
    <phoneticPr fontId="4" type="noConversion"/>
  </si>
  <si>
    <t>ERBB2IP</t>
    <phoneticPr fontId="4" type="noConversion"/>
  </si>
  <si>
    <t>LAP2</t>
    <phoneticPr fontId="4" type="noConversion"/>
  </si>
  <si>
    <t>MIA3</t>
    <phoneticPr fontId="4" type="noConversion"/>
  </si>
  <si>
    <t>D320</t>
    <phoneticPr fontId="4" type="noConversion"/>
  </si>
  <si>
    <t>USH2A</t>
    <phoneticPr fontId="4" type="noConversion"/>
  </si>
  <si>
    <t>RP39</t>
    <phoneticPr fontId="4" type="noConversion"/>
  </si>
  <si>
    <t>ACIN1</t>
    <phoneticPr fontId="4" type="noConversion"/>
  </si>
  <si>
    <t>ACINU</t>
    <phoneticPr fontId="4" type="noConversion"/>
  </si>
  <si>
    <t>CAPRIN1</t>
    <phoneticPr fontId="4" type="noConversion"/>
  </si>
  <si>
    <t>M11S1</t>
    <phoneticPr fontId="4" type="noConversion"/>
  </si>
  <si>
    <t>HSPA1A</t>
    <phoneticPr fontId="4" type="noConversion"/>
  </si>
  <si>
    <t>HSPA1</t>
    <phoneticPr fontId="4" type="noConversion"/>
  </si>
  <si>
    <t>HSPA1A</t>
    <phoneticPr fontId="4" type="noConversion"/>
  </si>
  <si>
    <t>KRT8</t>
    <phoneticPr fontId="4" type="noConversion"/>
  </si>
  <si>
    <t>CK-8</t>
    <phoneticPr fontId="4" type="noConversion"/>
  </si>
  <si>
    <t>LDB3</t>
    <phoneticPr fontId="4" type="noConversion"/>
  </si>
  <si>
    <t>TAGLN2</t>
    <phoneticPr fontId="4" type="noConversion"/>
  </si>
  <si>
    <t>TAGL2</t>
    <phoneticPr fontId="4" type="noConversion"/>
  </si>
  <si>
    <t>TUBGCP3</t>
    <phoneticPr fontId="4" type="noConversion"/>
  </si>
  <si>
    <t>GCP3</t>
    <phoneticPr fontId="4" type="noConversion"/>
  </si>
  <si>
    <t>ARID1A</t>
    <phoneticPr fontId="4" type="noConversion"/>
  </si>
  <si>
    <t>B120</t>
    <phoneticPr fontId="4" type="noConversion"/>
  </si>
  <si>
    <t>ARID1B</t>
    <phoneticPr fontId="4" type="noConversion"/>
  </si>
  <si>
    <t>OSA2</t>
    <phoneticPr fontId="4" type="noConversion"/>
  </si>
  <si>
    <t>CHD3</t>
    <phoneticPr fontId="4" type="noConversion"/>
  </si>
  <si>
    <t>CHD3</t>
    <phoneticPr fontId="4" type="noConversion"/>
  </si>
  <si>
    <t>CHD7</t>
    <phoneticPr fontId="4" type="noConversion"/>
  </si>
  <si>
    <t>FUS</t>
    <phoneticPr fontId="4" type="noConversion"/>
  </si>
  <si>
    <t>ALS6</t>
    <phoneticPr fontId="4" type="noConversion"/>
  </si>
  <si>
    <t>HIRIP3</t>
    <phoneticPr fontId="4" type="noConversion"/>
  </si>
  <si>
    <t>HIRP3</t>
    <phoneticPr fontId="4" type="noConversion"/>
  </si>
  <si>
    <t>HNRNPU</t>
    <phoneticPr fontId="4" type="noConversion"/>
  </si>
  <si>
    <t>SAFA</t>
    <phoneticPr fontId="4" type="noConversion"/>
  </si>
  <si>
    <t>KMT2D</t>
    <phoneticPr fontId="4" type="noConversion"/>
  </si>
  <si>
    <t>HRX2</t>
    <phoneticPr fontId="4" type="noConversion"/>
  </si>
  <si>
    <t>MGA</t>
    <phoneticPr fontId="4" type="noConversion"/>
  </si>
  <si>
    <t>MAD5</t>
    <phoneticPr fontId="4" type="noConversion"/>
  </si>
  <si>
    <t>NCOA1</t>
    <phoneticPr fontId="4" type="noConversion"/>
  </si>
  <si>
    <t>SRC1</t>
    <phoneticPr fontId="4" type="noConversion"/>
  </si>
  <si>
    <t>NFATC4</t>
    <phoneticPr fontId="4" type="noConversion"/>
  </si>
  <si>
    <t>NFAT3</t>
    <phoneticPr fontId="4" type="noConversion"/>
  </si>
  <si>
    <t>NFIX</t>
    <phoneticPr fontId="4" type="noConversion"/>
  </si>
  <si>
    <t>NFIX iso 3</t>
    <phoneticPr fontId="4" type="noConversion"/>
  </si>
  <si>
    <t>PBRM1</t>
    <phoneticPr fontId="4" type="noConversion"/>
  </si>
  <si>
    <t>PB1</t>
    <phoneticPr fontId="4" type="noConversion"/>
  </si>
  <si>
    <t>SATB2</t>
    <phoneticPr fontId="4" type="noConversion"/>
  </si>
  <si>
    <t>SSBP3</t>
    <phoneticPr fontId="4" type="noConversion"/>
  </si>
  <si>
    <t>SSDP iso 2</t>
    <phoneticPr fontId="4" type="noConversion"/>
  </si>
  <si>
    <t>TFEB</t>
    <phoneticPr fontId="4" type="noConversion"/>
  </si>
  <si>
    <t>ZSCAN18</t>
    <phoneticPr fontId="4" type="noConversion"/>
  </si>
  <si>
    <t>ZSC18</t>
    <phoneticPr fontId="4" type="noConversion"/>
  </si>
  <si>
    <t>GPS1</t>
    <phoneticPr fontId="4" type="noConversion"/>
  </si>
  <si>
    <t>CSN1</t>
    <phoneticPr fontId="4" type="noConversion"/>
  </si>
  <si>
    <t>GARNL3</t>
    <phoneticPr fontId="4" type="noConversion"/>
  </si>
  <si>
    <t>GARL3</t>
    <phoneticPr fontId="4" type="noConversion"/>
  </si>
  <si>
    <t>ADAR</t>
    <phoneticPr fontId="4" type="noConversion"/>
  </si>
  <si>
    <t>DCP1A</t>
    <phoneticPr fontId="4" type="noConversion"/>
  </si>
  <si>
    <t>SMIF</t>
    <phoneticPr fontId="4" type="noConversion"/>
  </si>
  <si>
    <t>DNM1</t>
    <phoneticPr fontId="4" type="noConversion"/>
  </si>
  <si>
    <t>MXRA8</t>
    <phoneticPr fontId="4" type="noConversion"/>
  </si>
  <si>
    <t>PATL1</t>
    <phoneticPr fontId="4" type="noConversion"/>
  </si>
  <si>
    <t>PATL1</t>
    <phoneticPr fontId="4" type="noConversion"/>
  </si>
  <si>
    <t>PATL1</t>
    <phoneticPr fontId="4" type="noConversion"/>
  </si>
  <si>
    <t>PATL1</t>
    <phoneticPr fontId="4" type="noConversion"/>
  </si>
  <si>
    <t>PATL1</t>
    <phoneticPr fontId="4" type="noConversion"/>
  </si>
  <si>
    <t>IRAK1</t>
    <phoneticPr fontId="4" type="noConversion"/>
  </si>
  <si>
    <t>IRAK</t>
    <phoneticPr fontId="4" type="noConversion"/>
  </si>
  <si>
    <t>MAP2K4</t>
    <phoneticPr fontId="4" type="noConversion"/>
  </si>
  <si>
    <t>JNKK</t>
    <phoneticPr fontId="4" type="noConversion"/>
  </si>
  <si>
    <t>MAP2K4</t>
    <phoneticPr fontId="4" type="noConversion"/>
  </si>
  <si>
    <t>NEK7</t>
    <phoneticPr fontId="4" type="noConversion"/>
  </si>
  <si>
    <t>NEK7</t>
    <phoneticPr fontId="4" type="noConversion"/>
  </si>
  <si>
    <t>TRIM33</t>
    <phoneticPr fontId="4" type="noConversion"/>
  </si>
  <si>
    <t>RFG7</t>
    <phoneticPr fontId="4" type="noConversion"/>
  </si>
  <si>
    <t>TRIO</t>
    <phoneticPr fontId="4" type="noConversion"/>
  </si>
  <si>
    <t>TRIO</t>
    <phoneticPr fontId="4" type="noConversion"/>
  </si>
  <si>
    <t>TTN</t>
    <phoneticPr fontId="4" type="noConversion"/>
  </si>
  <si>
    <t>Titin</t>
    <phoneticPr fontId="4" type="noConversion"/>
  </si>
  <si>
    <t>CMPK2</t>
    <phoneticPr fontId="4" type="noConversion"/>
  </si>
  <si>
    <t>CMPK2</t>
    <phoneticPr fontId="4" type="noConversion"/>
  </si>
  <si>
    <t>CNOT4</t>
    <phoneticPr fontId="4" type="noConversion"/>
  </si>
  <si>
    <t>NOT4</t>
    <phoneticPr fontId="4" type="noConversion"/>
  </si>
  <si>
    <t>DTX2</t>
    <phoneticPr fontId="4" type="noConversion"/>
  </si>
  <si>
    <t>RNF123</t>
    <phoneticPr fontId="4" type="noConversion"/>
  </si>
  <si>
    <t>KPC1</t>
    <phoneticPr fontId="4" type="noConversion"/>
  </si>
  <si>
    <t>CTAGE5</t>
    <phoneticPr fontId="4" type="noConversion"/>
  </si>
  <si>
    <t>MEA6</t>
    <phoneticPr fontId="4" type="noConversion"/>
  </si>
  <si>
    <t>TMEM39A</t>
    <phoneticPr fontId="4" type="noConversion"/>
  </si>
  <si>
    <t>TM39A</t>
    <phoneticPr fontId="4" type="noConversion"/>
  </si>
  <si>
    <t>KMT2C</t>
    <phoneticPr fontId="4" type="noConversion"/>
  </si>
  <si>
    <t>HALR</t>
    <phoneticPr fontId="4" type="noConversion"/>
  </si>
  <si>
    <t>NSUN2</t>
    <phoneticPr fontId="4" type="noConversion"/>
  </si>
  <si>
    <t>MISU</t>
    <phoneticPr fontId="4" type="noConversion"/>
  </si>
  <si>
    <t>DNAH9</t>
    <phoneticPr fontId="4" type="noConversion"/>
  </si>
  <si>
    <t>DYH9</t>
    <phoneticPr fontId="4" type="noConversion"/>
  </si>
  <si>
    <t>BCL11B</t>
    <phoneticPr fontId="4" type="noConversion"/>
  </si>
  <si>
    <t>RIT1</t>
    <phoneticPr fontId="4" type="noConversion"/>
  </si>
  <si>
    <t>PLXNB1</t>
    <phoneticPr fontId="4" type="noConversion"/>
  </si>
  <si>
    <t>PLXN5</t>
    <phoneticPr fontId="4" type="noConversion"/>
  </si>
  <si>
    <t>A1CF</t>
    <phoneticPr fontId="4" type="noConversion"/>
  </si>
  <si>
    <t>A1CF iso 5</t>
    <phoneticPr fontId="4" type="noConversion"/>
  </si>
  <si>
    <t>CIRBP</t>
    <phoneticPr fontId="4" type="noConversion"/>
  </si>
  <si>
    <t>CIRBP</t>
    <phoneticPr fontId="4" type="noConversion"/>
  </si>
  <si>
    <t>EWSR1</t>
    <phoneticPr fontId="4" type="noConversion"/>
  </si>
  <si>
    <t>EWS</t>
    <phoneticPr fontId="4" type="noConversion"/>
  </si>
  <si>
    <t>HNRNPA1</t>
    <phoneticPr fontId="4" type="noConversion"/>
  </si>
  <si>
    <t>ROA1 iso 2</t>
    <phoneticPr fontId="4" type="noConversion"/>
  </si>
  <si>
    <t>HNRNPA1</t>
    <phoneticPr fontId="4" type="noConversion"/>
  </si>
  <si>
    <t>HNRNPA1</t>
    <phoneticPr fontId="4" type="noConversion"/>
  </si>
  <si>
    <t>HNRNPA2B1</t>
    <phoneticPr fontId="4" type="noConversion"/>
  </si>
  <si>
    <t>ROA2</t>
    <phoneticPr fontId="4" type="noConversion"/>
  </si>
  <si>
    <t>HNRNPA3</t>
    <phoneticPr fontId="4" type="noConversion"/>
  </si>
  <si>
    <t>ROA3</t>
    <phoneticPr fontId="4" type="noConversion"/>
  </si>
  <si>
    <t>HNRNPA3</t>
    <phoneticPr fontId="4" type="noConversion"/>
  </si>
  <si>
    <t>ROA3</t>
    <phoneticPr fontId="4" type="noConversion"/>
  </si>
  <si>
    <t>HNRNPD</t>
    <phoneticPr fontId="4" type="noConversion"/>
  </si>
  <si>
    <t>AUF1</t>
    <phoneticPr fontId="4" type="noConversion"/>
  </si>
  <si>
    <t>HNRNPH3</t>
    <phoneticPr fontId="4" type="noConversion"/>
  </si>
  <si>
    <t>2H9</t>
    <phoneticPr fontId="4" type="noConversion"/>
  </si>
  <si>
    <t>HNRNPUL1</t>
    <phoneticPr fontId="4" type="noConversion"/>
  </si>
  <si>
    <t>HNRL1</t>
    <phoneticPr fontId="4" type="noConversion"/>
  </si>
  <si>
    <t>KHDRBS1</t>
    <phoneticPr fontId="4" type="noConversion"/>
  </si>
  <si>
    <t>SAM68</t>
    <phoneticPr fontId="4" type="noConversion"/>
  </si>
  <si>
    <t>PABPC4</t>
    <phoneticPr fontId="4" type="noConversion"/>
  </si>
  <si>
    <t>APP1 iso 3</t>
    <phoneticPr fontId="4" type="noConversion"/>
  </si>
  <si>
    <t>PABPC4</t>
    <phoneticPr fontId="4" type="noConversion"/>
  </si>
  <si>
    <t>APP1 iso 2</t>
    <phoneticPr fontId="4" type="noConversion"/>
  </si>
  <si>
    <t>PABPN1</t>
    <phoneticPr fontId="4" type="noConversion"/>
  </si>
  <si>
    <t>PAB2</t>
    <phoneticPr fontId="4" type="noConversion"/>
  </si>
  <si>
    <t>PABPN1</t>
    <phoneticPr fontId="4" type="noConversion"/>
  </si>
  <si>
    <t>SCAF4</t>
    <phoneticPr fontId="4" type="noConversion"/>
  </si>
  <si>
    <t>SRA4</t>
    <phoneticPr fontId="4" type="noConversion"/>
  </si>
  <si>
    <t>SCAF8</t>
    <phoneticPr fontId="4" type="noConversion"/>
  </si>
  <si>
    <t>RBM16</t>
    <phoneticPr fontId="4" type="noConversion"/>
  </si>
  <si>
    <t>SCAF8</t>
    <phoneticPr fontId="4" type="noConversion"/>
  </si>
  <si>
    <t>RBM16</t>
    <phoneticPr fontId="4" type="noConversion"/>
  </si>
  <si>
    <t>SCAF8</t>
    <phoneticPr fontId="4" type="noConversion"/>
  </si>
  <si>
    <t>STAU1</t>
    <phoneticPr fontId="4" type="noConversion"/>
  </si>
  <si>
    <t>STAU</t>
    <phoneticPr fontId="4" type="noConversion"/>
  </si>
  <si>
    <t>STAU</t>
    <phoneticPr fontId="4" type="noConversion"/>
  </si>
  <si>
    <t>XRN2</t>
    <phoneticPr fontId="4" type="noConversion"/>
  </si>
  <si>
    <t>XRN2</t>
    <phoneticPr fontId="4" type="noConversion"/>
  </si>
  <si>
    <t>RBFOX2</t>
    <phoneticPr fontId="4" type="noConversion"/>
  </si>
  <si>
    <t>RBM9</t>
    <phoneticPr fontId="4" type="noConversion"/>
  </si>
  <si>
    <t>RBM9</t>
    <phoneticPr fontId="4" type="noConversion"/>
  </si>
  <si>
    <t>SUMF2</t>
    <phoneticPr fontId="4" type="noConversion"/>
  </si>
  <si>
    <t>SUMF2</t>
    <phoneticPr fontId="4" type="noConversion"/>
  </si>
  <si>
    <t>TCERG1</t>
    <phoneticPr fontId="4" type="noConversion"/>
  </si>
  <si>
    <t>CA150</t>
    <phoneticPr fontId="4" type="noConversion"/>
  </si>
  <si>
    <t>YLPM1</t>
    <phoneticPr fontId="4" type="noConversion"/>
  </si>
  <si>
    <t>TAF15</t>
    <phoneticPr fontId="4" type="noConversion"/>
  </si>
  <si>
    <t>TAF12</t>
    <phoneticPr fontId="4" type="noConversion"/>
  </si>
  <si>
    <t>PHF3</t>
    <phoneticPr fontId="4" type="noConversion"/>
  </si>
  <si>
    <t>PHF3</t>
    <phoneticPr fontId="4" type="noConversion"/>
  </si>
  <si>
    <t>ZNF503</t>
    <phoneticPr fontId="4" type="noConversion"/>
  </si>
  <si>
    <t>ZN503</t>
    <phoneticPr fontId="4" type="noConversion"/>
  </si>
  <si>
    <t>BCOR</t>
    <phoneticPr fontId="4" type="noConversion"/>
  </si>
  <si>
    <t>BCOR</t>
    <phoneticPr fontId="4" type="noConversion"/>
  </si>
  <si>
    <t>MED12</t>
    <phoneticPr fontId="4" type="noConversion"/>
  </si>
  <si>
    <t>HOPA</t>
    <phoneticPr fontId="4" type="noConversion"/>
  </si>
  <si>
    <t>HOPA</t>
    <phoneticPr fontId="4" type="noConversion"/>
  </si>
  <si>
    <t>MED15</t>
    <phoneticPr fontId="4" type="noConversion"/>
  </si>
  <si>
    <t>TIG1</t>
    <phoneticPr fontId="4" type="noConversion"/>
  </si>
  <si>
    <t>NCOA3</t>
    <phoneticPr fontId="4" type="noConversion"/>
  </si>
  <si>
    <t>ACTR</t>
    <phoneticPr fontId="4" type="noConversion"/>
  </si>
  <si>
    <t>NCOA3</t>
    <phoneticPr fontId="4" type="noConversion"/>
  </si>
  <si>
    <t>ACTR</t>
    <phoneticPr fontId="4" type="noConversion"/>
  </si>
  <si>
    <t>RCOR3</t>
    <phoneticPr fontId="4" type="noConversion"/>
  </si>
  <si>
    <t>RCOR3</t>
    <phoneticPr fontId="4" type="noConversion"/>
  </si>
  <si>
    <t>RCOR3</t>
    <phoneticPr fontId="4" type="noConversion"/>
  </si>
  <si>
    <t>RCOR3</t>
    <phoneticPr fontId="4" type="noConversion"/>
  </si>
  <si>
    <t>SMARCD2</t>
    <phoneticPr fontId="4" type="noConversion"/>
  </si>
  <si>
    <t>SMRD2</t>
    <phoneticPr fontId="4" type="noConversion"/>
  </si>
  <si>
    <t>ZMIZ2</t>
    <phoneticPr fontId="4" type="noConversion"/>
  </si>
  <si>
    <t>ZIMP7</t>
    <phoneticPr fontId="4" type="noConversion"/>
  </si>
  <si>
    <t>LSM14A</t>
    <phoneticPr fontId="4" type="noConversion"/>
  </si>
  <si>
    <t>LS14A</t>
    <phoneticPr fontId="4" type="noConversion"/>
  </si>
  <si>
    <t>APC2</t>
    <phoneticPr fontId="4" type="noConversion"/>
  </si>
  <si>
    <t>APC2</t>
    <phoneticPr fontId="4" type="noConversion"/>
  </si>
  <si>
    <t>SLC12A6</t>
    <phoneticPr fontId="4" type="noConversion"/>
  </si>
  <si>
    <t>KCC3</t>
    <phoneticPr fontId="4" type="noConversion"/>
  </si>
  <si>
    <t>SLC30A6</t>
    <phoneticPr fontId="4" type="noConversion"/>
  </si>
  <si>
    <t>ZNT6</t>
    <phoneticPr fontId="4" type="noConversion"/>
  </si>
  <si>
    <t>CUL7</t>
    <phoneticPr fontId="4" type="noConversion"/>
  </si>
  <si>
    <t>CUL7</t>
    <phoneticPr fontId="4" type="noConversion"/>
  </si>
  <si>
    <t>UBAP2L</t>
    <phoneticPr fontId="4" type="noConversion"/>
  </si>
  <si>
    <t>NICE4</t>
    <phoneticPr fontId="4" type="noConversion"/>
  </si>
  <si>
    <t>ALB</t>
    <phoneticPr fontId="4" type="noConversion"/>
  </si>
  <si>
    <t>FBF1</t>
    <phoneticPr fontId="4" type="noConversion"/>
  </si>
  <si>
    <t>BEND6</t>
    <phoneticPr fontId="4" type="noConversion"/>
  </si>
  <si>
    <t>BEND6</t>
    <phoneticPr fontId="4" type="noConversion"/>
  </si>
  <si>
    <t>C17orf53</t>
    <phoneticPr fontId="4" type="noConversion"/>
  </si>
  <si>
    <t>CQ053</t>
    <phoneticPr fontId="4" type="noConversion"/>
  </si>
  <si>
    <t>CUEDC1</t>
    <phoneticPr fontId="4" type="noConversion"/>
  </si>
  <si>
    <t>CUED1</t>
    <phoneticPr fontId="4" type="noConversion"/>
  </si>
  <si>
    <t>DYNC2H1</t>
    <phoneticPr fontId="4" type="noConversion"/>
  </si>
  <si>
    <t>DHC2</t>
    <phoneticPr fontId="4" type="noConversion"/>
  </si>
  <si>
    <t>GSE1</t>
    <phoneticPr fontId="4" type="noConversion"/>
  </si>
  <si>
    <t>GSE1</t>
    <phoneticPr fontId="4" type="noConversion"/>
  </si>
  <si>
    <t>KHDRBS3</t>
    <phoneticPr fontId="4" type="noConversion"/>
  </si>
  <si>
    <t>SALP</t>
    <phoneticPr fontId="4" type="noConversion"/>
  </si>
  <si>
    <t>KHDRBS3</t>
    <phoneticPr fontId="4" type="noConversion"/>
  </si>
  <si>
    <t>SALP</t>
    <phoneticPr fontId="4" type="noConversion"/>
  </si>
  <si>
    <t>KRTAP9-3</t>
    <phoneticPr fontId="4" type="noConversion"/>
  </si>
  <si>
    <t>Q9BYQ3</t>
    <phoneticPr fontId="4" type="noConversion"/>
  </si>
  <si>
    <t>MBD2</t>
    <phoneticPr fontId="4" type="noConversion"/>
  </si>
  <si>
    <t>MBD2</t>
    <phoneticPr fontId="4" type="noConversion"/>
  </si>
  <si>
    <t>MMTAG2</t>
    <phoneticPr fontId="4" type="noConversion"/>
  </si>
  <si>
    <t>MMTA2</t>
    <phoneticPr fontId="4" type="noConversion"/>
  </si>
  <si>
    <t>PRRC2A</t>
    <phoneticPr fontId="4" type="noConversion"/>
  </si>
  <si>
    <t>PRRC2A</t>
    <phoneticPr fontId="4" type="noConversion"/>
  </si>
  <si>
    <t>PRRC2C</t>
    <phoneticPr fontId="4" type="noConversion"/>
  </si>
  <si>
    <t>PRRC2C</t>
    <phoneticPr fontId="4" type="noConversion"/>
  </si>
  <si>
    <t>PTCD1</t>
    <phoneticPr fontId="4" type="noConversion"/>
  </si>
  <si>
    <t>PTCD1</t>
    <phoneticPr fontId="4" type="noConversion"/>
  </si>
  <si>
    <t>R3HDM1</t>
    <phoneticPr fontId="4" type="noConversion"/>
  </si>
  <si>
    <t>R3HD1</t>
    <phoneticPr fontId="4" type="noConversion"/>
  </si>
  <si>
    <t>R3HD1</t>
    <phoneticPr fontId="4" type="noConversion"/>
  </si>
  <si>
    <t>RASGEF1B</t>
    <phoneticPr fontId="4" type="noConversion"/>
  </si>
  <si>
    <t>GPIG4</t>
    <phoneticPr fontId="4" type="noConversion"/>
  </si>
  <si>
    <t>RPRD2</t>
    <phoneticPr fontId="4" type="noConversion"/>
  </si>
  <si>
    <t>RPRD2</t>
    <phoneticPr fontId="4" type="noConversion"/>
  </si>
  <si>
    <t>RPRD2</t>
    <phoneticPr fontId="4" type="noConversion"/>
  </si>
  <si>
    <t>RPRD2</t>
    <phoneticPr fontId="4" type="noConversion"/>
  </si>
  <si>
    <t>RPRD2</t>
    <phoneticPr fontId="4" type="noConversion"/>
  </si>
  <si>
    <t>RPRD2</t>
    <phoneticPr fontId="4" type="noConversion"/>
  </si>
  <si>
    <t>SLAIN1</t>
    <phoneticPr fontId="4" type="noConversion"/>
  </si>
  <si>
    <t>TOX4</t>
    <phoneticPr fontId="4" type="noConversion"/>
  </si>
  <si>
    <t>TOX4</t>
    <phoneticPr fontId="4" type="noConversion"/>
  </si>
  <si>
    <t>WWC3</t>
    <phoneticPr fontId="4" type="noConversion"/>
  </si>
  <si>
    <t>1798, 1809, 1815</t>
    <phoneticPr fontId="4" type="noConversion"/>
  </si>
  <si>
    <t>1798, 1815, 1825</t>
    <phoneticPr fontId="4" type="noConversion"/>
  </si>
  <si>
    <t>1843, 1851, 1859</t>
    <phoneticPr fontId="4" type="noConversion"/>
  </si>
  <si>
    <t>1851, 1859</t>
    <phoneticPr fontId="4" type="noConversion"/>
  </si>
  <si>
    <t>525, 557</t>
    <phoneticPr fontId="4" type="noConversion"/>
  </si>
  <si>
    <t>216, 218</t>
    <phoneticPr fontId="4" type="noConversion"/>
  </si>
  <si>
    <t>394, 407</t>
    <phoneticPr fontId="4" type="noConversion"/>
  </si>
  <si>
    <t>12, 16</t>
    <phoneticPr fontId="4" type="noConversion"/>
  </si>
  <si>
    <t>707, 709</t>
    <phoneticPr fontId="4" type="noConversion"/>
  </si>
  <si>
    <t>762, 768</t>
    <phoneticPr fontId="4" type="noConversion"/>
  </si>
  <si>
    <t>2801, 2830</t>
    <phoneticPr fontId="4" type="noConversion"/>
  </si>
  <si>
    <t>1552, 1566</t>
    <phoneticPr fontId="4" type="noConversion"/>
  </si>
  <si>
    <t>534, 541</t>
    <phoneticPr fontId="4" type="noConversion"/>
  </si>
  <si>
    <t>134, 138</t>
    <phoneticPr fontId="4" type="noConversion"/>
  </si>
  <si>
    <t>65, 83</t>
    <phoneticPr fontId="4" type="noConversion"/>
  </si>
  <si>
    <t>217, 223</t>
    <phoneticPr fontId="4" type="noConversion"/>
  </si>
  <si>
    <t>304, 316</t>
    <phoneticPr fontId="4" type="noConversion"/>
  </si>
  <si>
    <t>260, 281</t>
    <phoneticPr fontId="4" type="noConversion"/>
  </si>
  <si>
    <t>700, 709</t>
    <phoneticPr fontId="4" type="noConversion"/>
  </si>
  <si>
    <t>700, 714</t>
    <phoneticPr fontId="4" type="noConversion"/>
  </si>
  <si>
    <t>751, 757, 766</t>
    <phoneticPr fontId="4" type="noConversion"/>
  </si>
  <si>
    <t>2444, 2454</t>
    <phoneticPr fontId="4" type="noConversion"/>
  </si>
  <si>
    <t>2434, 2444, 2454</t>
    <phoneticPr fontId="4" type="noConversion"/>
  </si>
  <si>
    <t>116, 121</t>
    <phoneticPr fontId="4" type="noConversion"/>
  </si>
  <si>
    <t>94, 101</t>
    <phoneticPr fontId="4" type="noConversion"/>
  </si>
  <si>
    <t>206, 218, 225</t>
    <phoneticPr fontId="4" type="noConversion"/>
  </si>
  <si>
    <t>206, 218</t>
    <phoneticPr fontId="4" type="noConversion"/>
  </si>
  <si>
    <t>206, 225</t>
    <phoneticPr fontId="4" type="noConversion"/>
  </si>
  <si>
    <t>239, 246</t>
    <phoneticPr fontId="4" type="noConversion"/>
  </si>
  <si>
    <t>639, 645, 656</t>
    <phoneticPr fontId="4" type="noConversion"/>
  </si>
  <si>
    <t>639, 645</t>
    <phoneticPr fontId="4" type="noConversion"/>
  </si>
  <si>
    <t>645, 656</t>
    <phoneticPr fontId="4" type="noConversion"/>
  </si>
  <si>
    <t>284, 289, 291, 302</t>
    <phoneticPr fontId="4" type="noConversion"/>
  </si>
  <si>
    <t>304, 310</t>
    <phoneticPr fontId="4" type="noConversion"/>
  </si>
  <si>
    <t>331, 340, 346</t>
    <phoneticPr fontId="4" type="noConversion"/>
  </si>
  <si>
    <t>525, 534</t>
    <phoneticPr fontId="4" type="noConversion"/>
  </si>
  <si>
    <t>496, 505</t>
    <phoneticPr fontId="4" type="noConversion"/>
  </si>
  <si>
    <t>259, 263, 265</t>
    <phoneticPr fontId="4" type="noConversion"/>
  </si>
  <si>
    <t>927, 938</t>
    <phoneticPr fontId="4" type="noConversion"/>
  </si>
  <si>
    <t>108, 115</t>
    <phoneticPr fontId="4" type="noConversion"/>
  </si>
  <si>
    <t>20, 28</t>
    <phoneticPr fontId="4" type="noConversion"/>
  </si>
  <si>
    <t>1171, 1177</t>
    <phoneticPr fontId="4" type="noConversion"/>
  </si>
  <si>
    <t>1171, 1177</t>
    <phoneticPr fontId="4" type="noConversion"/>
  </si>
  <si>
    <t>1177, 1188</t>
    <phoneticPr fontId="4" type="noConversion"/>
  </si>
  <si>
    <t>1171, 1177, 1188</t>
    <phoneticPr fontId="4" type="noConversion"/>
  </si>
  <si>
    <t>445, 465</t>
    <phoneticPr fontId="4" type="noConversion"/>
  </si>
  <si>
    <t>445, 457</t>
    <phoneticPr fontId="4" type="noConversion"/>
  </si>
  <si>
    <t>245, 262</t>
    <phoneticPr fontId="4" type="noConversion"/>
  </si>
  <si>
    <t>449, 455</t>
    <phoneticPr fontId="4" type="noConversion"/>
  </si>
  <si>
    <t>187, 190</t>
    <phoneticPr fontId="4" type="noConversion"/>
  </si>
  <si>
    <t>329, 337</t>
    <phoneticPr fontId="4" type="noConversion"/>
  </si>
  <si>
    <t>1424, 1430</t>
    <phoneticPr fontId="4" type="noConversion"/>
  </si>
  <si>
    <t>369, 376</t>
    <phoneticPr fontId="4" type="noConversion"/>
  </si>
  <si>
    <t>AHNAK</t>
  </si>
  <si>
    <t>Neuroblast differentiation-associated protein AHNAK</t>
  </si>
  <si>
    <t>Q09666</t>
    <phoneticPr fontId="5" type="noConversion"/>
  </si>
  <si>
    <t>KGLDLGGrGGVQVPA</t>
  </si>
  <si>
    <t>GLDLGGR*GGVQVPAVDISSSLGGR</t>
  </si>
  <si>
    <t>NEBL</t>
  </si>
  <si>
    <t>Nebulette</t>
  </si>
  <si>
    <t>O76041</t>
  </si>
  <si>
    <t>DFEESKGrGFSLVTD</t>
  </si>
  <si>
    <t>GR*GFSIVTDTPELQR</t>
  </si>
  <si>
    <t>NEBL</t>
    <phoneticPr fontId="5" type="noConversion"/>
  </si>
  <si>
    <t>NEBL iso 2</t>
    <phoneticPr fontId="5" type="noConversion"/>
  </si>
  <si>
    <t>DFEKTKGrGFTPVVD</t>
  </si>
  <si>
    <t>GR*GFTPVVDDPVTER</t>
  </si>
  <si>
    <t>SVIL</t>
    <phoneticPr fontId="5" type="noConversion"/>
  </si>
  <si>
    <t>Supervillin</t>
  </si>
  <si>
    <t>O95425</t>
  </si>
  <si>
    <t>EAWKTRGrGAANDST</t>
  </si>
  <si>
    <t>GR*GAANDSTQFTVAGR</t>
  </si>
  <si>
    <t>TAGLN</t>
  </si>
  <si>
    <t>TAGL</t>
  </si>
  <si>
    <t>Transgelin</t>
  </si>
  <si>
    <t>Q01995</t>
  </si>
  <si>
    <t>GLQMGSNrGASQAGM</t>
  </si>
  <si>
    <t>HVIGLQM#GSNR*GASQAGM#TGY</t>
  </si>
  <si>
    <t>HVIGLQM#GSNR*GASQAGM#TGYGR</t>
  </si>
  <si>
    <t>HVIGLQMGSNR*GASQAGM#TGYGR</t>
  </si>
  <si>
    <t>WIPF1</t>
    <phoneticPr fontId="5" type="noConversion"/>
  </si>
  <si>
    <t>WIP</t>
    <phoneticPr fontId="5" type="noConversion"/>
  </si>
  <si>
    <t>125, 134</t>
    <phoneticPr fontId="5" type="noConversion"/>
  </si>
  <si>
    <t>O43516</t>
    <phoneticPr fontId="5" type="noConversion"/>
  </si>
  <si>
    <t>DNDSGGSrPPLLPPG;PLLPPGGrSTSAKPF</t>
  </si>
  <si>
    <t>DNDSGGSR*PPLLPPGGR*</t>
  </si>
  <si>
    <t>AKAP8</t>
  </si>
  <si>
    <t>A-kinase anchor protein 8</t>
  </si>
  <si>
    <t>O43823</t>
    <phoneticPr fontId="5" type="noConversion"/>
  </si>
  <si>
    <t>ELNYVGGrGLGGPSP</t>
  </si>
  <si>
    <t>PFVPPAASSEPLSTPWNELNYVGGR*</t>
  </si>
  <si>
    <t>SDPFVPPAASSEPLSTPWNELNYVGGR*</t>
  </si>
  <si>
    <t>STPWNELNYVGGR*</t>
  </si>
  <si>
    <t>GSLDGFMrGRGQGRF</t>
  </si>
  <si>
    <t>GSLDGFM#R*</t>
  </si>
  <si>
    <t>LGGPSPSrPPPSLFS</t>
  </si>
  <si>
    <t>GLGGPSPSRPPPSLFSQSM#APDYGVM#GMQGAGGYDSTM#PYGCGR*</t>
  </si>
  <si>
    <t>GLGGPSPSRPPPSLFSQSM#APDYGVMGM#QGAGGYDSTM#PYGCGR*</t>
  </si>
  <si>
    <t>TMPYGCGrSQPRMRD</t>
  </si>
  <si>
    <t>GM#QGAGGYDSTM#PYGCGR*</t>
  </si>
  <si>
    <t>QGAGGYDSTM#PYGCGR*</t>
  </si>
  <si>
    <t>QGAGGYDSTMPYGCGR*</t>
  </si>
  <si>
    <t>SM#APDYGVM#GMQGAGGYDSTM#PYGCGR*</t>
  </si>
  <si>
    <t>SM#APDYGVMGM#QGAGGYDSTM#PYGCGR*</t>
  </si>
  <si>
    <t>AKAP8L</t>
    <phoneticPr fontId="5" type="noConversion"/>
  </si>
  <si>
    <t>HA95</t>
    <phoneticPr fontId="5" type="noConversion"/>
  </si>
  <si>
    <t>Q9ULX6</t>
    <phoneticPr fontId="5" type="noConversion"/>
  </si>
  <si>
    <t>YGMFQGMrGGGAFPG</t>
  </si>
  <si>
    <t>LPSLFSQNIIPEYGM#FQGM#R*</t>
  </si>
  <si>
    <t>LPSLFSQNIIPEYGM#FQGM#R*GGGAFPGGSR</t>
  </si>
  <si>
    <t>SLFSQNIIPEYGM#FQGM#R*GGGAFPGGSR</t>
  </si>
  <si>
    <t>Q13283</t>
    <phoneticPr fontId="5" type="noConversion"/>
  </si>
  <si>
    <t>GGPR*GGLGGGM#R</t>
  </si>
  <si>
    <t>GGPR*GGLGGGMR</t>
  </si>
  <si>
    <t>GPGGPR*GGLGGGM#R</t>
  </si>
  <si>
    <t>GPGGPR*GGLGGGMR</t>
  </si>
  <si>
    <t>GGMRGPPrGGMVQKP</t>
  </si>
  <si>
    <t>GPPR*GGM#VQKPGF</t>
  </si>
  <si>
    <t>GPPR*GGM#VQKPGFGV</t>
  </si>
  <si>
    <t>GPPR*GGMVQK</t>
  </si>
  <si>
    <t>447, 460</t>
  </si>
  <si>
    <t>GGMRGPPrGGMVQKP;KPGFGVGrGLAPRQx</t>
  </si>
  <si>
    <t>GPPR*GGM#VQKPGFGVGR*</t>
  </si>
  <si>
    <t>KPGFGVGrGLAPRQx</t>
  </si>
  <si>
    <t>PGFGVGR*</t>
  </si>
  <si>
    <t>460, 465</t>
  </si>
  <si>
    <t>KPGFGVGrGLAPRQx;VGRGLAPrQxxxxxx</t>
  </si>
  <si>
    <t>PGFGVGR*GLAPR*</t>
  </si>
  <si>
    <t>G3BP2</t>
    <phoneticPr fontId="5" type="noConversion"/>
  </si>
  <si>
    <t>Ras GTPase-activating protein-binding protein 2</t>
  </si>
  <si>
    <t>Q9UN86</t>
    <phoneticPr fontId="5" type="noConversion"/>
  </si>
  <si>
    <t>DGRGPPPrGGMAQKL</t>
  </si>
  <si>
    <t>GPPPR*GGMAQK</t>
  </si>
  <si>
    <t>AQKLGSGrGTGQMEG</t>
  </si>
  <si>
    <t>LGSGR*GTGQMEGR</t>
  </si>
  <si>
    <t>LMO7</t>
    <phoneticPr fontId="5" type="noConversion"/>
  </si>
  <si>
    <t>LIM domain only protein 7</t>
  </si>
  <si>
    <t>Q8WWI1</t>
    <phoneticPr fontId="5" type="noConversion"/>
  </si>
  <si>
    <t>CVGWLYLrDRVCSKK</t>
  </si>
  <si>
    <t>ICVGWLYLR*</t>
  </si>
  <si>
    <t>SPHKAP</t>
    <phoneticPr fontId="5" type="noConversion"/>
  </si>
  <si>
    <t>SKIP</t>
    <phoneticPr fontId="5" type="noConversion"/>
  </si>
  <si>
    <t>A-kinase anchor protein SPHKAP</t>
  </si>
  <si>
    <t>Q2M3C7</t>
    <phoneticPr fontId="5" type="noConversion"/>
  </si>
  <si>
    <t>LKEKLMNrVVDESMN</t>
  </si>
  <si>
    <t>LM#NR*VVDESM#NLEDVPDSVNLFA</t>
  </si>
  <si>
    <t>TFG</t>
    <phoneticPr fontId="5" type="noConversion"/>
  </si>
  <si>
    <t>385, 400</t>
    <phoneticPr fontId="5" type="noConversion"/>
  </si>
  <si>
    <t>Protein TFG</t>
  </si>
  <si>
    <t>Q92734</t>
    <phoneticPr fontId="5" type="noConversion"/>
  </si>
  <si>
    <t>PNPYARNrPPFGQGY;TQPGPGYrxxxxxxx</t>
  </si>
  <si>
    <t>NR*PPFGQGYTQPGPGYR*</t>
  </si>
  <si>
    <t>PNPYARNrPPFGQGY</t>
  </si>
  <si>
    <t>NR*PPFGQGYTQPGPGY</t>
  </si>
  <si>
    <t>NRPPFGQGYTQPGPGYR*</t>
  </si>
  <si>
    <t>TRIP6</t>
  </si>
  <si>
    <t>OIP1</t>
  </si>
  <si>
    <t>Thyroid receptor-interacting protein 6</t>
  </si>
  <si>
    <t>Q15654</t>
    <phoneticPr fontId="5" type="noConversion"/>
  </si>
  <si>
    <t>PADRGGLrPGSLDAE</t>
  </si>
  <si>
    <t>GGLRPGSLDAEIDLLSSTLAELNGGR*</t>
  </si>
  <si>
    <t>LAELNGGrGHASRRP</t>
  </si>
  <si>
    <t>GGLRPGSLDAEIDLLSSTLAELNGGR*GH</t>
  </si>
  <si>
    <t>GGLRPGSLDAEIDLLSSTLAELNGGR*GHASR</t>
  </si>
  <si>
    <t>186, 205</t>
  </si>
  <si>
    <t>RGCGPPRrGASQASG;PHFPLPGrGEVWGPG</t>
  </si>
  <si>
    <t>R*GASQASGPLPGPHFPLPGR*GEVWGPGYR</t>
  </si>
  <si>
    <t>GVSGPAGrGRGGEHG</t>
  </si>
  <si>
    <t>EEAAGVSGPAGR*</t>
  </si>
  <si>
    <t>UBE2M</t>
  </si>
  <si>
    <t>UBC12</t>
  </si>
  <si>
    <t>NEDD8-conjugating enzyme Ubc12</t>
  </si>
  <si>
    <t>P61081</t>
    <phoneticPr fontId="5" type="noConversion"/>
  </si>
  <si>
    <t>QNVQRSMrGGYLGST</t>
  </si>
  <si>
    <t>SM#R*GGYIGSTYFER</t>
  </si>
  <si>
    <t>SMR*GGYIGSTYFER</t>
  </si>
  <si>
    <t>WAS</t>
  </si>
  <si>
    <t>IMD2</t>
  </si>
  <si>
    <t>Wiskott-Aldrich syndrome protein</t>
  </si>
  <si>
    <t>P42768</t>
    <phoneticPr fontId="5" type="noConversion"/>
  </si>
  <si>
    <t>RGPPPPGrGGPPPPP</t>
  </si>
  <si>
    <t>GPPPPGR*GGPPPPPPPATGR</t>
  </si>
  <si>
    <t>Q9C0J8</t>
    <phoneticPr fontId="5" type="noConversion"/>
  </si>
  <si>
    <t>RLREFEGrGGPLPQE</t>
  </si>
  <si>
    <t>EFEGR*GGPLPQEEK</t>
  </si>
  <si>
    <t>EDRGGKGrGGPGPAQ</t>
  </si>
  <si>
    <t>GR*GGPGPAQR</t>
  </si>
  <si>
    <t>PKP2</t>
    <phoneticPr fontId="5" type="noConversion"/>
  </si>
  <si>
    <t>Plakophilin-2</t>
  </si>
  <si>
    <t>Q99959</t>
    <phoneticPr fontId="5" type="noConversion"/>
  </si>
  <si>
    <t>KLAGSSGrGGQTVKS</t>
  </si>
  <si>
    <t>LAGSSGR*GGQTVK</t>
  </si>
  <si>
    <t>SDK2</t>
    <phoneticPr fontId="5" type="noConversion"/>
  </si>
  <si>
    <t>Protein sidekick-2</t>
  </si>
  <si>
    <t>Q58EX2</t>
    <phoneticPr fontId="5" type="noConversion"/>
  </si>
  <si>
    <t>CGVTHDPrVTLRYLW</t>
  </si>
  <si>
    <t>DQSVIKGTQASM#VCGVTHDPR*</t>
  </si>
  <si>
    <t>AKT1S1</t>
    <phoneticPr fontId="5" type="noConversion"/>
  </si>
  <si>
    <t>Proline-rich AKT1 substrate 1</t>
  </si>
  <si>
    <t>Q96B36</t>
    <phoneticPr fontId="5" type="noConversion"/>
  </si>
  <si>
    <t>CAYAAHGrGALAEAA</t>
  </si>
  <si>
    <t>AAHGR*GALAEAAR</t>
  </si>
  <si>
    <t>API5</t>
    <phoneticPr fontId="5" type="noConversion"/>
  </si>
  <si>
    <t>Apoptosis inhibitor 5</t>
  </si>
  <si>
    <t>Q9BZZ5</t>
    <phoneticPr fontId="5" type="noConversion"/>
  </si>
  <si>
    <t>GNFNYEQrGAFRGSR</t>
  </si>
  <si>
    <t>YSSNLGNFNYEQR*</t>
  </si>
  <si>
    <t>BAG4</t>
    <phoneticPr fontId="5" type="noConversion"/>
  </si>
  <si>
    <t>BAG family molecular chaperone regulator 4</t>
  </si>
  <si>
    <t>O95429</t>
    <phoneticPr fontId="5" type="noConversion"/>
  </si>
  <si>
    <t>PPLSWRVrGGGPAET</t>
  </si>
  <si>
    <t>VR*GGGPAETTWLGEGGGGDGYYPSGGAWPEPGR</t>
  </si>
  <si>
    <t>NSPTPVSrWLYPQQD</t>
  </si>
  <si>
    <t>SSGNSPTPVSR*</t>
  </si>
  <si>
    <t>PPP1R13L</t>
  </si>
  <si>
    <t>IASPP</t>
  </si>
  <si>
    <t>RelA-associated inhibitor</t>
  </si>
  <si>
    <t>Q8WUF5</t>
    <phoneticPr fontId="5" type="noConversion"/>
  </si>
  <si>
    <t>TPFDFLGrAGSPRGS</t>
  </si>
  <si>
    <t>QQGPPTPFDFLGR*</t>
  </si>
  <si>
    <t>PERGPSPrPPATAYD</t>
  </si>
  <si>
    <t>GPSPR*PPATAYDAPASAFGSSLLGSGGSAFAPPLR</t>
  </si>
  <si>
    <t>Autophagy</t>
  </si>
  <si>
    <t>ATG2A</t>
  </si>
  <si>
    <t>Autophagy-related protein 2 homolog A</t>
  </si>
  <si>
    <t>Q2TAZ0-5</t>
    <phoneticPr fontId="5" type="noConversion"/>
  </si>
  <si>
    <t>LWVRSQArVQEVCER</t>
  </si>
  <si>
    <t>AR*VQEVCER</t>
  </si>
  <si>
    <t>ZBTB10</t>
    <phoneticPr fontId="5" type="noConversion"/>
  </si>
  <si>
    <t>RINZF</t>
    <phoneticPr fontId="5" type="noConversion"/>
  </si>
  <si>
    <t>Zinc finger and BTB domain-containing protein 10</t>
  </si>
  <si>
    <t>Q96DT7</t>
    <phoneticPr fontId="5" type="noConversion"/>
  </si>
  <si>
    <t>NRRTLAFrGGGGGGL</t>
  </si>
  <si>
    <t>TLAFR*GGGGGGLGNNGSSR</t>
  </si>
  <si>
    <t>Q9H7S9</t>
    <phoneticPr fontId="5" type="noConversion"/>
  </si>
  <si>
    <t>SHLSTAGGLAVPSLPTAGPYYSPYALYGQR*</t>
  </si>
  <si>
    <t>CUL1</t>
  </si>
  <si>
    <t>Cullin-1</t>
  </si>
  <si>
    <t>Q13616</t>
    <phoneticPr fontId="5" type="noConversion"/>
  </si>
  <si>
    <t>VHQSNQArGAGVPPS</t>
  </si>
  <si>
    <t>YM#ELYTHVYNYCTSVHQSNQAR*</t>
  </si>
  <si>
    <t>DDX3X</t>
    <phoneticPr fontId="5" type="noConversion"/>
  </si>
  <si>
    <t>DDX3</t>
    <phoneticPr fontId="5" type="noConversion"/>
  </si>
  <si>
    <t>ATP-dependent RNA helicase DDX3X</t>
  </si>
  <si>
    <t>O00571</t>
    <phoneticPr fontId="5" type="noConversion"/>
  </si>
  <si>
    <t>SSSFSSSrASSSRSG</t>
  </si>
  <si>
    <t>QSSGASSSSFSSSR*</t>
  </si>
  <si>
    <t>88, 93</t>
    <phoneticPr fontId="5" type="noConversion"/>
  </si>
  <si>
    <t>KSSFFSDrGSGSRGR;SDRGSGSrGRFDDRG</t>
  </si>
  <si>
    <t>SSFFSDR*GSGSR*GR</t>
  </si>
  <si>
    <t>KSSFFSDrGSGSRGR</t>
  </si>
  <si>
    <t>SSFFSDR*GSGSR</t>
  </si>
  <si>
    <t>Cell development/differentiation</t>
  </si>
  <si>
    <t>GIGYF2</t>
    <phoneticPr fontId="5" type="noConversion"/>
  </si>
  <si>
    <t>GYF2</t>
    <phoneticPr fontId="5" type="noConversion"/>
  </si>
  <si>
    <t>PERQ amino acid-rich with GYF domain-containing protein 2</t>
  </si>
  <si>
    <t>Q6Y7W6</t>
    <phoneticPr fontId="5" type="noConversion"/>
  </si>
  <si>
    <t>EVEGVFGrGGGREMH</t>
  </si>
  <si>
    <t>SFDEVEGVFGR*</t>
  </si>
  <si>
    <t>SFDEVEGVFGR*GGGR</t>
  </si>
  <si>
    <t>LCHN</t>
  </si>
  <si>
    <t>Protein LCHN</t>
  </si>
  <si>
    <t>A4D1U4</t>
    <phoneticPr fontId="5" type="noConversion"/>
  </si>
  <si>
    <t>PQAGGWGrGGGGGAR</t>
  </si>
  <si>
    <t>WAEGPAVSLPQAPQPQAGGWGR*</t>
  </si>
  <si>
    <t>CAPRIN1</t>
    <phoneticPr fontId="5" type="noConversion"/>
  </si>
  <si>
    <t>M11S1</t>
    <phoneticPr fontId="5" type="noConversion"/>
  </si>
  <si>
    <t>Q14444</t>
    <phoneticPr fontId="5" type="noConversion"/>
  </si>
  <si>
    <t>RGPANGFrGGYDGYR</t>
  </si>
  <si>
    <t>ANGFR*GGYDGYRPSFSNTPNSGYTQSQFSAPR</t>
  </si>
  <si>
    <t>RGGYDGYrPSFSNTP</t>
  </si>
  <si>
    <t>GPANGFR*</t>
  </si>
  <si>
    <t>GPANGFR*GGYDGYRPS</t>
  </si>
  <si>
    <t>GPANGFR*GGYDGYRPSFSNTPNSGYTQSQ</t>
  </si>
  <si>
    <t>GPANGFR*GGYDGYRPSFSNTPNSGYTQSQF</t>
  </si>
  <si>
    <t>GPANGFR*GGYDGYRPSFSNTPNSGYTQSQFSAPR</t>
  </si>
  <si>
    <t>ANGFRGGYDGYR*PSFSNTPNSGYTQSQFSAPR</t>
  </si>
  <si>
    <t>GPANGFRGGYDGYR*PSFSNTPNSGYTQSQFSAPR</t>
  </si>
  <si>
    <t>RGGYDGYR*PSFSNTPNSGYTQSQFSAPR</t>
  </si>
  <si>
    <t>CCT7</t>
    <phoneticPr fontId="5" type="noConversion"/>
  </si>
  <si>
    <t>T-complex protein 1 subunit eta</t>
  </si>
  <si>
    <t>Q99832</t>
    <phoneticPr fontId="5" type="noConversion"/>
  </si>
  <si>
    <t>DAPTAAGrGRGRGRP</t>
  </si>
  <si>
    <t>STVDAPTAAGR*</t>
  </si>
  <si>
    <t>HSPA1A</t>
    <phoneticPr fontId="5" type="noConversion"/>
  </si>
  <si>
    <t>HSPA1</t>
    <phoneticPr fontId="5" type="noConversion"/>
  </si>
  <si>
    <t>P08107</t>
    <phoneticPr fontId="5" type="noConversion"/>
  </si>
  <si>
    <t>SGLPPAPrGVPQLEV</t>
  </si>
  <si>
    <t>HSPA8</t>
  </si>
  <si>
    <t>LAP1</t>
  </si>
  <si>
    <t>Heat shock cognate 71 kDa protein</t>
  </si>
  <si>
    <t>P11142</t>
    <phoneticPr fontId="5" type="noConversion"/>
  </si>
  <si>
    <t>TGLPPAPrGVPQLEV</t>
  </si>
  <si>
    <t>FELTGIPPAPR*</t>
  </si>
  <si>
    <t>HSPB1</t>
  </si>
  <si>
    <t>HSP27</t>
  </si>
  <si>
    <t>Heat shock protein beta-1</t>
  </si>
  <si>
    <t>P04792</t>
    <phoneticPr fontId="5" type="noConversion"/>
  </si>
  <si>
    <t>RVPFSLLrGPSWDPF</t>
  </si>
  <si>
    <t>FSLLR*GPSWDPFR</t>
  </si>
  <si>
    <t>SLLR*GPSWDPFR</t>
  </si>
  <si>
    <t>VPFSLLR*GPSWDPFR</t>
  </si>
  <si>
    <t>DQAFGLPrLPEEWSQ</t>
  </si>
  <si>
    <t>LFDQAFGLPR*</t>
  </si>
  <si>
    <t>Contractile protein</t>
  </si>
  <si>
    <t>JPH2</t>
  </si>
  <si>
    <t>JP-2</t>
  </si>
  <si>
    <t>Junctophilin-2</t>
  </si>
  <si>
    <t>Q9BR39</t>
    <phoneticPr fontId="5" type="noConversion"/>
  </si>
  <si>
    <t>LPSPALPrGGFALSL</t>
  </si>
  <si>
    <t>PSPAIPRGGFALSLLANAEAAAR*</t>
  </si>
  <si>
    <t>CLASP2</t>
  </si>
  <si>
    <t>CLIP-associating protein 2</t>
  </si>
  <si>
    <t>O75122</t>
    <phoneticPr fontId="5" type="noConversion"/>
  </si>
  <si>
    <t>WVGSSNYrVSLMGLE</t>
  </si>
  <si>
    <t>VGSSNYR*</t>
  </si>
  <si>
    <t>DES</t>
  </si>
  <si>
    <t>CSM1</t>
  </si>
  <si>
    <t>Desmin</t>
  </si>
  <si>
    <t>P17661</t>
    <phoneticPr fontId="5" type="noConversion"/>
  </si>
  <si>
    <t>LSSPVFPrAGFGSKG</t>
  </si>
  <si>
    <t>TFGGAPGFPLGSPLSSPVFPR*</t>
  </si>
  <si>
    <t>P05783</t>
    <phoneticPr fontId="5" type="noConversion"/>
  </si>
  <si>
    <t>VSRSTSFrGGMGSGG</t>
  </si>
  <si>
    <t>FR*GGM#GSGGLATGIAGGLAGM#GGIQNEK</t>
  </si>
  <si>
    <t>R*GGM#GSGGLATGIAGGLAGM#GGIQNEK</t>
  </si>
  <si>
    <t>R*GGM#GSGGLATGIAGGLAGM#GGIQNEKETM#QSLNDR</t>
  </si>
  <si>
    <t>STSFR*GGM#</t>
  </si>
  <si>
    <t>STSFR*GGM#G</t>
  </si>
  <si>
    <t>STSFR*GGM#GSGGL</t>
  </si>
  <si>
    <t>STSFR*GGM#GSGGLA</t>
  </si>
  <si>
    <t>STSFR*GGM#GSGGLAT</t>
  </si>
  <si>
    <t>STSFR*GGM#GSGGLATG</t>
  </si>
  <si>
    <t>STSFR*GGM#GSGGLATGI</t>
  </si>
  <si>
    <t>STSFR*GGM#GSGGLATGIA</t>
  </si>
  <si>
    <t>STSFR*GGM#GSGGLATGIAGGL</t>
  </si>
  <si>
    <t>STSFR*GGM#GSGGLATGIAGGLAGM#GGIQN</t>
  </si>
  <si>
    <t>STSFR*GGM#GSGGLATGIAGGLAGM#GGIQNEKETM#QSLNDR</t>
  </si>
  <si>
    <t>STSFR*GGM#GSGGLATGIAGGLAGM#GGIQNEKETMQSLNDR</t>
  </si>
  <si>
    <t>STSFR*GGM#GSGGLATGIAGGLAGMGGIQNEK</t>
  </si>
  <si>
    <t>STSFR*GGM#GSGGLATGIAGGLAGMGGIQNEKETM#QSLNDR</t>
  </si>
  <si>
    <t>STSFR*GGM#GSGGLATGIAGGLAGMGGIQNEKETMQSLNDR</t>
  </si>
  <si>
    <t>STSFR*GGMGSGGLAT</t>
  </si>
  <si>
    <t>STSFR*GGMGSGGLATGIAGGLAGM#GGIQNEK</t>
  </si>
  <si>
    <t>STSFR*GGMGSGGLATGIAGGLAGM#GGIQNEKETM#QSLNDR</t>
  </si>
  <si>
    <t>STSFR*GGMGSGGLATGIAGGLAGM#GGIQNEKETMQSLNDR</t>
  </si>
  <si>
    <t>Keratin, type I cytoskeletal 19</t>
    <phoneticPr fontId="5" type="noConversion"/>
  </si>
  <si>
    <t>P08727</t>
    <phoneticPr fontId="5" type="noConversion"/>
  </si>
  <si>
    <t>GLGGGSVrFGPGVAF</t>
  </si>
  <si>
    <t>ATSSFGGLGGGSVR*</t>
  </si>
  <si>
    <t>GGLGGGSVR*</t>
  </si>
  <si>
    <t>QSSATSSFGGLGGGSVR*FGPGVAFR</t>
  </si>
  <si>
    <t>SATSSFGGLGGGSVR*</t>
  </si>
  <si>
    <t>SFGGLGGGSVR*</t>
  </si>
  <si>
    <t>SSATSSFGGLGGGSVR*</t>
  </si>
  <si>
    <t>SSFGGLGGGSVR*</t>
  </si>
  <si>
    <t>TSSFGGLGGGSVR*</t>
  </si>
  <si>
    <t>24, 32</t>
  </si>
  <si>
    <t>GLGGGSVrFGPGVAF;FGPGVAFrAPSLHGG</t>
  </si>
  <si>
    <t>R*FGPGVAFR*</t>
  </si>
  <si>
    <t>FGPGVAFrAPSLHGG</t>
  </si>
  <si>
    <t>FGPGVAFR*</t>
  </si>
  <si>
    <t>FGPGVAFR*APS</t>
  </si>
  <si>
    <t>FGPGVAFR*APSIHGGSGGR</t>
  </si>
  <si>
    <t>PGVAFR*</t>
  </si>
  <si>
    <t>32, 43</t>
  </si>
  <si>
    <t>FGPGVAFrAPSLHGG;LHGGSGGrGVSVSSA</t>
  </si>
  <si>
    <t>AFR*APSIHGGSGGR*</t>
  </si>
  <si>
    <t>FGPGVAFR*APSIHGGSGGR*</t>
  </si>
  <si>
    <t>FGPGVAFR*APSIHGGSGGR*GV</t>
  </si>
  <si>
    <t>FGPGVAFR*APSIHGGSGGR*GVSV</t>
  </si>
  <si>
    <t>FGPGVAFR*APSIHGGSGGR*GVSVSSA</t>
  </si>
  <si>
    <t>GPGVAFR*APSIHGGSGGR*</t>
  </si>
  <si>
    <t>R*APSIHGGSGGR*</t>
  </si>
  <si>
    <t>R*APSIHGGSGGR*GVSVSSAR</t>
  </si>
  <si>
    <t>32, 51</t>
  </si>
  <si>
    <t>FGPGVAFR*APSIHGGSGGRGVSVSSAR*</t>
  </si>
  <si>
    <t>LHGGSGGrGVSVSSA</t>
  </si>
  <si>
    <t>APSIHGGSGGR*</t>
  </si>
  <si>
    <t>APSIHGGSGGR*GV</t>
  </si>
  <si>
    <t>APSIHGGSGGR*GVSV</t>
  </si>
  <si>
    <t>APSIHGGSGGR*GVSVS</t>
  </si>
  <si>
    <t>APSIHGGSGGR*GVSVSSA</t>
  </si>
  <si>
    <t>APSIHGGSGGR*GVSVSSAR</t>
  </si>
  <si>
    <t>GGSGGR*GVSVSSAR</t>
  </si>
  <si>
    <t>PSIHGGSGGR*</t>
  </si>
  <si>
    <t>PSIHGGSGGR*GVSVSSAR</t>
  </si>
  <si>
    <t>SIHGGSGGR*</t>
  </si>
  <si>
    <t>SIHGGSGGR*GVSVSSAR</t>
  </si>
  <si>
    <t>43, 51</t>
  </si>
  <si>
    <t>LHGGSGGrGVSVSSA;GVSVSSArFVSSSSS</t>
  </si>
  <si>
    <t>APSIHGGSGGR*GVSVSSAR*</t>
  </si>
  <si>
    <t>APSIHGGSGGR*GVSVSSAR*FV</t>
  </si>
  <si>
    <t>APSIHGGSGGR*GVSVSSAR*FVSSSSSGAYGGGYGGVLTASDGLLAGNEK</t>
  </si>
  <si>
    <t>PSIHGGSGGR*GVSVSSAR*</t>
  </si>
  <si>
    <t>SIHGGSGGR*GVSVSSAR*</t>
  </si>
  <si>
    <t>SIHGGSGGR*GVSVSSAR*FVSSSSSGAYGGGYGGVLTASDGLLAGNEK</t>
  </si>
  <si>
    <t>GVSVSSArFVSSSSS</t>
  </si>
  <si>
    <t>APSIHGGSGGRGVSVSSAR*FVSSSSSGAYGGGYGGVLTASDGLLAGNEK</t>
  </si>
  <si>
    <t>AR*FVSSSSSGAYGGGYGGVLTASDGLLAGNEK</t>
  </si>
  <si>
    <t>GVSVSSAR*</t>
  </si>
  <si>
    <t>GVSVSSAR*FV</t>
  </si>
  <si>
    <t>GVSVSSAR*FVSSSSSGAYGGGYGGVLTASDGLLAGNEK</t>
  </si>
  <si>
    <t>SAR*FVSSSSSGAYGGGYGGVLTASDGLLAGNEK</t>
  </si>
  <si>
    <t>7, 24</t>
  </si>
  <si>
    <t>xMTSYSYrQSSATSS;GLGGGSVrFGPGVAF</t>
  </si>
  <si>
    <t>R*QSSATSSFGGLGGGSVR*</t>
  </si>
  <si>
    <t>SYR*QSSATSSFGGLGGGSVR*</t>
  </si>
  <si>
    <t>KRT20</t>
  </si>
  <si>
    <t>CD20</t>
  </si>
  <si>
    <t>Keratin, type I cytoskeletal 20</t>
  </si>
  <si>
    <t>P35900</t>
    <phoneticPr fontId="5" type="noConversion"/>
  </si>
  <si>
    <t>VYGGAGGrGLRLSNS</t>
  </si>
  <si>
    <t>LGTTPSVYGGAGGR*</t>
  </si>
  <si>
    <t>TTPSVYGGAGGR*</t>
  </si>
  <si>
    <t>KRT6A</t>
    <phoneticPr fontId="5" type="noConversion"/>
  </si>
  <si>
    <t>CK6A</t>
    <phoneticPr fontId="5" type="noConversion"/>
  </si>
  <si>
    <t>Keratin, type II cytoskeletal 6A</t>
  </si>
  <si>
    <t>P02538</t>
    <phoneticPr fontId="5" type="noConversion"/>
  </si>
  <si>
    <t>SVSVSRSrGSGGLGG</t>
  </si>
  <si>
    <t>SR*GSGGLGGACGGAGFGSR</t>
  </si>
  <si>
    <t>KRT8</t>
    <phoneticPr fontId="5" type="noConversion"/>
  </si>
  <si>
    <t>CK-8</t>
    <phoneticPr fontId="5" type="noConversion"/>
  </si>
  <si>
    <t>P05787</t>
    <phoneticPr fontId="5" type="noConversion"/>
  </si>
  <si>
    <t>YTSGPGSrLSSSSFS</t>
  </si>
  <si>
    <t>SYTSGPGSR*</t>
  </si>
  <si>
    <t>FR*GGLGGGYGGASGM#GGITAVTVNQSLLSPLVLEVDPNIQAVR</t>
  </si>
  <si>
    <t>R*GGLGGGYGGASGM#GGITAVTVNQSLLSPLVLEVDPNIQAVR</t>
  </si>
  <si>
    <t>LSSSSFSrVGSSNFR</t>
  </si>
  <si>
    <t>RVGSSNFR*</t>
  </si>
  <si>
    <t>SSNFR*GGLGGGYGGASGM#GGITAVTVNQSLLSPLVLEVDPNIQAVR</t>
  </si>
  <si>
    <t>SSNFR*GGLGGGYGGASGMGGITAVTVNQSLLSPLVLEVDPNIQAVR</t>
  </si>
  <si>
    <t>VGSSNFR*</t>
  </si>
  <si>
    <t>VGSSNFR*GG</t>
  </si>
  <si>
    <t>VGSSNFR*GGL</t>
  </si>
  <si>
    <t>VGSSNFR*GGLG</t>
  </si>
  <si>
    <t>VGSSNFR*GGLGG</t>
  </si>
  <si>
    <t>VGSSNFR*GGLGGGY</t>
  </si>
  <si>
    <t>VGSSNFR*GGLGGGYG</t>
  </si>
  <si>
    <t>VGSSNFR*GGLGGGYGG</t>
  </si>
  <si>
    <t>VGSSNFR*GGLGGGYGGA</t>
  </si>
  <si>
    <t>VGSSNFR*GGLGGGYGGAS</t>
  </si>
  <si>
    <t>VGSSNFR*GGLGGGYGGASG</t>
  </si>
  <si>
    <t>VGSSNFR*GGLGGGYGGASGM</t>
  </si>
  <si>
    <t>VGSSNFR*GGLGGGYGGASGM#</t>
  </si>
  <si>
    <t>VGSSNFR*GGLGGGYGGASGM#G</t>
  </si>
  <si>
    <t>VGSSNFR*GGLGGGYGGASGM#GG</t>
  </si>
  <si>
    <t>VGSSNFR*GGLGGGYGGASGM#GGIT</t>
  </si>
  <si>
    <t>VGSSNFR*GGLGGGYGGASGM#GGITA</t>
  </si>
  <si>
    <t>VGSSNFR*GGLGGGYGGASGM#GGITAVT</t>
  </si>
  <si>
    <t>VGSSNFR*GGLGGGYGGASGM#GGITAVTV</t>
  </si>
  <si>
    <t>VGSSNFR*GGLGGGYGGASGM#GGITAVTVN</t>
  </si>
  <si>
    <t>VGSSNFR*GGLGGGYGGASGM#GGITAVTVNQS</t>
  </si>
  <si>
    <t>VGSSNFR*GGLGGGYGGASGM#GGITAVTVNQSL</t>
  </si>
  <si>
    <t>VGSSNFR*GGLGGGYGGASGM#GGITAVTVNQSLL</t>
  </si>
  <si>
    <t>VGSSNFR*GGLGGGYGGASGM#GGITAVTVNQSLLSPL</t>
  </si>
  <si>
    <t>VGSSNFR*GGLGGGYGGASGM#GGITAVTVNQSLLSPLVLEVDPNIQAVR</t>
  </si>
  <si>
    <t>VGSSNFR*GGLGGGYGGASGMGGI</t>
  </si>
  <si>
    <t>VGSSNFR*GGLGGGYGGASGMGGITAV</t>
  </si>
  <si>
    <t>VGSSNFR*GGLGGGYGGASGMGGITAVTVNQSLLSPLVLEVDPNIQAVR</t>
  </si>
  <si>
    <t>QYEDLANrSRAEAES</t>
  </si>
  <si>
    <t>MDSIIAEVKAQYEDIANR*SR</t>
  </si>
  <si>
    <t>40, 47</t>
    <phoneticPr fontId="5" type="noConversion"/>
  </si>
  <si>
    <t>LSSSSFSrVGSSNFR;RVGSSNFrGGLGGGY</t>
  </si>
  <si>
    <t>ISSSSFSR*VGSSNFR*GGLGGGYGGASGM#GGITAV</t>
  </si>
  <si>
    <t>ISSSSFSR*</t>
  </si>
  <si>
    <t>LMNB1</t>
  </si>
  <si>
    <t>LMN2</t>
  </si>
  <si>
    <t>Lamin-B1</t>
  </si>
  <si>
    <t>P20700</t>
    <phoneticPr fontId="5" type="noConversion"/>
  </si>
  <si>
    <t>VPPRMGSrAGGPTTP</t>
  </si>
  <si>
    <t>M#GSR*AGGPTTPLSPTR</t>
  </si>
  <si>
    <t>MGSR*AGGPTTPLSPTR</t>
  </si>
  <si>
    <t>NEB</t>
    <phoneticPr fontId="5" type="noConversion"/>
  </si>
  <si>
    <t>Nebulin</t>
  </si>
  <si>
    <t>P20929</t>
    <phoneticPr fontId="5" type="noConversion"/>
  </si>
  <si>
    <t>QASEVEYrAKHRKEG</t>
  </si>
  <si>
    <t>AKQASEVEYR*</t>
  </si>
  <si>
    <t>PDLIM3</t>
    <phoneticPr fontId="5" type="noConversion"/>
  </si>
  <si>
    <t>ALP</t>
    <phoneticPr fontId="5" type="noConversion"/>
  </si>
  <si>
    <t>PDZ and LIM domain protein 3</t>
  </si>
  <si>
    <t>Q53GG5-2</t>
    <phoneticPr fontId="5" type="noConversion"/>
  </si>
  <si>
    <t>DALHGQLrGLLPSSP</t>
  </si>
  <si>
    <t>QVVSASYNSPIGLYSTSNIQDALHGQLR*</t>
  </si>
  <si>
    <t>TAGLN2</t>
    <phoneticPr fontId="5" type="noConversion"/>
  </si>
  <si>
    <t>TAGL2</t>
    <phoneticPr fontId="5" type="noConversion"/>
  </si>
  <si>
    <t>P37802</t>
    <phoneticPr fontId="5" type="noConversion"/>
  </si>
  <si>
    <t>GLQMGTNrGASQAGM</t>
  </si>
  <si>
    <t>NVIGLQM#GTNR*GASQAGM#TGYGM#PR</t>
  </si>
  <si>
    <t>GASQAGM#TGYGM#PR*</t>
  </si>
  <si>
    <t>GASQAGM#TGYGMPR*</t>
  </si>
  <si>
    <t>GASQAGMTGYGM#PR*</t>
  </si>
  <si>
    <t>TRIM3</t>
    <phoneticPr fontId="5" type="noConversion"/>
  </si>
  <si>
    <t>BERP</t>
    <phoneticPr fontId="5" type="noConversion"/>
  </si>
  <si>
    <t>139, 144</t>
    <phoneticPr fontId="5" type="noConversion"/>
  </si>
  <si>
    <t>Tripartite motif-containing protein 3</t>
  </si>
  <si>
    <t>O75382</t>
    <phoneticPr fontId="5" type="noConversion"/>
  </si>
  <si>
    <t>TAMCGECrAGEHREH;ECRAGEHrEHGTVLL</t>
  </si>
  <si>
    <t>MEFYCEACETAMCGECR*AGEHR*</t>
  </si>
  <si>
    <t>VIM</t>
  </si>
  <si>
    <t>VIME</t>
  </si>
  <si>
    <t>Vimentin</t>
  </si>
  <si>
    <t>P08670</t>
    <phoneticPr fontId="5" type="noConversion"/>
  </si>
  <si>
    <t>PGGVYATrSSAVRLR</t>
  </si>
  <si>
    <t>ASSPGGVYATR*</t>
  </si>
  <si>
    <t>SLYASSPGGVYATR*</t>
  </si>
  <si>
    <t>BPTF</t>
    <phoneticPr fontId="5" type="noConversion"/>
  </si>
  <si>
    <t>Nucleosome-remodeling factor subunit BPTF</t>
  </si>
  <si>
    <t>Q12830</t>
    <phoneticPr fontId="5" type="noConversion"/>
  </si>
  <si>
    <t>TFTSFQPrTATVTLR</t>
  </si>
  <si>
    <t>VLGIIPSSTGTSQQTFTSFQPR*</t>
  </si>
  <si>
    <t>CHD1L</t>
    <phoneticPr fontId="5" type="noConversion"/>
  </si>
  <si>
    <t>Chromodomain-helicase-DNA-binding protein 1-like</t>
  </si>
  <si>
    <t>Q86WJ1</t>
    <phoneticPr fontId="5" type="noConversion"/>
  </si>
  <si>
    <t>ERAGATSrGGQAPGF</t>
  </si>
  <si>
    <t>AGATSR*GGQAPGFLLR</t>
  </si>
  <si>
    <t>CIC</t>
  </si>
  <si>
    <t>Protein capicua homolog</t>
  </si>
  <si>
    <t>Q96RK0</t>
    <phoneticPr fontId="5" type="noConversion"/>
  </si>
  <si>
    <t>AAPSMSVrGGGAGQP</t>
  </si>
  <si>
    <t>VLVPLAAPSM#SVR*</t>
  </si>
  <si>
    <t>CNBP</t>
    <phoneticPr fontId="5" type="noConversion"/>
  </si>
  <si>
    <t>32, 34</t>
    <phoneticPr fontId="5" type="noConversion"/>
  </si>
  <si>
    <t>Cellular nucleic acid-binding protein</t>
  </si>
  <si>
    <t>P62633-2</t>
    <phoneticPr fontId="5" type="noConversion"/>
  </si>
  <si>
    <t>RGRGMRSrGRGFQFV;RGMRSRGrGFQFVSS</t>
  </si>
  <si>
    <t>SR*GR*GFQFVSSSLPDICYR</t>
  </si>
  <si>
    <t>RGMRSRGrGFQFVSS</t>
  </si>
  <si>
    <t>GR*GFQFVSSSLPDICYR</t>
  </si>
  <si>
    <t>P62633</t>
    <phoneticPr fontId="5" type="noConversion"/>
  </si>
  <si>
    <t>DACYNCGrGGHLAKD</t>
  </si>
  <si>
    <t>DCDLQEDACYNCGR*GGH</t>
  </si>
  <si>
    <t>CREBBP</t>
    <phoneticPr fontId="5" type="noConversion"/>
  </si>
  <si>
    <t>RSTS</t>
    <phoneticPr fontId="5" type="noConversion"/>
  </si>
  <si>
    <t>CREB-binding protein</t>
  </si>
  <si>
    <t>Q92793</t>
    <phoneticPr fontId="5" type="noConversion"/>
  </si>
  <si>
    <t>GSLGAAGrGRGAGMP</t>
  </si>
  <si>
    <t>NGSLGAAGR*</t>
  </si>
  <si>
    <t>P50238</t>
    <phoneticPr fontId="5" type="noConversion"/>
  </si>
  <si>
    <t>FGPKGFGrGGAESHT</t>
  </si>
  <si>
    <t>FGR*GGAESHTFK</t>
  </si>
  <si>
    <t>GFGR*GGAESH</t>
  </si>
  <si>
    <t>GFGR*GGAESHT</t>
  </si>
  <si>
    <t>GFGR*GGAESHTF</t>
  </si>
  <si>
    <t>FUBP1</t>
    <phoneticPr fontId="5" type="noConversion"/>
  </si>
  <si>
    <t>FUBP</t>
    <phoneticPr fontId="5" type="noConversion"/>
  </si>
  <si>
    <t>Far upstream element-binding protein 1</t>
  </si>
  <si>
    <t>Q96AE4</t>
    <phoneticPr fontId="5" type="noConversion"/>
  </si>
  <si>
    <t>GGPGPGGrGRGRGQG</t>
  </si>
  <si>
    <t>AGNPGGPGPGGR*</t>
  </si>
  <si>
    <t>QAGNPGGPGPGGR*</t>
  </si>
  <si>
    <t>SVQAGNPGGPGPGGR*</t>
  </si>
  <si>
    <t>FUS</t>
    <phoneticPr fontId="5" type="noConversion"/>
  </si>
  <si>
    <t>ALS6</t>
    <phoneticPr fontId="5" type="noConversion"/>
  </si>
  <si>
    <t>216, 218</t>
    <phoneticPr fontId="5" type="noConversion"/>
  </si>
  <si>
    <t>P35637</t>
    <phoneticPr fontId="5" type="noConversion"/>
  </si>
  <si>
    <t>GGR*GR*GGSGGGGGGGGGGYNR</t>
  </si>
  <si>
    <t>QDRGGRGrGGSGGGG</t>
  </si>
  <si>
    <t>GR*GGSGGGGGGGGGGYNR</t>
  </si>
  <si>
    <t>GGGGSGGGGR*GGFPSGGGGGGGQQR</t>
  </si>
  <si>
    <t>GGRGGGDrGGFGPGK</t>
  </si>
  <si>
    <t>GGGDR*GGFGPGK</t>
  </si>
  <si>
    <t>GGYGQQDrGGRGRGG</t>
  </si>
  <si>
    <t>SGGGGSGGYGQQDR*</t>
  </si>
  <si>
    <t>SM#SSGGGSGGGYGNQDQSGGGGSGGYGQQDR*</t>
  </si>
  <si>
    <t>SSGGGSGGGYGNQDQSGGGGSGGYGQQDR*</t>
  </si>
  <si>
    <t>HNRNPU</t>
    <phoneticPr fontId="5" type="noConversion"/>
  </si>
  <si>
    <t>SAFA</t>
    <phoneticPr fontId="5" type="noConversion"/>
  </si>
  <si>
    <t>Q00839</t>
    <phoneticPr fontId="5" type="noConversion"/>
  </si>
  <si>
    <t>RRGNMPQrGGGGGGS</t>
  </si>
  <si>
    <t>GNM#PQR*GGGGGGSGGIGYPYPR</t>
  </si>
  <si>
    <t>NQFNR*GGGH</t>
  </si>
  <si>
    <t>ILF3</t>
    <phoneticPr fontId="5" type="noConversion"/>
  </si>
  <si>
    <t>NFAR</t>
    <phoneticPr fontId="5" type="noConversion"/>
  </si>
  <si>
    <t>Interleukin enhancer-binding factor 3</t>
  </si>
  <si>
    <t>Q12906</t>
    <phoneticPr fontId="5" type="noConversion"/>
  </si>
  <si>
    <t>KRAPVPVrGGPKFAA</t>
  </si>
  <si>
    <t>APVPVR*GGPK</t>
  </si>
  <si>
    <t>VPVR*GGPK</t>
  </si>
  <si>
    <t>LEF1</t>
    <phoneticPr fontId="5" type="noConversion"/>
  </si>
  <si>
    <t>Lymphoid enhancer-binding factor 1</t>
  </si>
  <si>
    <t>EPYHDKArEHPDDGK</t>
  </si>
  <si>
    <t>AR*EHPDDGK</t>
  </si>
  <si>
    <t>PRR12</t>
    <phoneticPr fontId="5" type="noConversion"/>
  </si>
  <si>
    <t>Proline-rich protein 12</t>
  </si>
  <si>
    <t>Q9ULL5</t>
    <phoneticPr fontId="5" type="noConversion"/>
  </si>
  <si>
    <t>PGRLLKTrAMREMYR</t>
  </si>
  <si>
    <t>TR*AM#REMYRSYVEM#LVSTALDPD</t>
  </si>
  <si>
    <t>PURB</t>
  </si>
  <si>
    <t>Transcriptional activator protein Pur-beta</t>
  </si>
  <si>
    <t>Q96QR8</t>
    <phoneticPr fontId="5" type="noConversion"/>
  </si>
  <si>
    <t>RLRQTVNrGGGGFGA</t>
  </si>
  <si>
    <t>QTVNR*GGGGFGAGPGPGGLQSGQTI</t>
  </si>
  <si>
    <t>QTVNR*GGGGFGAGPGPGGLQSGQTIALPAQGLIEFR</t>
  </si>
  <si>
    <t>RFX5</t>
    <phoneticPr fontId="5" type="noConversion"/>
  </si>
  <si>
    <t>DNA-binding protein RFX5</t>
  </si>
  <si>
    <t>P48382</t>
    <phoneticPr fontId="5" type="noConversion"/>
  </si>
  <si>
    <t>ATLPLSSrAGAPPAA</t>
  </si>
  <si>
    <t>VATLPLSSR*</t>
  </si>
  <si>
    <t>SAFB</t>
    <phoneticPr fontId="5" type="noConversion"/>
  </si>
  <si>
    <t>Scaffold attachment factor B1</t>
  </si>
  <si>
    <t>Q15424</t>
    <phoneticPr fontId="5" type="noConversion"/>
  </si>
  <si>
    <t>DKRMSEGrGLPPPPR</t>
  </si>
  <si>
    <t>M#SEGR*GLPPPPR</t>
  </si>
  <si>
    <t>GGFGGQSrGSRPSDA</t>
  </si>
  <si>
    <t>GGM#QGGFGGQSR*</t>
  </si>
  <si>
    <t>ZNF451</t>
    <phoneticPr fontId="5" type="noConversion"/>
  </si>
  <si>
    <t>ZN451</t>
    <phoneticPr fontId="5" type="noConversion"/>
  </si>
  <si>
    <t>Zinc finger protein 451</t>
  </si>
  <si>
    <t>Q9Y4E5</t>
    <phoneticPr fontId="5" type="noConversion"/>
  </si>
  <si>
    <t>GTKSSFRrGGHTWVS</t>
  </si>
  <si>
    <t>R*GGHTWVSGKPI</t>
  </si>
  <si>
    <t>R*GGHTWVSGKPILCPI</t>
  </si>
  <si>
    <t>ZNF638</t>
    <phoneticPr fontId="5" type="noConversion"/>
  </si>
  <si>
    <t>ZFML</t>
    <phoneticPr fontId="5" type="noConversion"/>
  </si>
  <si>
    <t>Zinc finger protein 638</t>
  </si>
  <si>
    <t>Q14966</t>
    <phoneticPr fontId="5" type="noConversion"/>
  </si>
  <si>
    <t>PTQSSLTrGGSGRLS</t>
  </si>
  <si>
    <t>FKPTQSSLTR*</t>
  </si>
  <si>
    <t>P0CG12</t>
    <phoneticPr fontId="5" type="noConversion"/>
  </si>
  <si>
    <t>LDGSLGPQGGPVLNTGHPLGVNSDPFLM#AAGSLGGNLTPFPR*</t>
  </si>
  <si>
    <t>PGPTLNPrTGALPGP</t>
  </si>
  <si>
    <t>LGPGPGPGPTLNPR*</t>
  </si>
  <si>
    <t>PGGLLGPGPGPGPTLNPR*</t>
  </si>
  <si>
    <t>LGAGPDPrGGGPMGP</t>
  </si>
  <si>
    <t>AGGLLGAGPDPR*</t>
  </si>
  <si>
    <t>AGGLLGAGPDPR*GGGPM#GPGSGPNLR</t>
  </si>
  <si>
    <t>GGGPM#GPGSGPNLR*</t>
  </si>
  <si>
    <t>PGPNPNLrSGFLGTN</t>
  </si>
  <si>
    <t>GLGPGPNPNLR*</t>
  </si>
  <si>
    <t>SGFLGTNPAPR*</t>
  </si>
  <si>
    <t>SNPATFQrSAGLQGS</t>
  </si>
  <si>
    <t>GAGSSAFSQSSGTLASNPATFQR*</t>
  </si>
  <si>
    <t>Extracellular matrix</t>
  </si>
  <si>
    <t>TNXB</t>
    <phoneticPr fontId="5" type="noConversion"/>
  </si>
  <si>
    <t>HXBL</t>
    <phoneticPr fontId="5" type="noConversion"/>
  </si>
  <si>
    <t>Tenascin-X</t>
  </si>
  <si>
    <t>P22105</t>
    <phoneticPr fontId="5" type="noConversion"/>
  </si>
  <si>
    <t>RGRCENGrCVCNPGY</t>
  </si>
  <si>
    <t>R*CVCNPGYTGEDCGVR</t>
  </si>
  <si>
    <t>GTPase activating protein, Rac/Rho</t>
  </si>
  <si>
    <t>CDC42EP1</t>
    <phoneticPr fontId="5" type="noConversion"/>
  </si>
  <si>
    <t>CEP1</t>
    <phoneticPr fontId="5" type="noConversion"/>
  </si>
  <si>
    <t>Cdc42 effector protein 1</t>
  </si>
  <si>
    <t>Q00587</t>
    <phoneticPr fontId="5" type="noConversion"/>
  </si>
  <si>
    <t>RHTMHVGrGGDVFGD</t>
  </si>
  <si>
    <t>HTM#HVGR*GGDVFGDTSFLSNHGGSSGSTHR</t>
  </si>
  <si>
    <t>Guanine nucleotide exchange factor, Rac/Rho</t>
  </si>
  <si>
    <t>PLEKHG6</t>
    <phoneticPr fontId="5" type="noConversion"/>
  </si>
  <si>
    <t>PKHG6</t>
    <phoneticPr fontId="5" type="noConversion"/>
  </si>
  <si>
    <t>Pleckstrin homology domain-containing family G member 6</t>
  </si>
  <si>
    <t>Q3KR16</t>
    <phoneticPr fontId="5" type="noConversion"/>
  </si>
  <si>
    <t>QQYVPFArGSGQARG</t>
  </si>
  <si>
    <t>LQQYVPFAR*</t>
  </si>
  <si>
    <t>Helicase</t>
  </si>
  <si>
    <t>DDX42</t>
  </si>
  <si>
    <t>ATP-dependent RNA helicase DDX42</t>
  </si>
  <si>
    <t>Q86XP3</t>
    <phoneticPr fontId="5" type="noConversion"/>
  </si>
  <si>
    <t>KGGPGTKrGFGFGGF</t>
  </si>
  <si>
    <t>R*GFGFGGFAI</t>
  </si>
  <si>
    <t>DHX33</t>
  </si>
  <si>
    <t>DDX33</t>
  </si>
  <si>
    <t>Putative ATP-dependent RNA helicase DHX33</t>
  </si>
  <si>
    <t>Q9H6R0</t>
    <phoneticPr fontId="5" type="noConversion"/>
  </si>
  <si>
    <t>LTAGSGGrGGGGGRR</t>
  </si>
  <si>
    <t>M#LLTAGSGGR*</t>
  </si>
  <si>
    <t>MLLTAGSGGR*</t>
  </si>
  <si>
    <t>DPYSL3</t>
  </si>
  <si>
    <t>DRP3</t>
  </si>
  <si>
    <t>Dihydropyrimidinase-related protein 3</t>
  </si>
  <si>
    <t>Q14195-2</t>
    <phoneticPr fontId="5" type="noConversion"/>
  </si>
  <si>
    <t>DALSVGQrGAKTPRS</t>
  </si>
  <si>
    <t>TLDFDALSVGQR*</t>
  </si>
  <si>
    <t>POLD1</t>
  </si>
  <si>
    <t>POLD</t>
  </si>
  <si>
    <t>DNA polymerase delta catalytic subunit</t>
  </si>
  <si>
    <t>P28340</t>
    <phoneticPr fontId="5" type="noConversion"/>
  </si>
  <si>
    <t>GVPPKRArGGLWDDD</t>
  </si>
  <si>
    <t>AR*GGLWDDDDAPRPSQFEEDLALM#EEM#EAEHR</t>
  </si>
  <si>
    <t>REXO1</t>
  </si>
  <si>
    <t>REX1</t>
  </si>
  <si>
    <t>RNA exonuclease 1 homolog</t>
  </si>
  <si>
    <t>Q8N1G1</t>
    <phoneticPr fontId="5" type="noConversion"/>
  </si>
  <si>
    <t>SLDRGQGrGGGGGGA</t>
  </si>
  <si>
    <t>GQGR*GGGGGGALEYVPK</t>
  </si>
  <si>
    <t>Protease</t>
  </si>
  <si>
    <t>HK2</t>
  </si>
  <si>
    <r>
      <t>H</t>
    </r>
    <r>
      <rPr>
        <sz val="12"/>
        <color rgb="FF000000"/>
        <rFont val="Verdana"/>
        <family val="2"/>
      </rPr>
      <t>XK</t>
    </r>
    <r>
      <rPr>
        <sz val="12"/>
        <color rgb="FF000000"/>
        <rFont val="Verdana"/>
        <family val="2"/>
      </rPr>
      <t>2</t>
    </r>
  </si>
  <si>
    <t>Hexokinase-2</t>
  </si>
  <si>
    <t>P52789</t>
    <phoneticPr fontId="5" type="noConversion"/>
  </si>
  <si>
    <t>LVEGEEGrMCVNMEW</t>
  </si>
  <si>
    <t>GEEGRMCVNM#EWGAFGDNGCLDDFR*</t>
  </si>
  <si>
    <t>MAP3K14</t>
  </si>
  <si>
    <t>M3K14</t>
  </si>
  <si>
    <t>Mitogen-activated protein kinase kinase kinase 14</t>
  </si>
  <si>
    <t>Q99558</t>
    <phoneticPr fontId="5" type="noConversion"/>
  </si>
  <si>
    <t>KPVDYEYrEEVHWAT</t>
  </si>
  <si>
    <t>DNEGVLLTEKLKPVDYEYR*</t>
  </si>
  <si>
    <t>RIPK1</t>
    <phoneticPr fontId="5" type="noConversion"/>
  </si>
  <si>
    <t>RIP1</t>
    <phoneticPr fontId="5" type="noConversion"/>
  </si>
  <si>
    <t>Receptor-interacting serine/threonine-protein kinase 1</t>
  </si>
  <si>
    <t>Q13546-2</t>
    <phoneticPr fontId="5" type="noConversion"/>
  </si>
  <si>
    <t>DPGTAGPrVWYRPLP</t>
  </si>
  <si>
    <t>PLDPGTAGPR*</t>
  </si>
  <si>
    <t>TRIM33</t>
    <phoneticPr fontId="5" type="noConversion"/>
  </si>
  <si>
    <t>RFG7</t>
    <phoneticPr fontId="5" type="noConversion"/>
  </si>
  <si>
    <t>Q9UPN9-2</t>
    <phoneticPr fontId="5" type="noConversion"/>
  </si>
  <si>
    <t>GQINLAQLR*</t>
  </si>
  <si>
    <t>BRIX1</t>
  </si>
  <si>
    <t>BRIX</t>
  </si>
  <si>
    <t>Ribosome biogenesis protein BRX1 homolog</t>
  </si>
  <si>
    <t>Q8TDN6</t>
    <phoneticPr fontId="5" type="noConversion"/>
  </si>
  <si>
    <t>AATKRKRrGGFAVQA</t>
  </si>
  <si>
    <t>R*GGFAVQAK</t>
  </si>
  <si>
    <t>KARS</t>
    <phoneticPr fontId="5" type="noConversion"/>
  </si>
  <si>
    <t>Lysine--tRNA ligase</t>
  </si>
  <si>
    <t>Q15046</t>
    <phoneticPr fontId="5" type="noConversion"/>
  </si>
  <si>
    <t>GWGMGLDrVAMFLTD</t>
  </si>
  <si>
    <t>TALEYGLPPTAGWGM#GIDR*</t>
  </si>
  <si>
    <t>SH3RF2</t>
  </si>
  <si>
    <t>SH3R2</t>
  </si>
  <si>
    <t>Putative E3 ubiquitin-protein ligase SH3RF2</t>
  </si>
  <si>
    <t>Q8TEC5</t>
    <phoneticPr fontId="5" type="noConversion"/>
  </si>
  <si>
    <t>RSGQSSGrGGSFRRP</t>
  </si>
  <si>
    <t>SGQSSGR*GGSFR</t>
  </si>
  <si>
    <t>Membrane protein, anchored</t>
  </si>
  <si>
    <t>SEMA7A</t>
    <phoneticPr fontId="5" type="noConversion"/>
  </si>
  <si>
    <t>CD108</t>
    <phoneticPr fontId="5" type="noConversion"/>
  </si>
  <si>
    <t>Semaphorin-7A</t>
  </si>
  <si>
    <t>O75326</t>
    <phoneticPr fontId="5" type="noConversion"/>
  </si>
  <si>
    <t>LPRFRRLrGESELYT</t>
  </si>
  <si>
    <t>IR*GESELYTSDTVM#</t>
  </si>
  <si>
    <t>BTF3</t>
  </si>
  <si>
    <t>Transcription factor BTF3</t>
  </si>
  <si>
    <t>P20290</t>
    <phoneticPr fontId="5" type="noConversion"/>
  </si>
  <si>
    <t>SRGRGRArGGCPGGE</t>
  </si>
  <si>
    <t>AR*GGCPGGEATLSQPPPR</t>
  </si>
  <si>
    <t>APAQADSrGRGRARG</t>
  </si>
  <si>
    <t>TGAPAQADSR*</t>
  </si>
  <si>
    <t>C6orf10</t>
    <phoneticPr fontId="5" type="noConversion"/>
  </si>
  <si>
    <t>TSBP</t>
    <phoneticPr fontId="5" type="noConversion"/>
  </si>
  <si>
    <t>Uncharacterized protein C6orf10</t>
  </si>
  <si>
    <t>Q5SRN2</t>
    <phoneticPr fontId="5" type="noConversion"/>
  </si>
  <si>
    <t>LLALLLTrWARCKQS</t>
  </si>
  <si>
    <t>VLEITLAVILTLLGLAILAILLTR*</t>
  </si>
  <si>
    <t>CTAGE5</t>
    <phoneticPr fontId="5" type="noConversion"/>
  </si>
  <si>
    <t>MEA6</t>
    <phoneticPr fontId="5" type="noConversion"/>
  </si>
  <si>
    <t>546, 557</t>
    <phoneticPr fontId="5" type="noConversion"/>
  </si>
  <si>
    <t>O15320</t>
    <phoneticPr fontId="5" type="noConversion"/>
  </si>
  <si>
    <t>TLLEGPLrLSPLLPG;LLPGGGGrGSRGPGN</t>
  </si>
  <si>
    <t>AFLSPPTLLEGPLR*LSPLLPGGGGR*</t>
  </si>
  <si>
    <t>GGGGRGSrGPGNPLD</t>
  </si>
  <si>
    <t>GSR*GPGNPLDHQITNER</t>
  </si>
  <si>
    <t>NCL</t>
  </si>
  <si>
    <t>CLN5</t>
  </si>
  <si>
    <t>Nucleolin</t>
  </si>
  <si>
    <t>P19338</t>
    <phoneticPr fontId="5" type="noConversion"/>
  </si>
  <si>
    <t>GEGGFGGrGGGRGGF</t>
  </si>
  <si>
    <t>GEGGFGGR*</t>
  </si>
  <si>
    <t>TBC1D9B</t>
    <phoneticPr fontId="5" type="noConversion"/>
  </si>
  <si>
    <t>TBC9B</t>
    <phoneticPr fontId="5" type="noConversion"/>
  </si>
  <si>
    <t>TBC1 domain family member 9B</t>
  </si>
  <si>
    <t>Q66K14</t>
    <phoneticPr fontId="5" type="noConversion"/>
  </si>
  <si>
    <t>QRRRGHGrGGGLTGL</t>
  </si>
  <si>
    <t>GHGR*GGGLTGLLVGTLDVVLDSSAR</t>
  </si>
  <si>
    <r>
      <t>TMCO</t>
    </r>
    <r>
      <rPr>
        <sz val="12"/>
        <color rgb="FF000000"/>
        <rFont val="Verdana"/>
        <family val="2"/>
      </rPr>
      <t>4</t>
    </r>
  </si>
  <si>
    <t>TMCO4</t>
    <phoneticPr fontId="5" type="noConversion"/>
  </si>
  <si>
    <t>454, 461</t>
    <phoneticPr fontId="5" type="noConversion"/>
  </si>
  <si>
    <t>Transmembrane and coiled-coil domain-containing protein 4</t>
  </si>
  <si>
    <t>Q5TGY1</t>
    <phoneticPr fontId="5" type="noConversion"/>
  </si>
  <si>
    <t>FRKVVSGrLLNGYCR;RLLNGYCrGDWLLSF</t>
  </si>
  <si>
    <t>VVSGR*IINGYCR*GDWLL</t>
  </si>
  <si>
    <t>TMEM214</t>
    <phoneticPr fontId="5" type="noConversion"/>
  </si>
  <si>
    <t>TM214</t>
    <phoneticPr fontId="5" type="noConversion"/>
  </si>
  <si>
    <t>Transmembrane protein 214</t>
  </si>
  <si>
    <t>Q6NUQ4</t>
    <phoneticPr fontId="5" type="noConversion"/>
  </si>
  <si>
    <t>VGAGAGGrGGGRNRR</t>
  </si>
  <si>
    <t>GVGAGAGGR*GGGR</t>
  </si>
  <si>
    <t>EVVKKGRrPGVGAGA</t>
  </si>
  <si>
    <t>RPGVGAGAGGR*</t>
  </si>
  <si>
    <t>TMEM52</t>
  </si>
  <si>
    <t>Q8NDY8</t>
  </si>
  <si>
    <t>Transmembrane protein 52</t>
  </si>
  <si>
    <t>Q8NDY8</t>
    <phoneticPr fontId="5" type="noConversion"/>
  </si>
  <si>
    <t>DQCPPQArWSSLWHV</t>
  </si>
  <si>
    <t>LGFADGSCDPSDQCPPQAR*</t>
  </si>
  <si>
    <t>SETD1B</t>
    <phoneticPr fontId="5" type="noConversion"/>
  </si>
  <si>
    <t>KMT2G</t>
    <phoneticPr fontId="5" type="noConversion"/>
  </si>
  <si>
    <t>Histone-lysine N-methyltransferase SETD1B</t>
  </si>
  <si>
    <t>Q9UPS6</t>
    <phoneticPr fontId="5" type="noConversion"/>
  </si>
  <si>
    <t>QDSSYSSrQPTPSYL</t>
  </si>
  <si>
    <t>LGTPFSQDSSYSSR*QPTPSYLFSQDPAVTFK</t>
  </si>
  <si>
    <t>QGTPLTPrLGTPFSQ</t>
  </si>
  <si>
    <t>LDTPNSYGQGTPLTPR*</t>
  </si>
  <si>
    <t>Mitochondrial</t>
  </si>
  <si>
    <t>MTCH1</t>
    <phoneticPr fontId="5" type="noConversion"/>
  </si>
  <si>
    <t>PSAP</t>
    <phoneticPr fontId="5" type="noConversion"/>
  </si>
  <si>
    <t>Mitochondrial carrier homolog 1</t>
  </si>
  <si>
    <t>Q9NZJ7</t>
    <phoneticPr fontId="5" type="noConversion"/>
  </si>
  <si>
    <t>AGAGAGArGGAAAGV</t>
  </si>
  <si>
    <t>AGAGAGAGAR*GGAAAGVEAR</t>
  </si>
  <si>
    <t>R*GGAAAGVEAR</t>
  </si>
  <si>
    <t>AGAGAGAGAR*</t>
  </si>
  <si>
    <t>PLAGL1</t>
    <phoneticPr fontId="5" type="noConversion"/>
  </si>
  <si>
    <t>LOT1</t>
    <phoneticPr fontId="5" type="noConversion"/>
  </si>
  <si>
    <t>Zinc finger protein PLAGL1</t>
  </si>
  <si>
    <t>Q9UM63</t>
    <phoneticPr fontId="5" type="noConversion"/>
  </si>
  <si>
    <t>PGESLPHrLSCLGQQ</t>
  </si>
  <si>
    <t>TFGNSTLALGPGESLPHR*</t>
  </si>
  <si>
    <t>P12270</t>
    <phoneticPr fontId="5" type="noConversion"/>
  </si>
  <si>
    <t>VAGVPRFrFGPPEDM</t>
  </si>
  <si>
    <t>FR*FGPPEDM#PQTSSSHSDLGQLASQGGLGM#YETPLFLAHEEESGGR</t>
  </si>
  <si>
    <t>PQVAGVPrFRFGPPE</t>
  </si>
  <si>
    <t>TDGFAEAIHSPQVAGVPR*</t>
  </si>
  <si>
    <t>Oxidoreductase</t>
  </si>
  <si>
    <t>GLUD1</t>
  </si>
  <si>
    <t>GLUD</t>
  </si>
  <si>
    <t>Glutamate dehydrogenase 1, mitochondrial</t>
  </si>
  <si>
    <t>P00367</t>
    <phoneticPr fontId="5" type="noConversion"/>
  </si>
  <si>
    <t>DKLVEDLrTRESEEQ</t>
  </si>
  <si>
    <t>M#VEGFFDRGASIVEDKLVEDLR*TR</t>
  </si>
  <si>
    <t>SOD3</t>
  </si>
  <si>
    <t>176, 189</t>
  </si>
  <si>
    <t>Extracellular superoxide dismutase [Cu-Zn]</t>
  </si>
  <si>
    <t>P08294</t>
    <phoneticPr fontId="5" type="noConversion"/>
  </si>
  <si>
    <t>GPHSLVGrAVVVHAG;AGEDDLGrGGNQASV</t>
  </si>
  <si>
    <t>AGPHSIVGR*AVVVHAGEDDLGR*</t>
  </si>
  <si>
    <t>SQRDL</t>
  </si>
  <si>
    <t>SQRD</t>
  </si>
  <si>
    <t>Sulfide:quinone oxidoreductase, mitochondrial</t>
  </si>
  <si>
    <t>Q9Y6N5</t>
    <phoneticPr fontId="5" type="noConversion"/>
  </si>
  <si>
    <t>GGLTMAArMKRKVGA</t>
  </si>
  <si>
    <t>NHYEVLVLGGGSGGITM#AAR*M</t>
  </si>
  <si>
    <t>SRXN1</t>
  </si>
  <si>
    <t>SRX1</t>
  </si>
  <si>
    <t>Sulfiredoxin-1</t>
  </si>
  <si>
    <t>Q9BYN0</t>
    <phoneticPr fontId="5" type="noConversion"/>
  </si>
  <si>
    <t>LGRAGAGrGAPEGPG</t>
  </si>
  <si>
    <t>AGAGR*GAPEGPGPSGGAQGGSIHSGR</t>
  </si>
  <si>
    <t>Phosphatase, lipid</t>
  </si>
  <si>
    <t>MTMR14</t>
    <phoneticPr fontId="5" type="noConversion"/>
  </si>
  <si>
    <t>MTMRE</t>
    <phoneticPr fontId="5" type="noConversion"/>
  </si>
  <si>
    <t>Myotubularin-related protein 14</t>
  </si>
  <si>
    <t>Q8NCE2</t>
    <phoneticPr fontId="5" type="noConversion"/>
  </si>
  <si>
    <t>GLLEQFArGVGLRSL</t>
  </si>
  <si>
    <t>AVAPSPSGAIGGLLEQFAR*</t>
  </si>
  <si>
    <t>TLL2</t>
  </si>
  <si>
    <t>Tolloid-like protein 2</t>
  </si>
  <si>
    <t>Q9Y6L7</t>
    <phoneticPr fontId="5" type="noConversion"/>
  </si>
  <si>
    <t>GAGGLGErPDATADY</t>
  </si>
  <si>
    <t>GAGGLGER*PDATADYSEL</t>
  </si>
  <si>
    <t>Protein phosphatase, regulatory subunit</t>
  </si>
  <si>
    <t>PPP1R10</t>
  </si>
  <si>
    <t>FB19</t>
  </si>
  <si>
    <t>Serine/threonine-protein phosphatase 1 regulatory subunit 10</t>
  </si>
  <si>
    <t>Q96QC0</t>
    <phoneticPr fontId="5" type="noConversion"/>
  </si>
  <si>
    <t>PMRGGPMrGGPGPGP</t>
  </si>
  <si>
    <t>GGPMR*GGPGPGPGPY</t>
  </si>
  <si>
    <t>Protein phosphatase, tyrosine (non-receptor)</t>
  </si>
  <si>
    <t>PTPN23</t>
  </si>
  <si>
    <t>PTN23</t>
  </si>
  <si>
    <t>Tyrosine-protein phosphatase non-receptor type 23</t>
  </si>
  <si>
    <t>Q9H3S7</t>
    <phoneticPr fontId="5" type="noConversion"/>
  </si>
  <si>
    <t>PELGLVPrSSPQHGV</t>
  </si>
  <si>
    <t>AM#PVAPGPALYPAPAYTPELGLVPR*</t>
  </si>
  <si>
    <t>HNRNPM</t>
    <phoneticPr fontId="5" type="noConversion"/>
  </si>
  <si>
    <t>CEAR</t>
    <phoneticPr fontId="5" type="noConversion"/>
  </si>
  <si>
    <t>Heterogeneous nuclear ribonucleoprotein M</t>
  </si>
  <si>
    <t>P52272</t>
    <phoneticPr fontId="5" type="noConversion"/>
  </si>
  <si>
    <t>GGMENMGrFGSGMNM</t>
  </si>
  <si>
    <t>MGGMEGPFGGGMENMGR*FGSGM#N</t>
  </si>
  <si>
    <t>RVGSELErMGLVMDR</t>
  </si>
  <si>
    <t>GLGHGM#DRVGSEIER*M#GLVM#DR</t>
  </si>
  <si>
    <t>GSVPGLErMGPGLDR</t>
  </si>
  <si>
    <t>GEIIAKQGGGGGGGSVPGIER*MGPGID</t>
  </si>
  <si>
    <t>A1CF</t>
    <phoneticPr fontId="5" type="noConversion"/>
  </si>
  <si>
    <t>314, 319</t>
    <phoneticPr fontId="5" type="noConversion"/>
  </si>
  <si>
    <t>Q9NQ94</t>
    <phoneticPr fontId="5" type="noConversion"/>
  </si>
  <si>
    <t>DSYVRYTrGTGGRGT;YTRGTGGrGTMLQGE</t>
  </si>
  <si>
    <t>YTR*GTGGR*GTM#LQGEYTYSLGQVYDPTTTYLGAPV</t>
  </si>
  <si>
    <t>GLGGR*GYLAY</t>
  </si>
  <si>
    <t>GLGGR*GYLAYT</t>
  </si>
  <si>
    <t>CASC3</t>
  </si>
  <si>
    <t>Btz</t>
  </si>
  <si>
    <t>Protein CASC3</t>
  </si>
  <si>
    <t>O15234</t>
    <phoneticPr fontId="5" type="noConversion"/>
  </si>
  <si>
    <t>SGSLPSQrGGRTGAL</t>
  </si>
  <si>
    <t>GGGSCSGSAGGGGSGSLPSQR*</t>
  </si>
  <si>
    <t>CSTF2</t>
    <phoneticPr fontId="5" type="noConversion"/>
  </si>
  <si>
    <t>Cleavage stimulation factor subunit 2</t>
  </si>
  <si>
    <t>P33240</t>
    <phoneticPr fontId="5" type="noConversion"/>
  </si>
  <si>
    <t>EARGMDTrGPVPGPR;RGPVPGPrGPLPSGM</t>
  </si>
  <si>
    <t>GM#DTR*GPVPGPR*GPIPSGM#QGPSPI</t>
  </si>
  <si>
    <t>DAZAP1</t>
  </si>
  <si>
    <t>DAZP1</t>
  </si>
  <si>
    <t>DAZ-associated protein 1</t>
  </si>
  <si>
    <t>Q96EP5</t>
    <phoneticPr fontId="5" type="noConversion"/>
  </si>
  <si>
    <t>AGGSGFGrGQNHNVQ</t>
  </si>
  <si>
    <t>GR*GQNHNVQGFHPYR</t>
  </si>
  <si>
    <t>DAZAP1</t>
    <phoneticPr fontId="5" type="noConversion"/>
  </si>
  <si>
    <t>DAZP1</t>
    <phoneticPr fontId="5" type="noConversion"/>
  </si>
  <si>
    <t>YGPPPAGrGAPPPPP</t>
  </si>
  <si>
    <t>AANGWAGQPPPTWQQGYGPQGM#WVPAGQAIGGYGPPPAGR*</t>
  </si>
  <si>
    <t>AIGGYGPPPAGR*</t>
  </si>
  <si>
    <t>GGYGPPPAGR*</t>
  </si>
  <si>
    <t>GQAIGGYGPPPAGR*</t>
  </si>
  <si>
    <t>IGGYGPPPAGR*</t>
  </si>
  <si>
    <t>VVPNAANGWAGQPPPTWQQGYGPQGM#WVPAGQAIGGYGPPPAGR*</t>
  </si>
  <si>
    <t>WVPAGQAIGGYGPPPAGR*</t>
  </si>
  <si>
    <t>DDX3Y</t>
    <phoneticPr fontId="5" type="noConversion"/>
  </si>
  <si>
    <t>DBY</t>
    <phoneticPr fontId="5" type="noConversion"/>
  </si>
  <si>
    <t>ATP-dependent RNA helicase DDX3Y</t>
  </si>
  <si>
    <t>O15523</t>
    <phoneticPr fontId="5" type="noConversion"/>
  </si>
  <si>
    <t>SSGFGASrGSSSRSG</t>
  </si>
  <si>
    <t>QSSGSSSSGFGASR*</t>
  </si>
  <si>
    <t>QSSGSSSSGFGASR*GSSSR</t>
  </si>
  <si>
    <t>DDX5</t>
    <phoneticPr fontId="5" type="noConversion"/>
  </si>
  <si>
    <t>Probable ATP-dependent RNA helicase DDX5</t>
  </si>
  <si>
    <t>P17844</t>
    <phoneticPr fontId="5" type="noConversion"/>
  </si>
  <si>
    <t>DRYSAGKrGGFNTFR</t>
  </si>
  <si>
    <t>R*GGFNTFR</t>
  </si>
  <si>
    <t>DHX9</t>
    <phoneticPr fontId="5" type="noConversion"/>
  </si>
  <si>
    <t>DDX9</t>
    <phoneticPr fontId="5" type="noConversion"/>
  </si>
  <si>
    <t>ATP-dependent RNA helicase A</t>
  </si>
  <si>
    <t>Q08211</t>
    <phoneticPr fontId="5" type="noConversion"/>
  </si>
  <si>
    <t>TGYFGQGrGGGGYxx</t>
  </si>
  <si>
    <t>GTGYFGQGR*</t>
  </si>
  <si>
    <t>GTGYFGQGR*GGGGY</t>
  </si>
  <si>
    <t>GYFGQGR*GGGGY</t>
  </si>
  <si>
    <t>ELAVL1</t>
    <phoneticPr fontId="5" type="noConversion"/>
  </si>
  <si>
    <t>HUR</t>
    <phoneticPr fontId="5" type="noConversion"/>
  </si>
  <si>
    <t>206, 217</t>
    <phoneticPr fontId="5" type="noConversion"/>
  </si>
  <si>
    <t>ELAV-like protein 1</t>
  </si>
  <si>
    <t>Q15717</t>
    <phoneticPr fontId="5" type="noConversion"/>
  </si>
  <si>
    <t>LYHSPARrFGGPVHH;PVHHQAQrFRFSPMG</t>
  </si>
  <si>
    <t>R*FGGPVHHQAQR*</t>
  </si>
  <si>
    <t>EWSR1</t>
    <phoneticPr fontId="5" type="noConversion"/>
  </si>
  <si>
    <t>EWS</t>
    <phoneticPr fontId="5" type="noConversion"/>
  </si>
  <si>
    <t>Q01844</t>
    <phoneticPr fontId="5" type="noConversion"/>
  </si>
  <si>
    <t>RGMPPPLrGGPGGPG</t>
  </si>
  <si>
    <t>GM#PPPLR*GGPGGPGGPGGPM#GR</t>
  </si>
  <si>
    <t>GM#PPPLR*GGPGGPGGPGGPMGR</t>
  </si>
  <si>
    <t>GMPPPLR*GGPGGPGGPGGPM#GR</t>
  </si>
  <si>
    <t>R*GGPGGPPGPLM#EQM#</t>
  </si>
  <si>
    <t>R*GGPGGPPGPLM#EQM#GGR</t>
  </si>
  <si>
    <t>R*GGPGGPPGPLMEQM#GGR</t>
  </si>
  <si>
    <t>FAM120A</t>
    <phoneticPr fontId="5" type="noConversion"/>
  </si>
  <si>
    <t>OSSA</t>
    <phoneticPr fontId="5" type="noConversion"/>
  </si>
  <si>
    <t>Constitutive coactivator of PPAR-gamma-like protein 1</t>
  </si>
  <si>
    <t>Q9NZB2</t>
    <phoneticPr fontId="5" type="noConversion"/>
  </si>
  <si>
    <t>PVPPSQGrGRGFAGV</t>
  </si>
  <si>
    <t>HFGPVPPSQGR*</t>
  </si>
  <si>
    <t>YPASAYPrHFGPVPP</t>
  </si>
  <si>
    <t>TLPFPPPPALPFYPASAYPR*</t>
  </si>
  <si>
    <t>Q13151</t>
    <phoneticPr fontId="5" type="noConversion"/>
  </si>
  <si>
    <t>SNSGPYR*GGYGGGGGYGGSSF</t>
  </si>
  <si>
    <t>HNRNPA1</t>
  </si>
  <si>
    <t>ROA1</t>
  </si>
  <si>
    <t>P09651</t>
    <phoneticPr fontId="5" type="noConversion"/>
  </si>
  <si>
    <t>RGGFGGSrGGGGYGG</t>
  </si>
  <si>
    <t>GGSR*GGGGYGGSGDGYNGFGNDGGYGGGGPGYSGGSR</t>
  </si>
  <si>
    <t>GGFGGSR*GGGGYGGSGDGYNGFGNDGSNFGGGGSYNDFGNYNNQSSNFGPM#K</t>
  </si>
  <si>
    <t>GGSR*GGGGYGGSGDGYNGFGNDGSNFGGGGSYNDFGNYNNQSSNFGPM#K</t>
  </si>
  <si>
    <t>R*GGGGYGGSGDGYNGFGNDGSNFGGGGSYNDFGNYNNQSSNFGPM#K</t>
  </si>
  <si>
    <t>225, 232</t>
  </si>
  <si>
    <t>RGGNFSGrGGFGGSR;RGGFGGSrGGGGYGG</t>
  </si>
  <si>
    <t>GGNFSGR*GGFGGSR*GGGGYGGSGDGYNGFGNDGSNFGGGGSYNDFGNYNNQSSNFGPM#K</t>
  </si>
  <si>
    <t>HNRNPA1</t>
    <phoneticPr fontId="5" type="noConversion"/>
  </si>
  <si>
    <t>ROA1 iso 2</t>
    <phoneticPr fontId="5" type="noConversion"/>
  </si>
  <si>
    <t>SGNFGGGrGGGFGGN;GGNDNFGrGGNFSGR;RGGNFSGrGGFGGSR;RGGFGGSrGGGGYGG</t>
  </si>
  <si>
    <t>SGSGNFGGGR*GGGFGGNDNFGR*GGNFSGR*GGFGGSR*</t>
  </si>
  <si>
    <t>FGGGR*GGGFGGNDNFGR</t>
  </si>
  <si>
    <t>SGSGNFGGGR*</t>
  </si>
  <si>
    <t>SGSGNFGGGR*GGGFGGNDNFGR</t>
  </si>
  <si>
    <t>GGNDNFGrGGNFSGR</t>
  </si>
  <si>
    <t>GGGFGGNDNFGR*</t>
  </si>
  <si>
    <t>206, 218</t>
    <phoneticPr fontId="5" type="noConversion"/>
  </si>
  <si>
    <t>SGSGNFGGGR*GGGFGGNDNFGR*GGN</t>
  </si>
  <si>
    <t>218, 225, 232</t>
    <phoneticPr fontId="5" type="noConversion"/>
  </si>
  <si>
    <t>GGNDNFGrGGNFSGR;RGGNFSGrGGFGGSR;RGGFGGSrGGGGYGG</t>
  </si>
  <si>
    <t>GGGFGGNDNFGR*GGNFSGR*GGFGGSR*</t>
  </si>
  <si>
    <t>RGGNFSGrGGFGGSR</t>
  </si>
  <si>
    <t>GGNFSGR*GGFGGSR</t>
  </si>
  <si>
    <t>HNRNPA2B1</t>
    <phoneticPr fontId="5" type="noConversion"/>
  </si>
  <si>
    <t>ROA2</t>
    <phoneticPr fontId="5" type="noConversion"/>
  </si>
  <si>
    <t>P22626</t>
    <phoneticPr fontId="5" type="noConversion"/>
  </si>
  <si>
    <t>VQSSRSGrGGNFGFG</t>
  </si>
  <si>
    <t>QEM#QEVQSSRSGR*GGNFGFGDSR</t>
  </si>
  <si>
    <t>SGR*GGNFGF</t>
  </si>
  <si>
    <t>SGR*GGNFGFG</t>
  </si>
  <si>
    <t>SGR*GGNFGFGD</t>
  </si>
  <si>
    <t>SGR*GGNFGFGDSR</t>
  </si>
  <si>
    <t>213, 228</t>
    <phoneticPr fontId="5" type="noConversion"/>
  </si>
  <si>
    <t>NFGFGDSrGGGGNFG;PGPGSNFrGGSDGYG</t>
  </si>
  <si>
    <t>FGFGDSR*GGGGNFGPGPGSNFR*GGSDGYGSGR</t>
  </si>
  <si>
    <t>GGNFGFGDSR*GGGGNFGPGPGSNFR*GGSDGYGSGR</t>
  </si>
  <si>
    <t>NFGFGDSrGGGGNFG</t>
  </si>
  <si>
    <t>DSR*GGGGNFGPGPGSNFR</t>
  </si>
  <si>
    <t>FGDSR*GGGGNFGPGPGSNFR</t>
  </si>
  <si>
    <t>FGFGDSR*</t>
  </si>
  <si>
    <t>FGFGDSR*GGGGNFGPGPGSNFR</t>
  </si>
  <si>
    <t>GDSR*GGGGNFGPGPGSNFR</t>
  </si>
  <si>
    <t>GFGDSR*GGGGNFGPGPGSNFR</t>
  </si>
  <si>
    <t>GGNFGFGDSR*</t>
  </si>
  <si>
    <t>GGNFGFGDSR*GGG</t>
  </si>
  <si>
    <t>GGNFGFGDSR*GGGGN</t>
  </si>
  <si>
    <t>GGNFGFGDSR*GGGGNFG</t>
  </si>
  <si>
    <t>GGNFGFGDSR*GGGGNFGP</t>
  </si>
  <si>
    <t>GGNFGFGDSR*GGGGNFGPG</t>
  </si>
  <si>
    <t>GGNFGFGDSR*GGGGNFGPGPG</t>
  </si>
  <si>
    <t>GGNFGFGDSR*GGGGNFGPGPGSN</t>
  </si>
  <si>
    <t>GGNFGFGDSR*GGGGNFGPGPGSNF</t>
  </si>
  <si>
    <t>228, 238</t>
    <phoneticPr fontId="5" type="noConversion"/>
  </si>
  <si>
    <t>PGPGSNFrGGSDGYG;SDGYGSGrGFGDGYN</t>
  </si>
  <si>
    <t>FR*GGSDGYGSGR*</t>
  </si>
  <si>
    <t>GGGGNFGPGPGSNFR*GGSDGYGSGR*</t>
  </si>
  <si>
    <t>GGGGNFGPGPGSNFR*GGSDGYGSGR*GFGDGYN</t>
  </si>
  <si>
    <t>GGGGNFGPGPGSNFR*GGSDGYGSGR*GFGDGYNGYGGGPGGGN</t>
  </si>
  <si>
    <t>GGGGNFGPGPGSNFR*GGSDGYGSGR*GFGDGYNGYGGGPGGGNFGGSPGYGGGR</t>
  </si>
  <si>
    <t>R*GGSDGYGSGR*</t>
  </si>
  <si>
    <t>238, 266</t>
    <phoneticPr fontId="5" type="noConversion"/>
  </si>
  <si>
    <t>SDGYGSGrGFGDGYN;SPGYGGGrGGYGGGG</t>
  </si>
  <si>
    <t>GGSDGYGSGR*GFGDGYNGYGGGPGGGNFGGSPGYGGGR*</t>
  </si>
  <si>
    <t>SPGYGGGrGGYGGGG</t>
  </si>
  <si>
    <t>FGGSPGYGGGR*</t>
  </si>
  <si>
    <t>GFGDGYNGYGGGPGGGNFGGSPGYGGGR*GGY</t>
  </si>
  <si>
    <t>GFGDGYNGYGGGPGGGNFGGSPGYGGGR*GGYGGGGPGYGN</t>
  </si>
  <si>
    <t>GGGPGGGNFGGSPGYGGGR*</t>
  </si>
  <si>
    <t>GGPGGGNFGGSPGYGGGR*</t>
  </si>
  <si>
    <t>GPGGGNFGGSPGYGGGR*</t>
  </si>
  <si>
    <t>GYGGGPGGGNFGGSPGYGGGR*</t>
  </si>
  <si>
    <t>NGYGGGPGGGNFGGSPGYGGGR*</t>
  </si>
  <si>
    <t>GSGGYGGrSRYxxxx</t>
  </si>
  <si>
    <t>NM#GGPYGGGNYGPGGSGGSGGYGGR*</t>
  </si>
  <si>
    <t>203, 213</t>
    <phoneticPr fontId="5" type="noConversion"/>
  </si>
  <si>
    <t>VQSSRSGrGGNFGFG;NFGFGDSrGGGGNFG</t>
  </si>
  <si>
    <t>SGR*GGNFGFGDSR*</t>
  </si>
  <si>
    <t>SGR*GGNFGFGDSR*GGGGNFGP</t>
  </si>
  <si>
    <t>SGR*GGNFGFGDSR*GGGGNFGPGPGSN</t>
  </si>
  <si>
    <t>SGR*GGNFGFGDSR*GGGGNFGPGPGSNFRG</t>
  </si>
  <si>
    <t>20;11</t>
  </si>
  <si>
    <t>213, 228, 238</t>
    <phoneticPr fontId="5" type="noConversion"/>
  </si>
  <si>
    <t>NFGFGDSrGGGGNFG;PGPGSNFrGGSDGYG;SDGYGSGrGFGDGYN</t>
  </si>
  <si>
    <t>GGNFGFGDSR*GGGGNFGPGPGSNFR*GGSDGYGSGR*</t>
  </si>
  <si>
    <t>213, 238</t>
    <phoneticPr fontId="5" type="noConversion"/>
  </si>
  <si>
    <t>GGNFGFGDSR*GGGGNFGPGPGSNFRGGSDGYGSGR*</t>
  </si>
  <si>
    <t>228, 238, 266</t>
    <phoneticPr fontId="5" type="noConversion"/>
  </si>
  <si>
    <t>PGPGSNFrGGSDGYG;SDGYGSGrGFGDGYN;SPGYGGGrGGYGGGG</t>
  </si>
  <si>
    <t>GGGGNFGPGPGSNFR*GGSDGYGSGR*GFGDGYNGYGGGPGGGNFGGSPGYGGGR*</t>
  </si>
  <si>
    <t>PGPGSNFrGGSDGYG</t>
  </si>
  <si>
    <t>FGPGPGSNFR*</t>
  </si>
  <si>
    <t>FR*GGSDGYGSGR</t>
  </si>
  <si>
    <t>GGGGNFGPGPGSNFR*</t>
  </si>
  <si>
    <t>GGGGNFGPGPGSNFR*GGSD</t>
  </si>
  <si>
    <t>GGGGNFGPGPGSNFR*GGSDGYGSGR</t>
  </si>
  <si>
    <t>GGNFGFGDSRGGGGNFGPGPGSNFR*GGSDGYGSGRG</t>
  </si>
  <si>
    <t>R*GGSDGYGSGR</t>
  </si>
  <si>
    <t>SDGYGSGrGFGDGYN</t>
  </si>
  <si>
    <t>GGSDGYGSGR*</t>
  </si>
  <si>
    <t>GGSDGYGSGR*GFGD</t>
  </si>
  <si>
    <t>GGSDGYGSGR*GFGDGYNGY</t>
  </si>
  <si>
    <t>GGSDGYGSGR*GFGDGYNGYGGGPGGGN</t>
  </si>
  <si>
    <t>GGSDGYGSGR*GFGDGYNGYGGGPGGGNFGGSPGYGGGR</t>
  </si>
  <si>
    <t>SGNFGGSrNMGGPYG</t>
  </si>
  <si>
    <t>SGNFGGSR*</t>
  </si>
  <si>
    <t>HNRNPA3</t>
    <phoneticPr fontId="5" type="noConversion"/>
  </si>
  <si>
    <t>ROA3</t>
    <phoneticPr fontId="5" type="noConversion"/>
  </si>
  <si>
    <t>P51991</t>
    <phoneticPr fontId="5" type="noConversion"/>
  </si>
  <si>
    <t>GSGNFMGrGGNFGGG</t>
  </si>
  <si>
    <t>GGGSGNFM#GR*</t>
  </si>
  <si>
    <t>GGGSGNFM#GR*GGNFGGGGGNFGR</t>
  </si>
  <si>
    <t>GGPGYSSrGGYGGGG</t>
  </si>
  <si>
    <t>GFGGDGGNYGGGPGYSSR*</t>
  </si>
  <si>
    <t>GGDGGNYGGGPGYSSR*</t>
  </si>
  <si>
    <t>GGNYGGGPGYSSR*</t>
  </si>
  <si>
    <t>MQSAGSQrGRGGGSG</t>
  </si>
  <si>
    <t>QEMQSAGSQR*</t>
  </si>
  <si>
    <t>226, 246</t>
    <phoneticPr fontId="5" type="noConversion"/>
  </si>
  <si>
    <t>GGGSGNFMGR*GGNFGGGGGNFGRGGNFGGR*G</t>
  </si>
  <si>
    <t>25;6</t>
  </si>
  <si>
    <t>FGGR*GGYGGGGGGSR</t>
  </si>
  <si>
    <t>GGNFGGR*GGYGGGGGGSR</t>
  </si>
  <si>
    <t>HNRNPAB</t>
    <phoneticPr fontId="5" type="noConversion"/>
  </si>
  <si>
    <t>ABBP1 iso 2</t>
    <phoneticPr fontId="5" type="noConversion"/>
  </si>
  <si>
    <t>Heterogeneous nuclear ribonucleoprotein A/B</t>
  </si>
  <si>
    <t>Q99729</t>
    <phoneticPr fontId="5" type="noConversion"/>
  </si>
  <si>
    <t>GNRNRGNrGSGGGGG</t>
  </si>
  <si>
    <t>GNR*GSGGGGGGGGQSQSWN</t>
  </si>
  <si>
    <r>
      <t>ABBP</t>
    </r>
    <r>
      <rPr>
        <sz val="12"/>
        <color rgb="FF000000"/>
        <rFont val="Verdana"/>
        <family val="2"/>
      </rPr>
      <t>1</t>
    </r>
  </si>
  <si>
    <t>GNR*GSGGGGGGGGQGSTNYGK</t>
  </si>
  <si>
    <t>QQYGSGGrGNRNRGN</t>
  </si>
  <si>
    <t>EVYQQQQYGSGGR*</t>
  </si>
  <si>
    <t>EVYQQQQYGSGGR*GN</t>
  </si>
  <si>
    <t>EVYQQQQYGSGGR*GNR</t>
  </si>
  <si>
    <t>YQQQQYGSGGR*GNR</t>
  </si>
  <si>
    <t>NYGKSQRrGGHQNNY</t>
  </si>
  <si>
    <t>R*GGHQNNYKP</t>
  </si>
  <si>
    <t>R*GGHQNNYKPY</t>
  </si>
  <si>
    <t>245, 248</t>
    <phoneticPr fontId="5" type="noConversion"/>
  </si>
  <si>
    <t>QQYGSGGrGNRNRGN;GSGGRGNrNRGNRGS</t>
  </si>
  <si>
    <t>EVYQQQQYGSGGR*GNR*</t>
  </si>
  <si>
    <t>YQQQQYGSGGRGNR*</t>
  </si>
  <si>
    <t>HNRNPD</t>
    <phoneticPr fontId="5" type="noConversion"/>
  </si>
  <si>
    <t>AUF1</t>
    <phoneticPr fontId="5" type="noConversion"/>
  </si>
  <si>
    <t>Q14103</t>
    <phoneticPr fontId="5" type="noConversion"/>
  </si>
  <si>
    <t>FAGRARGrGGDQQSG</t>
  </si>
  <si>
    <t>GR*GGDQQSGYGK</t>
  </si>
  <si>
    <t>280, 282</t>
    <phoneticPr fontId="5" type="noConversion"/>
  </si>
  <si>
    <t>GGFAGRArGRGGDQQ;FAGRARGrGGDQQSG</t>
  </si>
  <si>
    <t>AR*GR*GGDQQSGYGK</t>
  </si>
  <si>
    <t>AUF1 iso 2</t>
    <phoneticPr fontId="5" type="noConversion"/>
  </si>
  <si>
    <t>QQQQWGSrGGFAGRA</t>
  </si>
  <si>
    <t>EQYQQQQQWGSR*</t>
  </si>
  <si>
    <t>EQYQQQQQWGSR*GGF</t>
  </si>
  <si>
    <t>EQYQQQQQWGSR*GGFAGR</t>
  </si>
  <si>
    <t>QQQQQWGSR*</t>
  </si>
  <si>
    <t>QQQQWGSrGGFAGRA;SRGGFAGrARGRGGG</t>
  </si>
  <si>
    <t>EQYQQQQQWGSR*GGFAGR*</t>
  </si>
  <si>
    <t>R*GGHQNSYKPY</t>
  </si>
  <si>
    <t>HNRNPH1</t>
  </si>
  <si>
    <t>HNRH1</t>
  </si>
  <si>
    <t>Heterogeneous nuclear ribonucleoprotein H</t>
  </si>
  <si>
    <t>P31943</t>
    <phoneticPr fontId="5" type="noConversion"/>
  </si>
  <si>
    <t>AGFERMRrGAYGGGY</t>
  </si>
  <si>
    <t>R*GAYGGGYGGYDDYNGYNDGYGFGSDR</t>
  </si>
  <si>
    <t>233, 262</t>
  </si>
  <si>
    <t>AGFERMRrGAYGGGY;GYGFGSDrFGRDLNY</t>
  </si>
  <si>
    <t>R*GAYGGGYGGYDDYNGYNDGYGFGSDRFGR*</t>
  </si>
  <si>
    <t>HNRNPH2</t>
  </si>
  <si>
    <t>FTP3</t>
  </si>
  <si>
    <t>Heterogeneous nuclear ribonucleoprotein H2</t>
  </si>
  <si>
    <t>P55795</t>
    <phoneticPr fontId="5" type="noConversion"/>
  </si>
  <si>
    <t>R*GAYGGGYGGYDDYGGYNDGYGFGSDR</t>
  </si>
  <si>
    <t>HNRNPH3</t>
  </si>
  <si>
    <t>2H9</t>
  </si>
  <si>
    <t>116, 121, 129</t>
  </si>
  <si>
    <t>P31942</t>
    <phoneticPr fontId="5" type="noConversion"/>
  </si>
  <si>
    <t>QRPGPYDrPLGGRGG;YDRPLGGrGGYYGAG;GGYYGAGrGSYGGFD</t>
  </si>
  <si>
    <t>PGPYDR*PIGGR*GGYYGAGR*GSYGGFDDYGGYNNYGYGNDGFDDR</t>
  </si>
  <si>
    <t>GGYYGAGrGSYGGFD</t>
  </si>
  <si>
    <t>GAGR*GSYGGFDDYGGYNNYGYGNDGFDDR</t>
  </si>
  <si>
    <t>GGYYGAGR*GSYGGFDDYGGYNNYGYGNDGFDDR</t>
  </si>
  <si>
    <t>YGAGR*GSYGGFDDYGGYNNYGYGNDGFDDR</t>
  </si>
  <si>
    <t>HNRNPH3</t>
    <phoneticPr fontId="5" type="noConversion"/>
  </si>
  <si>
    <t>2H9</t>
    <phoneticPr fontId="5" type="noConversion"/>
  </si>
  <si>
    <t>GGYYGAGrGSMYDRM</t>
  </si>
  <si>
    <t>GGYYGAGR*GSMYDR</t>
  </si>
  <si>
    <t>121, 129</t>
    <phoneticPr fontId="5" type="noConversion"/>
  </si>
  <si>
    <t>QRPGPYDrPLGGRGG;YDRPLGGrGGYYGAG</t>
  </si>
  <si>
    <t>LLGQRPGPYDRPIGGR*GGYYGAGR*</t>
  </si>
  <si>
    <t>30;14</t>
  </si>
  <si>
    <t>YDRPLGGrGGYYGAG;GGYYGAGrGSMYDRM</t>
  </si>
  <si>
    <t>PIGGR*GGYYGAGR*</t>
  </si>
  <si>
    <t>GGYYGAGR*</t>
  </si>
  <si>
    <t>QRPGPYDrPLGGRGG</t>
  </si>
  <si>
    <t>PGPYDR*PIGGRGGYYGAGR</t>
  </si>
  <si>
    <t>PGPYDRPIGGR*</t>
  </si>
  <si>
    <t>323, 343</t>
    <phoneticPr fontId="5" type="noConversion"/>
  </si>
  <si>
    <t>DGLGGYGrGGGGSGG;GMSGGGWrGMYxxxx</t>
  </si>
  <si>
    <t>M#GM#GNNYSGGYGTPDGLGGYGR*GGGGSGGYYGQGGMSGGGWR*</t>
  </si>
  <si>
    <t>MGM#GNNYSGGYGTPDGLGGYGR*GGGGSGGYYGQGGMSGGGWR*</t>
  </si>
  <si>
    <t>GMSGGGWrGMYxxxx</t>
  </si>
  <si>
    <t>GGGGSGGYYGQGGM#SGGGWR*</t>
  </si>
  <si>
    <t>GGGGSGGYYGQGGM#SGGGWR*GM#Y</t>
  </si>
  <si>
    <t>GGGGSGGYYGQGGM#SGGGWR*GMY</t>
  </si>
  <si>
    <t>GGGGSGGYYGQGGMSGGGWR*</t>
  </si>
  <si>
    <t>GGGGSGGYYGQGGMSGGGWR*GM#Y</t>
  </si>
  <si>
    <t>DGLGGYGrGGGGSGG</t>
  </si>
  <si>
    <t>M#GM#GNNYSGGYGTPDGLGGYGRGGGGSGGYYGQGGM#SGGGWR*</t>
  </si>
  <si>
    <t>M#GM#GNNYSGGYGTPDGLGGYGRGGGGSGGYYGQGGMSGGGWR*</t>
  </si>
  <si>
    <t>SGGGWR*GM#Y</t>
  </si>
  <si>
    <t>GGYGSVGrMGMGNNY</t>
  </si>
  <si>
    <t>DGM#DNQGGYGSVGR*</t>
  </si>
  <si>
    <t>DGMDNQGGYGSVGR*</t>
  </si>
  <si>
    <t>GGYGTPDGLGGYGR*</t>
  </si>
  <si>
    <t>GLGGYGR*GGGGSGGYYGQGGM#SGGGWR</t>
  </si>
  <si>
    <t>GM#GNNYSGGYGTPDGLGGYGR*</t>
  </si>
  <si>
    <t>GNNYSGGYGTPDGLGGYGR*</t>
  </si>
  <si>
    <t>GNNYSGGYGTPDGLGGYGR*GGGGSGGYYGQGGM#SGGGWR</t>
  </si>
  <si>
    <t>GR*GGGGSGGYYGQGGM#SGGGWR</t>
  </si>
  <si>
    <t>GR*GGGGSGGYYGQGGMSGGGWR</t>
  </si>
  <si>
    <t>GTPDGLGGYGR*</t>
  </si>
  <si>
    <t>GTPDGLGGYGR*GGGGSGGYYGQGGM#SGGGWR</t>
  </si>
  <si>
    <t>M#GM#GNNYSGGYGTPDGLGGYGR*GGGGSGGY</t>
  </si>
  <si>
    <t>M#GM#GNNYSGGYGTPDGLGGYGR*GGGGSGGYYGQGGM#</t>
  </si>
  <si>
    <t>M#GM#GNNYSGGYGTPDGLGGYGR*GGGGSGGYYGQGGMSGGGWR</t>
  </si>
  <si>
    <t>M#GMGNNYSGGYGTPDGLGGYGR*</t>
  </si>
  <si>
    <t>M#GMGNNYSGGYGTPDGLGGYGR*GGGGSGGYYGQGGM#</t>
  </si>
  <si>
    <t>M#GMGNNYSGGYGTPDGLGGYGR*GGGGSGGYYGQGGM#SGGGWR</t>
  </si>
  <si>
    <t>M#GMGNNYSGGYGTPDGLGGYGR*GGGGSGGYYGQGGMSGGGWR</t>
  </si>
  <si>
    <t>M#GNNYSGGYGTPDGLGGYGR*</t>
  </si>
  <si>
    <t>MGM#GNNYSGGYGTPDGLGGYGR*</t>
  </si>
  <si>
    <t>MGM#GNNYSGGYGTPDGLGGYGR*GGGGSGGYYGQGGM#</t>
  </si>
  <si>
    <t>MGM#GNNYSGGYGTPDGLGGYGR*GGGGSGGYYGQGGM#SGGGWR</t>
  </si>
  <si>
    <t>MGM#GNNYSGGYGTPDGLGGYGR*GGGGSGGYYGQGGMSGGGWR</t>
  </si>
  <si>
    <t>MGMGNNYSGGYGTPDGLGGYGR*</t>
  </si>
  <si>
    <t>MGMGNNYSGGYGTPDGLGGYGR*GGGGSGGYYGQGGM#SGGGWR</t>
  </si>
  <si>
    <t>NYSGGYGTPDGLGGYGR*</t>
  </si>
  <si>
    <t>NYSGGYGTPDGLGGYGR*GGGGSGGYYGQGGM#SGGGWR</t>
  </si>
  <si>
    <t>SGGYGTPDGLGGYGR*</t>
  </si>
  <si>
    <t>SGGYGTPDGLGGYGR*GGGGSGGYYGQGGM#SGGGWR</t>
  </si>
  <si>
    <t>YSGGYGTPDGLGGYGR*</t>
  </si>
  <si>
    <t>HNRNPK</t>
    <phoneticPr fontId="5" type="noConversion"/>
  </si>
  <si>
    <t>TUNP</t>
    <phoneticPr fontId="5" type="noConversion"/>
  </si>
  <si>
    <t>Heterogeneous nuclear ribonucleoprotein K</t>
  </si>
  <si>
    <t>P61978</t>
    <phoneticPr fontId="5" type="noConversion"/>
  </si>
  <si>
    <t>DYSYAGGrGSYGDLG</t>
  </si>
  <si>
    <t>AYEPQGGSGYDYSYAGGR*</t>
  </si>
  <si>
    <t>AYEPQGGSGYDYSYAGGR*GSYGDLGGPIITTQVTIPK</t>
  </si>
  <si>
    <t>HNRNPUL1</t>
    <phoneticPr fontId="5" type="noConversion"/>
  </si>
  <si>
    <t>HNRL1</t>
    <phoneticPr fontId="5" type="noConversion"/>
  </si>
  <si>
    <t>Q9BUJ2</t>
    <phoneticPr fontId="5" type="noConversion"/>
  </si>
  <si>
    <t>GPPGGNR*GGF</t>
  </si>
  <si>
    <t>GPPGGNR*GGFQN</t>
  </si>
  <si>
    <t>HNRNPUL2</t>
  </si>
  <si>
    <t>HNRL2</t>
  </si>
  <si>
    <t>Heterogeneous nuclear ribonucleoprotein U-like protein 2</t>
  </si>
  <si>
    <t>Q1KMD3</t>
    <phoneticPr fontId="5" type="noConversion"/>
  </si>
  <si>
    <t>RNRQNRSrGQGYVGG</t>
  </si>
  <si>
    <t>SR*GQGYVGGQR</t>
  </si>
  <si>
    <t>YWGQPGNrGGYRNFY</t>
  </si>
  <si>
    <t>AYGQQYWGQPGNRGGYR*</t>
  </si>
  <si>
    <t>738, 747</t>
  </si>
  <si>
    <t>QDRDRYYrNYYGYQG;YYGYQGYrxxxxxxx</t>
  </si>
  <si>
    <t>YYR*NYYGYQGYR*</t>
  </si>
  <si>
    <t>YYGYQGYrxxxxxxx</t>
  </si>
  <si>
    <t>NYYGYQGYR*</t>
  </si>
  <si>
    <t>AYGQQYWGQPGNR*</t>
  </si>
  <si>
    <t>AYGQQYWGQPGNR*GGYR</t>
  </si>
  <si>
    <t>QDRDRYYrNYYGYQG</t>
  </si>
  <si>
    <t>YYR*NYYGYQGYR</t>
  </si>
  <si>
    <t>KHDRBS1</t>
    <phoneticPr fontId="5" type="noConversion"/>
  </si>
  <si>
    <t>SAM68</t>
    <phoneticPr fontId="5" type="noConversion"/>
  </si>
  <si>
    <t>282, 284</t>
    <phoneticPr fontId="5" type="noConversion"/>
  </si>
  <si>
    <t>Q07666</t>
    <phoneticPr fontId="5" type="noConversion"/>
  </si>
  <si>
    <t>NGVPEPSrGRGVPVR;VPEPSRGrGVPVRGR</t>
  </si>
  <si>
    <t>FLVPDM#M#DDICQEQFLELSYLNGVPEPSR*GR*</t>
  </si>
  <si>
    <t>SYLNGVPEPSR*GR*</t>
  </si>
  <si>
    <t>KHSRP</t>
  </si>
  <si>
    <t>KSRP</t>
  </si>
  <si>
    <t>411, 413</t>
  </si>
  <si>
    <t>Far upstream element-binding protein 2</t>
  </si>
  <si>
    <t>Q92945</t>
    <phoneticPr fontId="5" type="noConversion"/>
  </si>
  <si>
    <t>PGMPPGGrGRGRGQG;MPPGGRGrGRGQGNW</t>
  </si>
  <si>
    <t>SGPPGPPGGPGM#PPGGR*GR*</t>
  </si>
  <si>
    <t>SGPPGPPGGPGMPPGGR*GR*</t>
  </si>
  <si>
    <t>PGGRGRGrGQGNWGP</t>
  </si>
  <si>
    <t>GR*GQGNWGPPGGEM#T</t>
  </si>
  <si>
    <t>PGMPPGGrGRGRGQG</t>
  </si>
  <si>
    <t>SGPPGPPGGPGM#PPGGR*</t>
  </si>
  <si>
    <t>SGPPGPPGGPGMPPGGR*</t>
  </si>
  <si>
    <t>413, 415</t>
  </si>
  <si>
    <t>MPPGGRGrGRGQGNW;PGGRGRGrGQGNWGP</t>
  </si>
  <si>
    <t>GR*GR*GQGNWGPPGGEM#T</t>
  </si>
  <si>
    <t>KCGLVLGrGGENVKA</t>
  </si>
  <si>
    <t>CGLVIGR*</t>
  </si>
  <si>
    <t>CGLVIGR*GGENVK</t>
  </si>
  <si>
    <t>GLVIGR*GGENVK</t>
  </si>
  <si>
    <t>LVIGR*GGENVK</t>
  </si>
  <si>
    <t>MSI1</t>
  </si>
  <si>
    <t>RNA-binding protein Musashi homolog 1</t>
  </si>
  <si>
    <t>O43347</t>
    <phoneticPr fontId="5" type="noConversion"/>
  </si>
  <si>
    <t>MSPTGSArGRSRVMP</t>
  </si>
  <si>
    <t>EVM#SPTGSAR*</t>
  </si>
  <si>
    <t>NCBP2</t>
    <phoneticPr fontId="5" type="noConversion"/>
  </si>
  <si>
    <t>CBC2</t>
    <phoneticPr fontId="5" type="noConversion"/>
  </si>
  <si>
    <t>Nuclear cap-binding protein subunit 2</t>
  </si>
  <si>
    <t>P52298</t>
    <phoneticPr fontId="5" type="noConversion"/>
  </si>
  <si>
    <t>RQDYDAGrGGYGKLA</t>
  </si>
  <si>
    <t>DEYRQDYDAGR*GGYGK</t>
  </si>
  <si>
    <t>PABPN1</t>
    <phoneticPr fontId="5" type="noConversion"/>
  </si>
  <si>
    <t>PAB2</t>
    <phoneticPr fontId="5" type="noConversion"/>
  </si>
  <si>
    <t>Q86U42</t>
    <phoneticPr fontId="5" type="noConversion"/>
  </si>
  <si>
    <t>AAGAAGGrGSGPGRR</t>
  </si>
  <si>
    <t>AAAAAGAAGGR*GSGPGR</t>
  </si>
  <si>
    <t>AAAAGAAGGR*GSGPGR</t>
  </si>
  <si>
    <t>ALDESLFrGRQLKVL</t>
  </si>
  <si>
    <t>RTSLALDESLFR*GR</t>
  </si>
  <si>
    <t>PSPC1</t>
  </si>
  <si>
    <t>PSP1</t>
  </si>
  <si>
    <t>Paraspeckle component 1</t>
  </si>
  <si>
    <t>Q8WXF1</t>
    <phoneticPr fontId="5" type="noConversion"/>
  </si>
  <si>
    <t>GGPGGFGrGSQGGNF</t>
  </si>
  <si>
    <t>SGGPGGFGR*GSQGGNFEGPNKR</t>
  </si>
  <si>
    <t>TGSETPQAPM#SGVGPVSGGPGGFGR*</t>
  </si>
  <si>
    <t>TGSETPQAPM#SGVGPVSGGPGGFGR*GSQGGNFEGPNK</t>
  </si>
  <si>
    <t>TGSETPQAPMSGVGPVSGGPGGFGR*GSQGGNFEGPNKR</t>
  </si>
  <si>
    <t>PUM2</t>
    <phoneticPr fontId="5" type="noConversion"/>
  </si>
  <si>
    <t>Pumilio homolog 2</t>
  </si>
  <si>
    <t>Q8TB72</t>
    <phoneticPr fontId="5" type="noConversion"/>
  </si>
  <si>
    <t>TGLGAPVrLMAPTPV</t>
  </si>
  <si>
    <t>TGLGAPVR*L</t>
  </si>
  <si>
    <t>TGLGAPVR*LM#APTPVLI</t>
  </si>
  <si>
    <t>SAFB2</t>
  </si>
  <si>
    <t>Scaffold attachment factor B2</t>
  </si>
  <si>
    <t>Q14151</t>
    <phoneticPr fontId="5" type="noConversion"/>
  </si>
  <si>
    <t>SRGGVAGrGGFAQGG</t>
  </si>
  <si>
    <t>GGVAGR*GGFAQGGHSQGHVVPGGGLEGGGVASQDR</t>
  </si>
  <si>
    <t>GPGHMASrGGVAGRG</t>
  </si>
  <si>
    <t>GLSGPSGPGHM#ASR*</t>
  </si>
  <si>
    <t>SERBP1</t>
    <phoneticPr fontId="5" type="noConversion"/>
  </si>
  <si>
    <t>PAIRB</t>
    <phoneticPr fontId="5" type="noConversion"/>
  </si>
  <si>
    <t>Plasminogen activator inhibitor 1 RNA-binding protein</t>
  </si>
  <si>
    <t>Q8NC51</t>
    <phoneticPr fontId="5" type="noConversion"/>
  </si>
  <si>
    <t>GLKHEDKrGGSGSHN</t>
  </si>
  <si>
    <t>R*GGSGSHNWGTVKDELTESPK</t>
  </si>
  <si>
    <t>PAIRB iso 3</t>
    <phoneticPr fontId="5" type="noConversion"/>
  </si>
  <si>
    <t>R*GGSGSHNWGTVK</t>
  </si>
  <si>
    <t>RGDGFDSrGKREFDR</t>
  </si>
  <si>
    <t>GDGFDSR*</t>
  </si>
  <si>
    <t>SFPQ</t>
  </si>
  <si>
    <t>681, 693</t>
  </si>
  <si>
    <t>Splicing factor, proline- and glutamine-rich</t>
  </si>
  <si>
    <t>P23246</t>
    <phoneticPr fontId="5" type="noConversion"/>
  </si>
  <si>
    <t>PVGGQGPrGMGPGTP;GTPAGYGrGREEYEG</t>
  </si>
  <si>
    <t>FGQGGAGPVGGQGPR*GM#GPGTPAGYGR*</t>
  </si>
  <si>
    <t>FGQGGAGPVGGQGPR*GMGPGTPAGYGR*</t>
  </si>
  <si>
    <t>GTPAGYGrGREEYEG</t>
  </si>
  <si>
    <t>GM#GPGTPAGYGR*</t>
  </si>
  <si>
    <t>GMGPGTPAGYGR*</t>
  </si>
  <si>
    <t>GMGPGTPAGYGR*GR</t>
  </si>
  <si>
    <t>PVGGQGPrGMGPGTP</t>
  </si>
  <si>
    <t>FGQGGAGPVGGQGPR*</t>
  </si>
  <si>
    <t>FGQGGAGPVGGQGPR*GM#GPGTPA</t>
  </si>
  <si>
    <t>FGQGGAGPVGGQGPR*GM#GPGTPAGY</t>
  </si>
  <si>
    <t>FGQGGAGPVGGQGPR*GM#GPGTPAGYGR</t>
  </si>
  <si>
    <t>236, 242, 245</t>
    <phoneticPr fontId="5" type="noConversion"/>
  </si>
  <si>
    <t>GHPKPPHrGGGEPRG;HRGGGEPrGGRQHHP;GGEPRGGrQHHPPYH</t>
  </si>
  <si>
    <t>PGGGPGLSTPGGHPKPPHR*GGGEPR*GGR*</t>
  </si>
  <si>
    <t>GHPKPPHrGGGEPRG</t>
  </si>
  <si>
    <t>PGGGPGLSTPGGHPKPPHR*GGGEPR</t>
  </si>
  <si>
    <t>236, 242</t>
    <phoneticPr fontId="5" type="noConversion"/>
  </si>
  <si>
    <t>GHPKPPHrGGGEPRG;HRGGGEPrGGRQHHP</t>
  </si>
  <si>
    <t>PGGGPGLSTPGGHPKPPHR*GGGEPR*</t>
  </si>
  <si>
    <t>SNRPB</t>
    <phoneticPr fontId="5" type="noConversion"/>
  </si>
  <si>
    <t>Small nuclear ribonucleoprotein-associated proteins B and B'</t>
  </si>
  <si>
    <t>P14678</t>
    <phoneticPr fontId="5" type="noConversion"/>
  </si>
  <si>
    <t>AGGPGLGrAAGRGLP</t>
  </si>
  <si>
    <t>AGAAGGPGIGR*</t>
  </si>
  <si>
    <t>LAGAAGGPGIGR*</t>
  </si>
  <si>
    <t>VPLAGAAGGPGIGR*</t>
  </si>
  <si>
    <t>PTQYPPGrGGPPPPM</t>
  </si>
  <si>
    <t>IAGAPTQYPPGR*</t>
  </si>
  <si>
    <t>QVMTPQGrGTVAAAA</t>
  </si>
  <si>
    <t>GVGGPSQQVM#TPQGR*</t>
  </si>
  <si>
    <t>2194, 2207</t>
  </si>
  <si>
    <t>Q9UQ35</t>
    <phoneticPr fontId="5" type="noConversion"/>
  </si>
  <si>
    <t>ALSLGTArPPPSMSA;SAAGLAArMSQVPAP</t>
  </si>
  <si>
    <t>SLGTAR*PPPSM#SAAGLAAR*</t>
  </si>
  <si>
    <t>SANLVGPrSAHATAP</t>
  </si>
  <si>
    <t>TPQAPASANLVGPR*</t>
  </si>
  <si>
    <t>STAU1</t>
    <phoneticPr fontId="5" type="noConversion"/>
  </si>
  <si>
    <t>STAU</t>
    <phoneticPr fontId="5" type="noConversion"/>
  </si>
  <si>
    <t>O95793</t>
    <phoneticPr fontId="5" type="noConversion"/>
  </si>
  <si>
    <t>GGAYPPR*YFYPFPVPPLLYQV</t>
  </si>
  <si>
    <t>STYNYNMrGGAYPPR</t>
  </si>
  <si>
    <t>TARDBP</t>
    <phoneticPr fontId="5" type="noConversion"/>
  </si>
  <si>
    <t>TDP43</t>
    <phoneticPr fontId="5" type="noConversion"/>
  </si>
  <si>
    <t>TAR DNA-binding protein 43</t>
  </si>
  <si>
    <t>Q13148</t>
    <phoneticPr fontId="5" type="noConversion"/>
  </si>
  <si>
    <t>QGGFGNSrGGGAGLG</t>
  </si>
  <si>
    <t>FGGNPGGFGNQGGFGNSR*</t>
  </si>
  <si>
    <t>FGGNPGGFGNQGGFGNSR*GGGAGLGNN</t>
  </si>
  <si>
    <t>FGGNPGGFGNQGGFGNSR*GGGAGLGNNQGSN</t>
  </si>
  <si>
    <t>FGGNPGGFGNQGGFGNSR*GGGAGLGNNQGSNM#GGGM#NFGAF</t>
  </si>
  <si>
    <t>QGGFGNSR*</t>
  </si>
  <si>
    <t>TRA2B</t>
    <phoneticPr fontId="5" type="noConversion"/>
  </si>
  <si>
    <t>Transformer-2 protein homolog beta</t>
  </si>
  <si>
    <t>P62995</t>
    <phoneticPr fontId="5" type="noConversion"/>
  </si>
  <si>
    <t>DYYSRSYrGGGGGGG</t>
  </si>
  <si>
    <t>SYR*GGGGGGGGWR</t>
  </si>
  <si>
    <t>XRN2</t>
    <phoneticPr fontId="5" type="noConversion"/>
  </si>
  <si>
    <t>Q9H0D6</t>
    <phoneticPr fontId="5" type="noConversion"/>
  </si>
  <si>
    <t>FQQQRFDrGVGAEPL</t>
  </si>
  <si>
    <t>FDR*GVGAEPLLPWNR</t>
  </si>
  <si>
    <t>EPLLPWNrMLQTQNA</t>
  </si>
  <si>
    <t>GVGAEPLLPWNR*</t>
  </si>
  <si>
    <t>883, 895</t>
    <phoneticPr fontId="5" type="noConversion"/>
  </si>
  <si>
    <t>FQQQRFDrGVGAEPL;EPLLPWNrMLQTQNA</t>
  </si>
  <si>
    <t>FDR*GVGAEPLLPWNR*</t>
  </si>
  <si>
    <t>ESRP1</t>
    <phoneticPr fontId="5" type="noConversion"/>
  </si>
  <si>
    <t>Epithelial splicing regulatory protein 1</t>
  </si>
  <si>
    <t>Q6NXG1</t>
    <phoneticPr fontId="5" type="noConversion"/>
  </si>
  <si>
    <t>PSVLLNPrALQPSTA</t>
  </si>
  <si>
    <t>LPCLSPPSYTFPAPAAVIPTEAAIYQPSVILNPR*</t>
  </si>
  <si>
    <t>KIAA1429</t>
  </si>
  <si>
    <t>VIR</t>
  </si>
  <si>
    <t>Protein virilizer homolog</t>
  </si>
  <si>
    <t>Q69YN4</t>
    <phoneticPr fontId="5" type="noConversion"/>
  </si>
  <si>
    <t>YSRREGTrGSSWSAQ</t>
  </si>
  <si>
    <t>EGTR*GSSWSAQNTPR</t>
  </si>
  <si>
    <t>RBMX</t>
    <phoneticPr fontId="5" type="noConversion"/>
  </si>
  <si>
    <t>164, 172</t>
    <phoneticPr fontId="5" type="noConversion"/>
  </si>
  <si>
    <t>RNA-binding motif protein, X chromosome</t>
  </si>
  <si>
    <t>P38159</t>
    <phoneticPr fontId="5" type="noConversion"/>
  </si>
  <si>
    <t>SGGPPPKrSAPSGPV;SAPSGPVrSSSGMGG</t>
  </si>
  <si>
    <t>R*SAPSGPVR*</t>
  </si>
  <si>
    <t>GTRGPPSrGGHMDDG</t>
  </si>
  <si>
    <t>GPPSR*GGHM#DDGGYSM#NF</t>
  </si>
  <si>
    <t>GPPSR*GGHM#DDGGYSM#NFN</t>
  </si>
  <si>
    <t>GPPSR*GGHM#DDGGYSM#NFNM#</t>
  </si>
  <si>
    <t>GPPSR*GGHM#DDGGYSM#NFNM#S</t>
  </si>
  <si>
    <t>GPPSR*GGHM#DDGGYSM#NFNM#SS</t>
  </si>
  <si>
    <t>GPPSR*GGHM#DDGGYSM#NFNM#SSSR</t>
  </si>
  <si>
    <t>GPPSR*GGHM#DDGGYSM#NFNMSSSR</t>
  </si>
  <si>
    <t>GPPSR*GGHM#DDGGYSMNFN</t>
  </si>
  <si>
    <t>GPPSR*GGHM#DDGGYSMNFNM#SSSR</t>
  </si>
  <si>
    <t>GPPSR*GGHM#DDGGYSMNFNMSSSR</t>
  </si>
  <si>
    <t>GPPSR*GGHMDDGGYSM#NFN</t>
  </si>
  <si>
    <t>GPPSR*GGHMDDGGYSM#NFNM#SSSR</t>
  </si>
  <si>
    <t>GPPSR*GGHMDDGGYSM#NFNMSSSR</t>
  </si>
  <si>
    <t>GPPSR*GGHMDDGGYSMNFNM#SSSR</t>
  </si>
  <si>
    <t>GPPSR*GGHMDDGGYSMNFNMSSSR</t>
  </si>
  <si>
    <t>CWC15</t>
  </si>
  <si>
    <t>ORF5</t>
  </si>
  <si>
    <t>Spliceosome-associated protein CWC15 homolog</t>
  </si>
  <si>
    <t>Q9P013</t>
    <phoneticPr fontId="5" type="noConversion"/>
  </si>
  <si>
    <t>RPTFEPArGGRGKGE</t>
  </si>
  <si>
    <t>PTFEPAR*GGR</t>
  </si>
  <si>
    <t>HNRNPA1L2</t>
    <phoneticPr fontId="5" type="noConversion"/>
  </si>
  <si>
    <t>RA1L2</t>
    <phoneticPr fontId="5" type="noConversion"/>
  </si>
  <si>
    <t>Heterogeneous nuclear ribonucleoprotein A1-like 2</t>
  </si>
  <si>
    <t>Q32P51</t>
    <phoneticPr fontId="5" type="noConversion"/>
  </si>
  <si>
    <t>RGGNFSGrGGFGGSC</t>
  </si>
  <si>
    <t>GGNFSGR*GGF</t>
  </si>
  <si>
    <t>ASASSSQrGRRGSGN</t>
  </si>
  <si>
    <t>QEM#ASASSSQR*</t>
  </si>
  <si>
    <t>QEMASASSSQR*</t>
  </si>
  <si>
    <t>KGGNFGGrSSGPYGG</t>
  </si>
  <si>
    <t>GGNFGGR*SSGPYGGGGQYFAK</t>
  </si>
  <si>
    <t>RBFOX2</t>
    <phoneticPr fontId="5" type="noConversion"/>
  </si>
  <si>
    <t>RBM9 iso 3</t>
    <phoneticPr fontId="5" type="noConversion"/>
  </si>
  <si>
    <t>O43251</t>
    <phoneticPr fontId="5" type="noConversion"/>
  </si>
  <si>
    <t>GAVASLYrGGYSRFA</t>
  </si>
  <si>
    <t>VYTADPYHALAPAASYGVGAVASLYR*</t>
  </si>
  <si>
    <t>VYTADPYHALAPAASYGVGAVASLYR*GGY</t>
  </si>
  <si>
    <t>VYTADPYHALAPAASYGVGAVASLYR*GGYSR</t>
  </si>
  <si>
    <t>VYTADPYHALAPAASYGVGAVASLYRGGYSR*</t>
  </si>
  <si>
    <t>ARID3A</t>
  </si>
  <si>
    <t>ARI3A</t>
  </si>
  <si>
    <t>AT-rich interactive domain-containing protein 3A</t>
  </si>
  <si>
    <t>Q99856</t>
    <phoneticPr fontId="5" type="noConversion"/>
  </si>
  <si>
    <t>SSSNAGGrGGNTGTS</t>
  </si>
  <si>
    <t>GGGGGGSSSNAGGR*</t>
  </si>
  <si>
    <t>Q9BTC0</t>
    <phoneticPr fontId="5" type="noConversion"/>
  </si>
  <si>
    <t>QAPFLGSrGGAPFQF</t>
  </si>
  <si>
    <t>TGAPAQFEGTEQAPFLGSR*</t>
  </si>
  <si>
    <t>FUBP3</t>
  </si>
  <si>
    <t>FBP3</t>
  </si>
  <si>
    <t>Far upstream element-binding protein 3</t>
  </si>
  <si>
    <t>Q96I24</t>
    <phoneticPr fontId="5" type="noConversion"/>
  </si>
  <si>
    <t>LLLTAQErDGFGGLA</t>
  </si>
  <si>
    <t>CQHAAHIISELILTAQERDGFGGLAAAR*</t>
  </si>
  <si>
    <t>FGGLAAArGRGRGRG</t>
  </si>
  <si>
    <t>DGFGGLAAAR*</t>
  </si>
  <si>
    <t>SNAPC3</t>
  </si>
  <si>
    <t>SNPC3</t>
  </si>
  <si>
    <t>snRNA-activating protein complex subunit 3</t>
  </si>
  <si>
    <t>Q92966</t>
    <phoneticPr fontId="5" type="noConversion"/>
  </si>
  <si>
    <t>SQAADSDrEDAAVAR</t>
  </si>
  <si>
    <t>GSQAADSDR*EDAAVAR</t>
  </si>
  <si>
    <t>TCERG1</t>
    <phoneticPr fontId="5" type="noConversion"/>
  </si>
  <si>
    <t>CA150</t>
    <phoneticPr fontId="5" type="noConversion"/>
  </si>
  <si>
    <t>O14776</t>
    <phoneticPr fontId="5" type="noConversion"/>
  </si>
  <si>
    <t>FNPGELR*</t>
  </si>
  <si>
    <t>YBX1</t>
    <phoneticPr fontId="5" type="noConversion"/>
  </si>
  <si>
    <t>DBPB</t>
  </si>
  <si>
    <t>Nuclease-sensitive element-binding protein 1</t>
  </si>
  <si>
    <t>P67809</t>
    <phoneticPr fontId="5" type="noConversion"/>
  </si>
  <si>
    <t>PVRQNMYrGYRPRFR</t>
  </si>
  <si>
    <t>QNMYR*GYRPR</t>
  </si>
  <si>
    <t>RRPYRRRrFPPYYMR</t>
  </si>
  <si>
    <t>RFPPYYM#R*</t>
  </si>
  <si>
    <t>YLPM1</t>
    <phoneticPr fontId="5" type="noConversion"/>
  </si>
  <si>
    <t>YLPM1 iso 4</t>
    <phoneticPr fontId="5" type="noConversion"/>
  </si>
  <si>
    <t>P49750</t>
    <phoneticPr fontId="5" type="noConversion"/>
  </si>
  <si>
    <t>PSTSLSPrQSGPQWK</t>
  </si>
  <si>
    <t>GPASQFYITPSTSLSPR*</t>
  </si>
  <si>
    <t>ZNF324</t>
  </si>
  <si>
    <t>Z324A</t>
  </si>
  <si>
    <t>Zinc finger protein 324A</t>
  </si>
  <si>
    <t>O75467</t>
    <phoneticPr fontId="5" type="noConversion"/>
  </si>
  <si>
    <t>SLGLSTSrPRVVLQL</t>
  </si>
  <si>
    <t>VM#LDNFALVASLGLSTSR*P</t>
  </si>
  <si>
    <t>CD3EAP</t>
    <phoneticPr fontId="5" type="noConversion"/>
  </si>
  <si>
    <t>ASE1</t>
    <phoneticPr fontId="5" type="noConversion"/>
  </si>
  <si>
    <t>DNA-directed RNA polymerase I subunit RPA34</t>
  </si>
  <si>
    <t>O15446</t>
    <phoneticPr fontId="5" type="noConversion"/>
  </si>
  <si>
    <t>NPPVTGPrSALAPNL</t>
  </si>
  <si>
    <t>FCAFGGNPPVTGPR*</t>
  </si>
  <si>
    <t>IPPGLRPrFCAFGGN</t>
    <phoneticPr fontId="11" type="noConversion"/>
  </si>
  <si>
    <t>ILEGPQQSLSGSPLQPIPASPPPQIPPGLRPR*</t>
  </si>
  <si>
    <t>PQIPPGLrPRFCAFG</t>
    <phoneticPr fontId="11" type="noConversion"/>
  </si>
  <si>
    <t>ILEGPQQSLSGSPLQPIPASPPPQIPPGLR*PR</t>
  </si>
  <si>
    <t>TAF15</t>
    <phoneticPr fontId="5" type="noConversion"/>
  </si>
  <si>
    <t>TAF12</t>
    <phoneticPr fontId="5" type="noConversion"/>
  </si>
  <si>
    <t>Q92804</t>
    <phoneticPr fontId="5" type="noConversion"/>
  </si>
  <si>
    <t>GGSQGGGrGRGGYDK</t>
  </si>
  <si>
    <t>GYGGSQGGGR*</t>
  </si>
  <si>
    <t>GYGGSQGGGR*GR</t>
  </si>
  <si>
    <t>GPM#TGSSGGDR*GGFK</t>
  </si>
  <si>
    <t>M#TGSSGGDR*GGFK</t>
  </si>
  <si>
    <t>MTGSSGGDR*GGFK</t>
  </si>
  <si>
    <t>185, 187</t>
    <phoneticPr fontId="5" type="noConversion"/>
  </si>
  <si>
    <t>GGSQGGGrGRGGYDK;SQGGGRGrGGYDKDG</t>
  </si>
  <si>
    <t>GYGGSQGGGR*GR*</t>
  </si>
  <si>
    <t>459, 467, 475</t>
    <phoneticPr fontId="5" type="noConversion"/>
  </si>
  <si>
    <t>GGGYGGDrGGGYGGD;GGGYGGDrGGGYGGD;GGGYGGDrGGGYGGD</t>
  </si>
  <si>
    <t>SGGGYGGDR*GGGYGGDR*GGGYGGDR*</t>
  </si>
  <si>
    <t>GGGYGGDrGGGYGGD</t>
  </si>
  <si>
    <t>GGGYGGDR*GGGYGGDR</t>
  </si>
  <si>
    <t>SGGGYGGDR*GGGYGGDR</t>
  </si>
  <si>
    <t>GGGYGGDrGGYGGDR</t>
  </si>
  <si>
    <t>GGGYGGDR*GGYGGDR</t>
  </si>
  <si>
    <t>CBX2</t>
  </si>
  <si>
    <t>Chromobox protein homolog 2</t>
  </si>
  <si>
    <t>Q14781</t>
    <phoneticPr fontId="5" type="noConversion"/>
  </si>
  <si>
    <t>GMASSPGrGGLSWQS</t>
  </si>
  <si>
    <t>GM#ASSPGR*GGISWQSSIV</t>
  </si>
  <si>
    <t>KANK2</t>
    <phoneticPr fontId="5" type="noConversion"/>
  </si>
  <si>
    <t>KN motif and ankyrin repeat domain-containing protein 2</t>
  </si>
  <si>
    <t>Q63ZY3</t>
    <phoneticPr fontId="5" type="noConversion"/>
  </si>
  <si>
    <t>QYGALETrGGFNPRV</t>
  </si>
  <si>
    <t>GFYPQYGALETR*</t>
  </si>
  <si>
    <t>TXLNG</t>
    <phoneticPr fontId="5" type="noConversion"/>
  </si>
  <si>
    <t>LSR5</t>
    <phoneticPr fontId="5" type="noConversion"/>
  </si>
  <si>
    <t>12, 24</t>
    <phoneticPr fontId="5" type="noConversion"/>
  </si>
  <si>
    <t>Gamma-taxilin</t>
  </si>
  <si>
    <t>Q9NUQ3</t>
    <phoneticPr fontId="5" type="noConversion"/>
  </si>
  <si>
    <t>VEEAARGrGGGAEEA;EEATEAGrGGRRRSP</t>
  </si>
  <si>
    <t>GR*GGGAEEATEAGR*GGR</t>
  </si>
  <si>
    <t>DDX17</t>
  </si>
  <si>
    <t>RH70</t>
  </si>
  <si>
    <t>Probable ATP-dependent RNA helicase DDX17</t>
  </si>
  <si>
    <t>Q92841</t>
    <phoneticPr fontId="5" type="noConversion"/>
  </si>
  <si>
    <t>LYPFGTMrGGGFGDR</t>
  </si>
  <si>
    <t>APLPDLYPFGTM#R*</t>
  </si>
  <si>
    <t>DDX17</t>
    <phoneticPr fontId="5" type="noConversion"/>
  </si>
  <si>
    <t>RH70</t>
    <phoneticPr fontId="5" type="noConversion"/>
  </si>
  <si>
    <t>QQFSGLGrSGQQPQP</t>
  </si>
  <si>
    <t>SSQSSSQQFSGIGR*</t>
  </si>
  <si>
    <t>DRGGFGArGGGGLPP</t>
  </si>
  <si>
    <t>GGFGAR*GGGGLPPK</t>
  </si>
  <si>
    <t>M#R*GGGFGDR</t>
  </si>
  <si>
    <t>MR*GGGFGDR</t>
  </si>
  <si>
    <t>EP300</t>
  </si>
  <si>
    <t>P300</t>
  </si>
  <si>
    <t>Histone acetyltransferase p300</t>
  </si>
  <si>
    <t>Q09472</t>
    <phoneticPr fontId="5" type="noConversion"/>
  </si>
  <si>
    <t>QALQNLLrTLRSPSS</t>
  </si>
  <si>
    <t>AQHGQPLNM#APQPGLGQVGISPLKPGTVSQQALQNLLR*</t>
  </si>
  <si>
    <t>HCFC1</t>
    <phoneticPr fontId="5" type="noConversion"/>
  </si>
  <si>
    <t>HCF1</t>
    <phoneticPr fontId="5" type="noConversion"/>
  </si>
  <si>
    <t>Host cell factor 1</t>
  </si>
  <si>
    <t>P51610</t>
    <phoneticPr fontId="5" type="noConversion"/>
  </si>
  <si>
    <t>TSLPAGVrMVVPTQS</t>
  </si>
  <si>
    <t>APVTVTSLPAGVR*</t>
  </si>
  <si>
    <t>16, 24</t>
  </si>
  <si>
    <t>Q12905</t>
    <phoneticPr fontId="5" type="noConversion"/>
  </si>
  <si>
    <t>RGGRFGSrGGPGGGF;GGPGGGFrPFVPHLP</t>
  </si>
  <si>
    <t>FGSR*GGPGGGFR*PFVPHIPFDFYLCEM#AFPR</t>
  </si>
  <si>
    <t>FGSR*GGPGGGFR</t>
  </si>
  <si>
    <t>FGSR*GGPGGGFRPF</t>
  </si>
  <si>
    <t>FGSR*GGPGGGFRPFVPHIPFDFY</t>
  </si>
  <si>
    <t>FGSR*GGPGGGFRPFVPHIPFDFYLC</t>
  </si>
  <si>
    <t>FGSR*GGPGGGFRPFVPHIPFDFYLCEM#AFPR</t>
  </si>
  <si>
    <t>FGSRGGPGGGFR*PFVPHIPFDFYL</t>
  </si>
  <si>
    <t>FGSRGGPGGGFR*PFVPHIPFDFYLCEM#AFPR</t>
  </si>
  <si>
    <t>GGPGGGFR*PFVPHIPFDFY</t>
  </si>
  <si>
    <t>GGPGGGFR*PFVPHIPFDFYL</t>
  </si>
  <si>
    <t>NCOR2</t>
    <phoneticPr fontId="5" type="noConversion"/>
  </si>
  <si>
    <t>SMRT</t>
    <phoneticPr fontId="5" type="noConversion"/>
  </si>
  <si>
    <t>Nuclear receptor corepressor 2</t>
  </si>
  <si>
    <t>Q9Y618</t>
    <phoneticPr fontId="5" type="noConversion"/>
  </si>
  <si>
    <t>AQRADMLrGLSPRES</t>
  </si>
  <si>
    <t>ADM#LR*GLSPR</t>
  </si>
  <si>
    <t>NOLC1</t>
    <phoneticPr fontId="5" type="noConversion"/>
  </si>
  <si>
    <t>P130</t>
    <phoneticPr fontId="5" type="noConversion"/>
  </si>
  <si>
    <t>Nucleolar and coiled-body phosphoprotein 1</t>
  </si>
  <si>
    <t>Q14978</t>
    <phoneticPr fontId="5" type="noConversion"/>
  </si>
  <si>
    <t>KKKRGSYrGGSLSVQ</t>
  </si>
  <si>
    <t>GSYR*GGSISVQVNSI</t>
  </si>
  <si>
    <t>PNN</t>
  </si>
  <si>
    <t>DRSP</t>
  </si>
  <si>
    <t>Pinin</t>
  </si>
  <si>
    <t>Q9H307</t>
    <phoneticPr fontId="5" type="noConversion"/>
  </si>
  <si>
    <t>LSGPGGGrGRGSLLL</t>
  </si>
  <si>
    <t>LLALSGPGGGR*</t>
  </si>
  <si>
    <t>SUPT5H</t>
    <phoneticPr fontId="5" type="noConversion"/>
  </si>
  <si>
    <t>SPT5</t>
    <phoneticPr fontId="5" type="noConversion"/>
  </si>
  <si>
    <t>Transcription elongation factor SPT5</t>
  </si>
  <si>
    <t>O00267</t>
    <phoneticPr fontId="5" type="noConversion"/>
  </si>
  <si>
    <t>GGSGGMSrGRGRRDN</t>
  </si>
  <si>
    <t>GGFGSPGGGSGGM#SR*</t>
  </si>
  <si>
    <t>TP53BP1</t>
    <phoneticPr fontId="5" type="noConversion"/>
  </si>
  <si>
    <t>TP53B</t>
    <phoneticPr fontId="5" type="noConversion"/>
  </si>
  <si>
    <t>Tumor suppressor p53-binding protein 1</t>
  </si>
  <si>
    <t>Q12888</t>
    <phoneticPr fontId="5" type="noConversion"/>
  </si>
  <si>
    <t>DFALPSSrGGPGKLS</t>
  </si>
  <si>
    <t>TSGTEPADFALPSSR*</t>
  </si>
  <si>
    <t>ZMIZ2</t>
    <phoneticPr fontId="5" type="noConversion"/>
  </si>
  <si>
    <t>ZIMP7</t>
    <phoneticPr fontId="5" type="noConversion"/>
  </si>
  <si>
    <t>Q8NF64</t>
    <phoneticPr fontId="5" type="noConversion"/>
  </si>
  <si>
    <t>VQQGVYSrGGYPGAP</t>
  </si>
  <si>
    <t>GYVQQGVYSR*</t>
  </si>
  <si>
    <t>XYLT1</t>
  </si>
  <si>
    <t>XT-I</t>
  </si>
  <si>
    <t>Xylosyltransferase 1</t>
  </si>
  <si>
    <t>Q86Y38</t>
    <phoneticPr fontId="5" type="noConversion"/>
  </si>
  <si>
    <t>GGGGGGGrGPQARAR</t>
  </si>
  <si>
    <t>GGGGGGGRGPQAR*</t>
  </si>
  <si>
    <t>ZDHHC5</t>
    <phoneticPr fontId="5" type="noConversion"/>
  </si>
  <si>
    <t>ZDHC5</t>
    <phoneticPr fontId="5" type="noConversion"/>
  </si>
  <si>
    <t>Palmitoyltransferase ZDHHC5</t>
  </si>
  <si>
    <t>Q9C0B5</t>
    <phoneticPr fontId="5" type="noConversion"/>
  </si>
  <si>
    <t>LGKTPLGrPAVPRFG</t>
  </si>
  <si>
    <t>TPLGR*P</t>
  </si>
  <si>
    <t>EIF4ENIF1</t>
    <phoneticPr fontId="5" type="noConversion"/>
  </si>
  <si>
    <t>4E-T</t>
    <phoneticPr fontId="5" type="noConversion"/>
  </si>
  <si>
    <t>Eukaryotic translation initiation factor 4E transporter</t>
  </si>
  <si>
    <t>Q9NRA8</t>
    <phoneticPr fontId="5" type="noConversion"/>
  </si>
  <si>
    <t>GDPFQGMrKPMSPLT</t>
  </si>
  <si>
    <t>IPSPIGFTPGPQQLLGDPFQGM#R*</t>
  </si>
  <si>
    <t>EIF4G1</t>
    <phoneticPr fontId="5" type="noConversion"/>
  </si>
  <si>
    <t>eIF4G</t>
    <phoneticPr fontId="5" type="noConversion"/>
  </si>
  <si>
    <t>685, 694</t>
    <phoneticPr fontId="5" type="noConversion"/>
  </si>
  <si>
    <t>Eukaryotic translation initiation factor 4 gamma 1</t>
  </si>
  <si>
    <t>Q04637</t>
    <phoneticPr fontId="5" type="noConversion"/>
  </si>
  <si>
    <t>LSTRGPPrGGPGGEL;GPGGELPrGPQAGLG</t>
  </si>
  <si>
    <t>GPPR*GGPGGELPR*GPQAGLGPR</t>
  </si>
  <si>
    <t>PPSSAASrVQSAAPA</t>
  </si>
  <si>
    <t>AQPPSSAASR*</t>
  </si>
  <si>
    <t>VQSAAPArPGPAAHV</t>
  </si>
  <si>
    <t>VQSAAPAR*PGPAAHVYPAGSQVM#</t>
  </si>
  <si>
    <t>YYLPGQGrSTYVVPT</t>
  </si>
  <si>
    <t>M#IPSQISYPASQGAYYIPGQGR*</t>
  </si>
  <si>
    <t>AKGSDKRrGGPPGPP</t>
  </si>
  <si>
    <t>R*GGPPGPPISR</t>
  </si>
  <si>
    <t>AKGSDKRrGGPPGPP;PPGPPLSrGLPLVDD</t>
  </si>
  <si>
    <t>R*GGPPGPPISR*</t>
  </si>
  <si>
    <t>PPGPPLSrGLPLVDD</t>
  </si>
  <si>
    <t>GGPPGPPISR*</t>
  </si>
  <si>
    <t>RGGPPGPPISR*</t>
  </si>
  <si>
    <t>LSTRGPPrGGPGGEL</t>
  </si>
  <si>
    <t>GPPR*GGPGGELPR</t>
  </si>
  <si>
    <t>EIF4H</t>
    <phoneticPr fontId="5" type="noConversion"/>
  </si>
  <si>
    <t>IF4H</t>
    <phoneticPr fontId="5" type="noConversion"/>
  </si>
  <si>
    <t>19, 22</t>
    <phoneticPr fontId="5" type="noConversion"/>
  </si>
  <si>
    <t>Eukaryotic translation initiation factor 4H</t>
  </si>
  <si>
    <t>Q15056</t>
    <phoneticPr fontId="5" type="noConversion"/>
  </si>
  <si>
    <t>YSSFGGGrGSRGSAG;FGGGRGSrGSAGGHG</t>
  </si>
  <si>
    <t>AYSSFGGGR*GSR*</t>
  </si>
  <si>
    <t>FMR1</t>
    <phoneticPr fontId="5" type="noConversion"/>
  </si>
  <si>
    <t>Fragile X mental retardation protein 1</t>
  </si>
  <si>
    <t>Q06787</t>
    <phoneticPr fontId="5" type="noConversion"/>
  </si>
  <si>
    <t>DDGQGMGrGSRPYRN</t>
  </si>
  <si>
    <t>SYVTDDGQGM#GR*</t>
  </si>
  <si>
    <t>SYVTDDGQGM#GR*GSR</t>
  </si>
  <si>
    <t>SYVTDDGQGMGR*</t>
  </si>
  <si>
    <t>SYVTDDGQGMGR*GSR</t>
  </si>
  <si>
    <t>121, 131</t>
  </si>
  <si>
    <t>P98179</t>
    <phoneticPr fontId="5" type="noConversion"/>
  </si>
  <si>
    <t>SGRYYDSrPGGYGYG;GYGYGYGrSRDYNGR</t>
  </si>
  <si>
    <t>YYDSR*PGGYGYGYGR*</t>
  </si>
  <si>
    <t>90, 99, 101</t>
  </si>
  <si>
    <t>GKSARGTrGGGFGAH;GGFGAHGrGRSYSRG;FGAHGRGrSYSRGGG</t>
  </si>
  <si>
    <t>GTR*GGGFGAHGR*GR*</t>
  </si>
  <si>
    <t>SYSR*GGGDQGYGSGR</t>
  </si>
  <si>
    <t>GYGYGYGrSRDYNGR</t>
  </si>
  <si>
    <t>PGGYGYGYGR*</t>
  </si>
  <si>
    <t>SGRYYDSrPGGYGYG</t>
  </si>
  <si>
    <t>YYDSRPGGYGYGYGR*</t>
  </si>
  <si>
    <t>GKSARGTrGGGFGAH</t>
  </si>
  <si>
    <t>GTR*GGGFGAH</t>
  </si>
  <si>
    <t>RPL26L1</t>
  </si>
  <si>
    <t>RL26L</t>
  </si>
  <si>
    <t>60S ribosomal protein L26-like 1</t>
  </si>
  <si>
    <t>Q9UNX3</t>
    <phoneticPr fontId="5" type="noConversion"/>
  </si>
  <si>
    <t>FNAPSHVrRKLMSSP</t>
  </si>
  <si>
    <t>HFNAPSHVR*</t>
  </si>
  <si>
    <t>RPL4</t>
  </si>
  <si>
    <t>RPL1</t>
  </si>
  <si>
    <t>60S ribosomal protein L4</t>
  </si>
  <si>
    <t>P36578</t>
    <phoneticPr fontId="5" type="noConversion"/>
  </si>
  <si>
    <t>GAFGNMCrGGRMFAP</t>
  </si>
  <si>
    <t>SGQGAFGNM#CR*</t>
  </si>
  <si>
    <t>RPS10</t>
    <phoneticPr fontId="5" type="noConversion"/>
  </si>
  <si>
    <t>DBA9</t>
    <phoneticPr fontId="5" type="noConversion"/>
  </si>
  <si>
    <t>40S ribosomal protein S10</t>
  </si>
  <si>
    <t>P46783</t>
    <phoneticPr fontId="5" type="noConversion"/>
  </si>
  <si>
    <t>SATEFQFrGGFGRGR</t>
  </si>
  <si>
    <t>AEAGAGSATEFQFR*</t>
  </si>
  <si>
    <t>EAGAGSATEFQFR*</t>
  </si>
  <si>
    <t>GAGSATEFQFR*</t>
  </si>
  <si>
    <t>KAEAGAGSATEFQFR*</t>
  </si>
  <si>
    <t>RPS2</t>
  </si>
  <si>
    <t>40S ribosomal protein S2</t>
  </si>
  <si>
    <t>P15880</t>
    <phoneticPr fontId="5" type="noConversion"/>
  </si>
  <si>
    <t>MGNRGGFrGGFGSGL</t>
  </si>
  <si>
    <t>GGFR*GGFGSGI</t>
  </si>
  <si>
    <t>CPNE1</t>
  </si>
  <si>
    <t>CPN1</t>
  </si>
  <si>
    <t>Copine-1</t>
  </si>
  <si>
    <t>Q99829</t>
    <phoneticPr fontId="5" type="noConversion"/>
  </si>
  <si>
    <t>DNKTPELrDDDFLGG</t>
  </si>
  <si>
    <t>TPELR*DDDFLGGAECSLGQIVSS</t>
  </si>
  <si>
    <t>ANAPC1</t>
  </si>
  <si>
    <t>APC1</t>
  </si>
  <si>
    <t>Anaphase-promoting complex subunit 1</t>
  </si>
  <si>
    <t>Q9H1A4</t>
    <phoneticPr fontId="5" type="noConversion"/>
  </si>
  <si>
    <t>QYMVGGHrRFQTGMH</t>
  </si>
  <si>
    <t>GSNLIGM#SDLNVPEQLYQYMVGGHR*</t>
  </si>
  <si>
    <t>FBXO7</t>
    <phoneticPr fontId="5" type="noConversion"/>
  </si>
  <si>
    <t>FBX7</t>
    <phoneticPr fontId="5" type="noConversion"/>
  </si>
  <si>
    <t>F-box only protein 7</t>
  </si>
  <si>
    <t>Q9Y3I1</t>
    <phoneticPr fontId="5" type="noConversion"/>
  </si>
  <si>
    <t>PNPLLPGrGGPNDRF</t>
  </si>
  <si>
    <t>FDPVGPLPGPNPILPGRGGPNDR*</t>
  </si>
  <si>
    <t>FDPVGPLPGPNPILPGR*GGPNDR</t>
  </si>
  <si>
    <t>ALB</t>
    <phoneticPr fontId="5" type="noConversion"/>
  </si>
  <si>
    <t>FBF1</t>
    <phoneticPr fontId="5" type="noConversion"/>
  </si>
  <si>
    <t>P02768</t>
    <phoneticPr fontId="5" type="noConversion"/>
  </si>
  <si>
    <t>PTLVEVSrNLGKVGS</t>
  </si>
  <si>
    <t>Q86V81</t>
    <phoneticPr fontId="5" type="noConversion"/>
  </si>
  <si>
    <t>RPAQSVNrGGMTRNR</t>
  </si>
  <si>
    <t>RPAQSVNRGGM#TR*</t>
  </si>
  <si>
    <t>RAGSQGGrGGGAQAA</t>
  </si>
  <si>
    <t>AGSQGGR*GGGAQAAAR</t>
  </si>
  <si>
    <t>50, 56</t>
  </si>
  <si>
    <t>QAAARVNrGGGPLRN;NRGGGPLrNRPALAR</t>
  </si>
  <si>
    <t>VNR*GGGPIR*NRPA</t>
  </si>
  <si>
    <t>9;0</t>
  </si>
  <si>
    <t>AQSVNR*GGMTR</t>
  </si>
  <si>
    <t>SQLDAQRrPAQSVNR</t>
  </si>
  <si>
    <t>RPAQSVNR*</t>
  </si>
  <si>
    <t>RPAQSVNR*GGM</t>
  </si>
  <si>
    <t>RPAQSVNR*GGMTR</t>
  </si>
  <si>
    <t>NR*GAGGFGGGGGTR</t>
  </si>
  <si>
    <t>QAAARVNrGGGPLRN</t>
  </si>
  <si>
    <t>VNR*GGGPIR</t>
  </si>
  <si>
    <t>C9orf142</t>
  </si>
  <si>
    <t>CI142</t>
  </si>
  <si>
    <t xml:space="preserve">Protein PAXX </t>
  </si>
  <si>
    <t>Q9BUH6</t>
    <phoneticPr fontId="5" type="noConversion"/>
  </si>
  <si>
    <t>LPDPDPQrGGPGPGV</t>
  </si>
  <si>
    <t>PAGPQLFLPDPDPQRGGPGPGVR*</t>
  </si>
  <si>
    <t>CCDC9</t>
  </si>
  <si>
    <t>121, 128, 130</t>
  </si>
  <si>
    <t>Coiled-coil domain-containing protein 9</t>
  </si>
  <si>
    <t>Q9Y3X0</t>
    <phoneticPr fontId="5" type="noConversion"/>
  </si>
  <si>
    <t>GSPGEQPrGGGAGGR;RGGGAGGrGRRGRGR;GGAGGRGrRGRGRGS</t>
  </si>
  <si>
    <t>SWEGSPGEQPR*GGGAGGR*GR*</t>
  </si>
  <si>
    <t>CDC42EP5</t>
  </si>
  <si>
    <t>CEP5</t>
  </si>
  <si>
    <t>Cdc42 effector protein 5</t>
  </si>
  <si>
    <t>Q6NZY7</t>
    <phoneticPr fontId="5" type="noConversion"/>
  </si>
  <si>
    <t>RHTLHVGrGGDAFGD</t>
  </si>
  <si>
    <t>HTLHVGR*GGDAFGDTSFLSR</t>
  </si>
  <si>
    <t>VGR*GGDAFGDTSFLSR</t>
  </si>
  <si>
    <t>CLASRP</t>
    <phoneticPr fontId="5" type="noConversion"/>
  </si>
  <si>
    <t>CLK4-associating serine/arginine rich protein</t>
  </si>
  <si>
    <t>Q8N2M8</t>
    <phoneticPr fontId="5" type="noConversion"/>
  </si>
  <si>
    <t>YSRSPARrGGYGPRR</t>
  </si>
  <si>
    <t>R*GGYGPR</t>
  </si>
  <si>
    <t>CNOT11</t>
  </si>
  <si>
    <t>CCR4-NOT transcription complex subunit 11</t>
  </si>
  <si>
    <t>Q9UKZ1</t>
    <phoneticPr fontId="5" type="noConversion"/>
  </si>
  <si>
    <t>FGGSGGGrGGASGPG</t>
  </si>
  <si>
    <t>SGFGGSGGGR*GGASGPGSGSGGPGGPAGR</t>
  </si>
  <si>
    <t>DYNC1LI2</t>
    <phoneticPr fontId="5" type="noConversion"/>
  </si>
  <si>
    <t>LIC2</t>
    <phoneticPr fontId="5" type="noConversion"/>
  </si>
  <si>
    <t>Cytoplasmic dynein 1 light intermediate chain 2</t>
  </si>
  <si>
    <t>O43237</t>
    <phoneticPr fontId="5" type="noConversion"/>
  </si>
  <si>
    <t>GSPRTQGrGGPASVP</t>
  </si>
  <si>
    <t>TQGR*GGPASVPSSSPGT</t>
  </si>
  <si>
    <t>TQGR*GGPASVPSSSPGTS</t>
  </si>
  <si>
    <t>TQGR*GGPASVPSSSPGTSV</t>
  </si>
  <si>
    <t>TQGR*GGPASVPSSSPGTSVK</t>
  </si>
  <si>
    <t>EP400NL</t>
    <phoneticPr fontId="5" type="noConversion"/>
  </si>
  <si>
    <t>E400N</t>
    <phoneticPr fontId="5" type="noConversion"/>
  </si>
  <si>
    <t>EP400 N-terminal-like protein</t>
  </si>
  <si>
    <t>Q6ZTU2</t>
    <phoneticPr fontId="5" type="noConversion"/>
  </si>
  <si>
    <t>QFSAQPRrFEHGSPS</t>
  </si>
  <si>
    <t>RFEHGSPSYIQVTSPLSQQVQTQSPTQPSPGPGQALQNVR*</t>
  </si>
  <si>
    <t>FAM135B</t>
    <phoneticPr fontId="5" type="noConversion"/>
  </si>
  <si>
    <t>F135B</t>
    <phoneticPr fontId="5" type="noConversion"/>
  </si>
  <si>
    <t>Protein FAM135B</t>
  </si>
  <si>
    <t>Q49AJ0</t>
    <phoneticPr fontId="5" type="noConversion"/>
  </si>
  <si>
    <t>LDEEVSErMFSFYQA</t>
  </si>
  <si>
    <t>VSER*MFSFYQAKEKFK</t>
  </si>
  <si>
    <t>Q9BUT9</t>
    <phoneticPr fontId="5" type="noConversion"/>
  </si>
  <si>
    <t>AQPFAQPPGPWPLSSPGPR*</t>
  </si>
  <si>
    <t>FAM21A</t>
    <phoneticPr fontId="5" type="noConversion"/>
  </si>
  <si>
    <t>FA21B</t>
    <phoneticPr fontId="5" type="noConversion"/>
  </si>
  <si>
    <t>WASH complex subunit FAM21A</t>
  </si>
  <si>
    <t>Q641Q2</t>
    <phoneticPr fontId="5" type="noConversion"/>
  </si>
  <si>
    <t>GPVPGVDrSPFAKSL</t>
  </si>
  <si>
    <t>LAAAAAPWEGGPVPGVDR*</t>
  </si>
  <si>
    <t>FNIP2</t>
    <phoneticPr fontId="5" type="noConversion"/>
  </si>
  <si>
    <t>Folliculin-interacting protein 2</t>
  </si>
  <si>
    <t>Q9P278</t>
    <phoneticPr fontId="5" type="noConversion"/>
  </si>
  <si>
    <t>EYVVLTVrNEPALVP</t>
  </si>
  <si>
    <t>EKGEVEESEYVVITVR*</t>
  </si>
  <si>
    <t>GAGE10</t>
  </si>
  <si>
    <t>G antigen 10</t>
  </si>
  <si>
    <t>A6NGK3</t>
    <phoneticPr fontId="5" type="noConversion"/>
  </si>
  <si>
    <t>PNPEEVKrPEEGEKQ</t>
  </si>
  <si>
    <t>DGQEMGLPNPEEVKR*PEEGEK</t>
  </si>
  <si>
    <t>HNRNPDL</t>
    <phoneticPr fontId="5" type="noConversion"/>
  </si>
  <si>
    <t>Heterogeneous nuclear ribonucleoprotein D-like</t>
  </si>
  <si>
    <t>O14979</t>
    <phoneticPr fontId="5" type="noConversion"/>
  </si>
  <si>
    <t>STYGKASrGGGNHQN</t>
  </si>
  <si>
    <t>ASR*GGGNHQNNYQPY</t>
  </si>
  <si>
    <t>KHDRBS3</t>
    <phoneticPr fontId="5" type="noConversion"/>
  </si>
  <si>
    <t>SALP</t>
    <phoneticPr fontId="5" type="noConversion"/>
  </si>
  <si>
    <t>O75525</t>
    <phoneticPr fontId="5" type="noConversion"/>
  </si>
  <si>
    <t>NADVPVVrGKPTLRT</t>
  </si>
  <si>
    <t>QAQLQELTYLNGGSENADVPVVR*</t>
  </si>
  <si>
    <t>KLHL13</t>
    <phoneticPr fontId="5" type="noConversion"/>
  </si>
  <si>
    <t>KLH13</t>
    <phoneticPr fontId="5" type="noConversion"/>
  </si>
  <si>
    <t>Kelch-like protein 13</t>
  </si>
  <si>
    <t>Q9P2N7</t>
    <phoneticPr fontId="5" type="noConversion"/>
  </si>
  <si>
    <t>YLYAVGGrNAAGELP</t>
  </si>
  <si>
    <t>YLYAVGGR*NAAGELPTVECYNPR</t>
  </si>
  <si>
    <t>LENG1</t>
  </si>
  <si>
    <t>Leukocyte receptor cluster member 1</t>
  </si>
  <si>
    <t>Q96BZ8</t>
    <phoneticPr fontId="5" type="noConversion"/>
  </si>
  <si>
    <t>WYQLPPGrGGPPPGP</t>
  </si>
  <si>
    <t>ALGILTYLGQSAAEAQTQPPWYQLPPGR*GGPPPGPAPDEK</t>
  </si>
  <si>
    <t>MSI2</t>
  </si>
  <si>
    <t>RNA-binding protein Musashi homolog 2</t>
  </si>
  <si>
    <t>Q96DH6</t>
    <phoneticPr fontId="5" type="noConversion"/>
  </si>
  <si>
    <t>AAAVAAArGSGSNPA</t>
  </si>
  <si>
    <t>GYPGFAPSYGYQFPGFPAAAYGPVAAAAVAAAR*</t>
  </si>
  <si>
    <t>QFPGFPAAAYGPVAAAAVAAAR*</t>
  </si>
  <si>
    <t>228, 261</t>
  </si>
  <si>
    <t>NFVATYGrGYPGFAP;AAAVAAArGSGSNPA</t>
  </si>
  <si>
    <t>ATYGR*GYPGFAPSYGYQFPGFPAAAYGPVAAAAVAAAR*</t>
  </si>
  <si>
    <t>GR*GYPGFAPSYGYQFPGFPAAAYGPVAAAAVAAAR*</t>
  </si>
  <si>
    <t>MSI2</t>
    <phoneticPr fontId="5" type="noConversion"/>
  </si>
  <si>
    <t>VMFPPGTrGRARGLP</t>
  </si>
  <si>
    <t>EVM#FPPGTR*</t>
  </si>
  <si>
    <t>NGFRAP1</t>
    <phoneticPr fontId="5" type="noConversion"/>
  </si>
  <si>
    <t>Protein BEX3</t>
  </si>
  <si>
    <t>Q00994</t>
    <phoneticPr fontId="5" type="noConversion"/>
  </si>
  <si>
    <t>FRWALPNrQLNDGMG</t>
  </si>
  <si>
    <t>PNR*QINDGMGGDGDDMEIFMEEM#R</t>
  </si>
  <si>
    <t>POTEM</t>
  </si>
  <si>
    <t>ACT</t>
  </si>
  <si>
    <t>Putative POTE ankyrin domain family member M</t>
  </si>
  <si>
    <t>A6NI47</t>
    <phoneticPr fontId="5" type="noConversion"/>
  </si>
  <si>
    <t>NALDRYGrTVLLLAV</t>
  </si>
  <si>
    <t>YGR*TVLIL</t>
  </si>
  <si>
    <t>PRRC2A</t>
    <phoneticPr fontId="5" type="noConversion"/>
  </si>
  <si>
    <t>P48634</t>
    <phoneticPr fontId="5" type="noConversion"/>
  </si>
  <si>
    <t>DPRLLQGrPPLDFYP</t>
  </si>
  <si>
    <t>LLQGR*PPLDFYPPGVHPSGLVPR</t>
  </si>
  <si>
    <t>PRRC2C</t>
    <phoneticPr fontId="5" type="noConversion"/>
  </si>
  <si>
    <t>279, 281</t>
    <phoneticPr fontId="5" type="noConversion"/>
  </si>
  <si>
    <t>Q9Y520</t>
    <phoneticPr fontId="5" type="noConversion"/>
  </si>
  <si>
    <t>SETNKGLrGRGPPPS;TNKGLRGrGPPPSWA</t>
  </si>
  <si>
    <t>GLR*GR*GPPPSWASEPERPSILSASELK</t>
  </si>
  <si>
    <t>8;4</t>
  </si>
  <si>
    <t>PSMF1</t>
  </si>
  <si>
    <t>PI31</t>
  </si>
  <si>
    <t>Proteasome inhibitor PI31 subunit</t>
  </si>
  <si>
    <t>Q92530</t>
    <phoneticPr fontId="5" type="noConversion"/>
  </si>
  <si>
    <t>PSSGLPNrLPPGAVP</t>
  </si>
  <si>
    <t>ALIDPSSGLPNR*LPPGAVPPGAR</t>
  </si>
  <si>
    <t>QKI</t>
    <phoneticPr fontId="5" type="noConversion"/>
  </si>
  <si>
    <t>HKQ</t>
    <phoneticPr fontId="5" type="noConversion"/>
  </si>
  <si>
    <t>Protein quaking</t>
  </si>
  <si>
    <t>Q96PU8</t>
    <phoneticPr fontId="5" type="noConversion"/>
  </si>
  <si>
    <t>PTLMPLLrQLQTAVM</t>
  </si>
  <si>
    <t>TPTPAGPTIM#PLIR*</t>
  </si>
  <si>
    <t>A0AV96</t>
    <phoneticPr fontId="5" type="noConversion"/>
  </si>
  <si>
    <t>LGGYSAGrGLYSRYH</t>
  </si>
  <si>
    <t>GSYLGGYSAGR*</t>
  </si>
  <si>
    <t>GSYLGGYSAGR*GI</t>
  </si>
  <si>
    <t>GSYLGGYSAGR*GIY</t>
  </si>
  <si>
    <t>GSYLGGYSAGR*GIYSR</t>
  </si>
  <si>
    <t>GPR*GSYLGGYSAGR*</t>
  </si>
  <si>
    <t>RBM47</t>
    <phoneticPr fontId="5" type="noConversion"/>
  </si>
  <si>
    <t>SRYQKAArGGGAAEA</t>
  </si>
  <si>
    <t>AAR*GGGAAEAAQQPSYVYSCDPY</t>
  </si>
  <si>
    <t>AAR*GGGAAEAAQQPSYVYSCDPYTLA</t>
  </si>
  <si>
    <t>AAR*GGGAAEAAQQPSYVYSCDPYTLAYYGYPYNALIGPNR</t>
  </si>
  <si>
    <t>SGOL2</t>
    <phoneticPr fontId="5" type="noConversion"/>
  </si>
  <si>
    <t>Shugoshin-like 2</t>
  </si>
  <si>
    <t>Q562F6</t>
    <phoneticPr fontId="5" type="noConversion"/>
  </si>
  <si>
    <t>NENQCDYrTQNVLGL</t>
  </si>
  <si>
    <t>DNENQCDYR*</t>
  </si>
  <si>
    <t>SRSF1</t>
    <phoneticPr fontId="5" type="noConversion"/>
  </si>
  <si>
    <t>93, 97</t>
    <phoneticPr fontId="5" type="noConversion"/>
  </si>
  <si>
    <t>Serine/arginine-rich splicing factor 1</t>
  </si>
  <si>
    <t>Q07955</t>
    <phoneticPr fontId="5" type="noConversion"/>
  </si>
  <si>
    <t>VEFPRSGrGTGRGGG;RSGRGTGrGGGGGGG</t>
  </si>
  <si>
    <t>SGR*GTGR*GGGGGGGGGAPR</t>
  </si>
  <si>
    <r>
      <t>97, 10</t>
    </r>
    <r>
      <rPr>
        <sz val="12"/>
        <color rgb="FF000000"/>
        <rFont val="Verdana"/>
        <family val="2"/>
      </rPr>
      <t>9</t>
    </r>
  </si>
  <si>
    <t>RSGRGTGrGGGGGGG;GGGGGAPrGRYGPPS</t>
  </si>
  <si>
    <t>GTGR*GGGGGGGGGAPR*</t>
  </si>
  <si>
    <t>RSGRGTGrGGGGGGG</t>
  </si>
  <si>
    <t>GTGR*GGGGGGGGGAPR</t>
  </si>
  <si>
    <t>TCEAL3</t>
    <phoneticPr fontId="5" type="noConversion"/>
  </si>
  <si>
    <t>TCAL6</t>
    <phoneticPr fontId="5" type="noConversion"/>
  </si>
  <si>
    <t>Transcription elongation factor A protein-like 3</t>
  </si>
  <si>
    <t>Q969E4</t>
    <phoneticPr fontId="5" type="noConversion"/>
  </si>
  <si>
    <t>VQDPFAPrGQRGVRG</t>
  </si>
  <si>
    <t>DVQDPFAPR*</t>
  </si>
  <si>
    <t>VPS13C</t>
    <phoneticPr fontId="5" type="noConversion"/>
  </si>
  <si>
    <t>VP13C</t>
    <phoneticPr fontId="5" type="noConversion"/>
  </si>
  <si>
    <t>Vacuolar protein sorting-associated protein 13C</t>
  </si>
  <si>
    <t>Q709C8</t>
    <phoneticPr fontId="5" type="noConversion"/>
  </si>
  <si>
    <t>DFGDSLArGGKGFLR</t>
  </si>
  <si>
    <t>DFGDSLAR*GGK</t>
  </si>
  <si>
    <t>3607, 3611</t>
    <phoneticPr fontId="5" type="noConversion"/>
  </si>
  <si>
    <t>LHEDGLLrPYDRQES;GLLRPYDrQESEGSD</t>
  </si>
  <si>
    <t>IHEDGIIR*PYDR*</t>
  </si>
  <si>
    <t>RGGKGFLrGVVGGVT</t>
  </si>
  <si>
    <t>GFLR*GVVGGVTGIITKPVEGAK</t>
  </si>
  <si>
    <t>YBX3</t>
    <phoneticPr fontId="5" type="noConversion"/>
  </si>
  <si>
    <t>Y-box-binding protein 3</t>
  </si>
  <si>
    <t>P16989</t>
    <phoneticPr fontId="5" type="noConversion"/>
  </si>
  <si>
    <t>GPNQPSVrRGYRRPY</t>
  </si>
  <si>
    <t>PAPAVGEAEDKENQQATSGPNQPSVR*</t>
  </si>
  <si>
    <t>Vesicle protein</t>
  </si>
  <si>
    <t>SNX3</t>
    <phoneticPr fontId="5" type="noConversion"/>
  </si>
  <si>
    <t>Sorting nexin-3</t>
  </si>
  <si>
    <t>O60493</t>
    <phoneticPr fontId="5" type="noConversion"/>
  </si>
  <si>
    <t>PQTVGVGrGRFTTYE</t>
  </si>
  <si>
    <t>LITKPQNLNDAYGPPSNFLEIDVSNPQTVGVGR*</t>
  </si>
  <si>
    <t>LITKPQNLNDAYGPPSNFLEIDVSNPQTVGVGRGR*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</si>
</sst>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rgb="FF000000"/>
      <name val="Verdana"/>
    </font>
    <font>
      <sz val="11"/>
      <color theme="1"/>
      <name val="Calibri"/>
      <family val="2"/>
      <scheme val="minor"/>
    </font>
    <font>
      <u/>
      <sz val="12"/>
      <color theme="11"/>
      <name val="Verdana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sz val="8"/>
      <name val="Calibri"/>
      <family val="2"/>
      <charset val="129"/>
      <scheme val="minor"/>
    </font>
    <font>
      <sz val="12"/>
      <color rgb="FF0000FF"/>
      <name val="Verdana"/>
      <family val="2"/>
    </font>
    <font>
      <sz val="12"/>
      <color theme="1"/>
      <name val="Verdana"/>
      <family val="2"/>
    </font>
    <font>
      <u/>
      <sz val="12"/>
      <color theme="10"/>
      <name val="Verdana"/>
    </font>
    <font>
      <sz val="12"/>
      <name val="verda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5" fillId="0" borderId="0" xfId="0" applyFont="1" applyFill="1"/>
    <xf numFmtId="2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2" fontId="6" fillId="2" borderId="2" xfId="0" applyNumberFormat="1" applyFont="1" applyFill="1" applyBorder="1" applyAlignment="1"/>
    <xf numFmtId="2" fontId="6" fillId="2" borderId="3" xfId="0" applyNumberFormat="1" applyFont="1" applyFill="1" applyBorder="1" applyAlignment="1"/>
    <xf numFmtId="2" fontId="6" fillId="0" borderId="2" xfId="0" applyNumberFormat="1" applyFont="1" applyFill="1" applyBorder="1" applyAlignment="1"/>
    <xf numFmtId="2" fontId="6" fillId="0" borderId="3" xfId="0" applyNumberFormat="1" applyFont="1" applyFill="1" applyBorder="1" applyAlignment="1"/>
    <xf numFmtId="0" fontId="6" fillId="2" borderId="1" xfId="0" applyFont="1" applyFill="1" applyBorder="1" applyAlignment="1"/>
  </cellXfs>
  <cellStyles count="7">
    <cellStyle name="Comma 2" xfId="2" xr:uid="{00000000-0005-0000-0000-000000000000}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  <cellStyle name="Normal 2" xfId="1" xr:uid="{00000000-0005-0000-0000-000001000000}"/>
    <cellStyle name="Normal 2 2" xfId="6" xr:uid="{00000000-0005-0000-0000-000002000000}"/>
  </cellStyles>
  <dxfs count="3"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phosphosite.org/proteinAction.do?id=1461&amp;showAllSites=true" TargetMode="External"/><Relationship Id="rId1827" Type="http://schemas.openxmlformats.org/officeDocument/2006/relationships/hyperlink" Target="http://www.phosphosite.org/proteinAction.do?id=3649&amp;showAllSites=true" TargetMode="External"/><Relationship Id="rId21" Type="http://schemas.openxmlformats.org/officeDocument/2006/relationships/hyperlink" Target="http://www.cellsignal.com/products/4529.html" TargetMode="External"/><Relationship Id="rId170" Type="http://schemas.openxmlformats.org/officeDocument/2006/relationships/hyperlink" Target="http://www.phosphosite.org/proteinAction.do?id=4544&amp;showAllSites=true" TargetMode="External"/><Relationship Id="rId268" Type="http://schemas.openxmlformats.org/officeDocument/2006/relationships/hyperlink" Target="http://www.cellsignal.com/products/4548.html" TargetMode="External"/><Relationship Id="rId475" Type="http://schemas.openxmlformats.org/officeDocument/2006/relationships/hyperlink" Target="http://www.phosphosite.org/proteinAction.do?id=1461&amp;showAllSites=true" TargetMode="External"/><Relationship Id="rId682" Type="http://schemas.openxmlformats.org/officeDocument/2006/relationships/hyperlink" Target="http://www.phosphosite.org/proteinAction.do?id=5812&amp;showAllSites=true" TargetMode="External"/><Relationship Id="rId128" Type="http://schemas.openxmlformats.org/officeDocument/2006/relationships/hyperlink" Target="http://www.cellsignal.com/products/4885.html" TargetMode="External"/><Relationship Id="rId335" Type="http://schemas.openxmlformats.org/officeDocument/2006/relationships/hyperlink" Target="http://www.cellsignal.com/products/4558.html" TargetMode="External"/><Relationship Id="rId542" Type="http://schemas.openxmlformats.org/officeDocument/2006/relationships/hyperlink" Target="http://www.cellsignal.com/products/8490.html" TargetMode="External"/><Relationship Id="rId987" Type="http://schemas.openxmlformats.org/officeDocument/2006/relationships/hyperlink" Target="http://www.cellsignal.com/products/3449.html" TargetMode="External"/><Relationship Id="rId1172" Type="http://schemas.openxmlformats.org/officeDocument/2006/relationships/hyperlink" Target="http://www.phosphosite.org/proteinAction.do?id=3701941&amp;showAllSites=true" TargetMode="External"/><Relationship Id="rId402" Type="http://schemas.openxmlformats.org/officeDocument/2006/relationships/hyperlink" Target="http://www.phosphosite.org/proteinAction.do?id=1461&amp;showAllSites=true" TargetMode="External"/><Relationship Id="rId847" Type="http://schemas.openxmlformats.org/officeDocument/2006/relationships/hyperlink" Target="http://www.phosphosite.org/proteinAction.do?id=3701941&amp;showAllSites=true" TargetMode="External"/><Relationship Id="rId1032" Type="http://schemas.openxmlformats.org/officeDocument/2006/relationships/hyperlink" Target="http://www.cellsignal.com/products/4558.html" TargetMode="External"/><Relationship Id="rId1477" Type="http://schemas.openxmlformats.org/officeDocument/2006/relationships/hyperlink" Target="http://www.phosphosite.org/proteinAction.do?id=1461&amp;showAllSites=true" TargetMode="External"/><Relationship Id="rId1684" Type="http://schemas.openxmlformats.org/officeDocument/2006/relationships/hyperlink" Target="http://www.phosphosite.org/proteinAction.do?id=5812&amp;showAllSites=true" TargetMode="External"/><Relationship Id="rId707" Type="http://schemas.openxmlformats.org/officeDocument/2006/relationships/hyperlink" Target="http://www.phosphosite.org/proteinAction.do?id=5812&amp;showAllSites=true" TargetMode="External"/><Relationship Id="rId914" Type="http://schemas.openxmlformats.org/officeDocument/2006/relationships/hyperlink" Target="http://www.cellsignal.com/products/5398.html" TargetMode="External"/><Relationship Id="rId1337" Type="http://schemas.openxmlformats.org/officeDocument/2006/relationships/hyperlink" Target="http://www.phosphosite.org/proteinAction.do?id=11778&amp;showAllSites=true" TargetMode="External"/><Relationship Id="rId1544" Type="http://schemas.openxmlformats.org/officeDocument/2006/relationships/hyperlink" Target="http://www.phosphosite.org/proteinAction.do?id=1461&amp;showAllSites=true" TargetMode="External"/><Relationship Id="rId1751" Type="http://schemas.openxmlformats.org/officeDocument/2006/relationships/hyperlink" Target="http://www.phosphosite.org/proteinAction.do?id=5812&amp;showAllSites=true" TargetMode="External"/><Relationship Id="rId43" Type="http://schemas.openxmlformats.org/officeDocument/2006/relationships/hyperlink" Target="http://www.cellsignal.com/products/4546.html" TargetMode="External"/><Relationship Id="rId1404" Type="http://schemas.openxmlformats.org/officeDocument/2006/relationships/hyperlink" Target="http://www.phosphosite.org/proteinAction.do?id=3701941&amp;showAllSites=true" TargetMode="External"/><Relationship Id="rId1611" Type="http://schemas.openxmlformats.org/officeDocument/2006/relationships/hyperlink" Target="http://www.phosphosite.org/proteinAction.do?id=1461&amp;showAllSites=true" TargetMode="External"/><Relationship Id="rId1849" Type="http://schemas.openxmlformats.org/officeDocument/2006/relationships/hyperlink" Target="http://www.cellsignal.com/products/4937.html" TargetMode="External"/><Relationship Id="rId192" Type="http://schemas.openxmlformats.org/officeDocument/2006/relationships/hyperlink" Target="http://www.phosphosite.org/proteinAction.do?id=1066&amp;showAllSites=true" TargetMode="External"/><Relationship Id="rId1709" Type="http://schemas.openxmlformats.org/officeDocument/2006/relationships/hyperlink" Target="http://www.phosphosite.org/proteinAction.do?id=5812&amp;showAllSites=true" TargetMode="External"/><Relationship Id="rId497" Type="http://schemas.openxmlformats.org/officeDocument/2006/relationships/hyperlink" Target="http://www.phosphosite.org/proteinAction.do?id=1461&amp;showAllSites=true" TargetMode="External"/><Relationship Id="rId357" Type="http://schemas.openxmlformats.org/officeDocument/2006/relationships/hyperlink" Target="http://www.phosphosite.org/proteinAction.do?id=3722&amp;showAllSites=true" TargetMode="External"/><Relationship Id="rId1194" Type="http://schemas.openxmlformats.org/officeDocument/2006/relationships/hyperlink" Target="http://www.phosphosite.org/proteinAction.do?id=3130&amp;showAllSites=true" TargetMode="External"/><Relationship Id="rId217" Type="http://schemas.openxmlformats.org/officeDocument/2006/relationships/hyperlink" Target="http://www.phosphosite.org/proteinAction.do?id=3565260&amp;showAllSites=true" TargetMode="External"/><Relationship Id="rId564" Type="http://schemas.openxmlformats.org/officeDocument/2006/relationships/hyperlink" Target="http://www.phosphosite.org/proteinAction.do?id=10756&amp;showAllSites=true" TargetMode="External"/><Relationship Id="rId771" Type="http://schemas.openxmlformats.org/officeDocument/2006/relationships/hyperlink" Target="http://www.phosphosite.org/proteinAction.do?id=5362100&amp;showAllSites=true" TargetMode="External"/><Relationship Id="rId869" Type="http://schemas.openxmlformats.org/officeDocument/2006/relationships/hyperlink" Target="http://www.phosphosite.org/proteinAction.do?id=3701941&amp;showAllSites=true" TargetMode="External"/><Relationship Id="rId1499" Type="http://schemas.openxmlformats.org/officeDocument/2006/relationships/hyperlink" Target="http://www.phosphosite.org/proteinAction.do?id=1461&amp;showAllSites=true" TargetMode="External"/><Relationship Id="rId424" Type="http://schemas.openxmlformats.org/officeDocument/2006/relationships/hyperlink" Target="http://www.phosphosite.org/proteinAction.do?id=1461&amp;showAllSites=true" TargetMode="External"/><Relationship Id="rId631" Type="http://schemas.openxmlformats.org/officeDocument/2006/relationships/hyperlink" Target="http://www.cellsignal.com/products/8443.html" TargetMode="External"/><Relationship Id="rId729" Type="http://schemas.openxmlformats.org/officeDocument/2006/relationships/hyperlink" Target="http://www.phosphosite.org/proteinAction.do?id=5812&amp;showAllSites=true" TargetMode="External"/><Relationship Id="rId1054" Type="http://schemas.openxmlformats.org/officeDocument/2006/relationships/hyperlink" Target="http://www.phosphosite.org/proteinAction.do?id=1461&amp;showAllSites=true" TargetMode="External"/><Relationship Id="rId1261" Type="http://schemas.openxmlformats.org/officeDocument/2006/relationships/hyperlink" Target="http://www.phosphosite.org/proteinAction.do?id=944&amp;showAllSites=true" TargetMode="External"/><Relationship Id="rId1359" Type="http://schemas.openxmlformats.org/officeDocument/2006/relationships/hyperlink" Target="http://www.phosphosite.org/proteinAction.do?id=14151000&amp;showAllSites=true" TargetMode="External"/><Relationship Id="rId936" Type="http://schemas.openxmlformats.org/officeDocument/2006/relationships/hyperlink" Target="http://www.phosphosite.org/proteinAction.do?id=9462&amp;showAllSites=true" TargetMode="External"/><Relationship Id="rId1121" Type="http://schemas.openxmlformats.org/officeDocument/2006/relationships/hyperlink" Target="http://www.phosphosite.org/proteinAction.do?id=5812&amp;showAllSites=true" TargetMode="External"/><Relationship Id="rId1219" Type="http://schemas.openxmlformats.org/officeDocument/2006/relationships/hyperlink" Target="http://www.phosphosite.org/proteinAction.do?id=944&amp;showAllSites=true" TargetMode="External"/><Relationship Id="rId1566" Type="http://schemas.openxmlformats.org/officeDocument/2006/relationships/hyperlink" Target="http://www.phosphosite.org/proteinAction.do?id=1461&amp;showAllSites=true" TargetMode="External"/><Relationship Id="rId1773" Type="http://schemas.openxmlformats.org/officeDocument/2006/relationships/hyperlink" Target="http://www.phosphosite.org/proteinAction.do?id=5812&amp;showAllSites=true" TargetMode="External"/><Relationship Id="rId65" Type="http://schemas.openxmlformats.org/officeDocument/2006/relationships/hyperlink" Target="http://www.cellsignal.com/products/6505.html" TargetMode="External"/><Relationship Id="rId1426" Type="http://schemas.openxmlformats.org/officeDocument/2006/relationships/hyperlink" Target="http://www.phosphosite.org/proteinAction.do?id=1461&amp;showAllSites=true" TargetMode="External"/><Relationship Id="rId1633" Type="http://schemas.openxmlformats.org/officeDocument/2006/relationships/hyperlink" Target="http://www.phosphosite.org/proteinAction.do?id=22920001&amp;showAllSites=true" TargetMode="External"/><Relationship Id="rId1840" Type="http://schemas.openxmlformats.org/officeDocument/2006/relationships/hyperlink" Target="http://www.cellsignal.com/products/8627.html" TargetMode="External"/><Relationship Id="rId1700" Type="http://schemas.openxmlformats.org/officeDocument/2006/relationships/hyperlink" Target="http://www.phosphosite.org/proteinAction.do?id=5812&amp;showAllSites=true" TargetMode="External"/><Relationship Id="rId281" Type="http://schemas.openxmlformats.org/officeDocument/2006/relationships/hyperlink" Target="http://www.cellsignal.com/products/4548.html" TargetMode="External"/><Relationship Id="rId141" Type="http://schemas.openxmlformats.org/officeDocument/2006/relationships/hyperlink" Target="http://www.phosphosite.org/proteinAction.do?id=5758&amp;showAllSites=true" TargetMode="External"/><Relationship Id="rId379" Type="http://schemas.openxmlformats.org/officeDocument/2006/relationships/hyperlink" Target="http://www.phosphosite.org/proteinAction.do?id=3722&amp;showAllSites=true" TargetMode="External"/><Relationship Id="rId586" Type="http://schemas.openxmlformats.org/officeDocument/2006/relationships/hyperlink" Target="http://www.phosphosite.org/proteinAction.do?id=12358&amp;showAllSites=true" TargetMode="External"/><Relationship Id="rId793" Type="http://schemas.openxmlformats.org/officeDocument/2006/relationships/hyperlink" Target="http://www.phosphosite.org/proteinAction.do?id=4147&amp;showAllSites=true" TargetMode="External"/><Relationship Id="rId7" Type="http://schemas.openxmlformats.org/officeDocument/2006/relationships/hyperlink" Target="http://www.cellsignal.com/products/4529.html" TargetMode="External"/><Relationship Id="rId239" Type="http://schemas.openxmlformats.org/officeDocument/2006/relationships/hyperlink" Target="http://www.cellsignal.com/products/8444.html" TargetMode="External"/><Relationship Id="rId446" Type="http://schemas.openxmlformats.org/officeDocument/2006/relationships/hyperlink" Target="http://www.phosphosite.org/proteinAction.do?id=1461&amp;showAllSites=true" TargetMode="External"/><Relationship Id="rId653" Type="http://schemas.openxmlformats.org/officeDocument/2006/relationships/hyperlink" Target="http://www.phosphosite.org/proteinAction.do?id=5812&amp;showAllSites=true" TargetMode="External"/><Relationship Id="rId1076" Type="http://schemas.openxmlformats.org/officeDocument/2006/relationships/hyperlink" Target="http://www.phosphosite.org/proteinAction.do?id=26357900&amp;showAllSites=true" TargetMode="External"/><Relationship Id="rId1283" Type="http://schemas.openxmlformats.org/officeDocument/2006/relationships/hyperlink" Target="http://www.phosphosite.org/proteinAction.do?id=944&amp;showAllSites=true" TargetMode="External"/><Relationship Id="rId1490" Type="http://schemas.openxmlformats.org/officeDocument/2006/relationships/hyperlink" Target="http://www.phosphosite.org/proteinAction.do?id=1461&amp;showAllSites=true" TargetMode="External"/><Relationship Id="rId306" Type="http://schemas.openxmlformats.org/officeDocument/2006/relationships/hyperlink" Target="http://www.cellsignal.com/products/4548.html" TargetMode="External"/><Relationship Id="rId860" Type="http://schemas.openxmlformats.org/officeDocument/2006/relationships/hyperlink" Target="http://www.phosphosite.org/proteinAction.do?id=3701941&amp;showAllSites=true" TargetMode="External"/><Relationship Id="rId958" Type="http://schemas.openxmlformats.org/officeDocument/2006/relationships/hyperlink" Target="http://www.phosphosite.org/proteinAction.do?id=5895&amp;showAllSites=true" TargetMode="External"/><Relationship Id="rId1143" Type="http://schemas.openxmlformats.org/officeDocument/2006/relationships/hyperlink" Target="http://www.phosphosite.org/proteinAction.do?id=5812&amp;showAllSites=true" TargetMode="External"/><Relationship Id="rId1588" Type="http://schemas.openxmlformats.org/officeDocument/2006/relationships/hyperlink" Target="http://www.phosphosite.org/proteinAction.do?id=1461&amp;showAllSites=true" TargetMode="External"/><Relationship Id="rId1795" Type="http://schemas.openxmlformats.org/officeDocument/2006/relationships/hyperlink" Target="http://www.phosphosite.org/proteinAction.do?id=5812&amp;showAllSites=true" TargetMode="External"/><Relationship Id="rId87" Type="http://schemas.openxmlformats.org/officeDocument/2006/relationships/hyperlink" Target="http://www.cellsignal.com/products/4885.html" TargetMode="External"/><Relationship Id="rId513" Type="http://schemas.openxmlformats.org/officeDocument/2006/relationships/hyperlink" Target="http://www.cellsignal.com/products/9856.html" TargetMode="External"/><Relationship Id="rId720" Type="http://schemas.openxmlformats.org/officeDocument/2006/relationships/hyperlink" Target="http://www.phosphosite.org/proteinAction.do?id=5812&amp;showAllSites=true" TargetMode="External"/><Relationship Id="rId818" Type="http://schemas.openxmlformats.org/officeDocument/2006/relationships/hyperlink" Target="http://www.phosphosite.org/proteinAction.do?id=3701941&amp;showAllSites=true" TargetMode="External"/><Relationship Id="rId1350" Type="http://schemas.openxmlformats.org/officeDocument/2006/relationships/hyperlink" Target="http://www.phosphosite.org/proteinAction.do?id=17074&amp;showAllSites=true" TargetMode="External"/><Relationship Id="rId1448" Type="http://schemas.openxmlformats.org/officeDocument/2006/relationships/hyperlink" Target="http://www.phosphosite.org/proteinAction.do?id=1461&amp;showAllSites=true" TargetMode="External"/><Relationship Id="rId1655" Type="http://schemas.openxmlformats.org/officeDocument/2006/relationships/hyperlink" Target="http://www.phosphosite.org/proteinAction.do?id=2612&amp;showAllSites=true" TargetMode="External"/><Relationship Id="rId1003" Type="http://schemas.openxmlformats.org/officeDocument/2006/relationships/hyperlink" Target="http://www.phosphosite.org/proteinAction.do?id=5019088&amp;showAllSites=true" TargetMode="External"/><Relationship Id="rId1210" Type="http://schemas.openxmlformats.org/officeDocument/2006/relationships/hyperlink" Target="http://www.phosphosite.org/proteinAction.do?id=944&amp;showAllSites=true" TargetMode="External"/><Relationship Id="rId1308" Type="http://schemas.openxmlformats.org/officeDocument/2006/relationships/hyperlink" Target="http://www.phosphosite.org/proteinAction.do?id=1461&amp;showAllSites=true" TargetMode="External"/><Relationship Id="rId1862" Type="http://schemas.openxmlformats.org/officeDocument/2006/relationships/hyperlink" Target="http://www.phosphosite.org/proteinAction.do?id=1461&amp;showAllSites=true" TargetMode="External"/><Relationship Id="rId1515" Type="http://schemas.openxmlformats.org/officeDocument/2006/relationships/hyperlink" Target="http://www.phosphosite.org/proteinAction.do?id=1461&amp;showAllSites=true" TargetMode="External"/><Relationship Id="rId1722" Type="http://schemas.openxmlformats.org/officeDocument/2006/relationships/hyperlink" Target="http://www.phosphosite.org/proteinAction.do?id=5812&amp;showAllSites=true" TargetMode="External"/><Relationship Id="rId14" Type="http://schemas.openxmlformats.org/officeDocument/2006/relationships/hyperlink" Target="http://www.cellsignal.com/products/5765.html" TargetMode="External"/><Relationship Id="rId163" Type="http://schemas.openxmlformats.org/officeDocument/2006/relationships/hyperlink" Target="http://www.phosphosite.org/proteinAction.do?id=2711&amp;showAllSites=true" TargetMode="External"/><Relationship Id="rId370" Type="http://schemas.openxmlformats.org/officeDocument/2006/relationships/hyperlink" Target="http://www.cellsignal.com/products/4558.html" TargetMode="External"/><Relationship Id="rId230" Type="http://schemas.openxmlformats.org/officeDocument/2006/relationships/hyperlink" Target="http://www.phosphosite.org/proteinAction.do?id=4627&amp;showAllSites=true" TargetMode="External"/><Relationship Id="rId468" Type="http://schemas.openxmlformats.org/officeDocument/2006/relationships/hyperlink" Target="http://www.phosphosite.org/proteinAction.do?id=1461&amp;showAllSites=true" TargetMode="External"/><Relationship Id="rId675" Type="http://schemas.openxmlformats.org/officeDocument/2006/relationships/hyperlink" Target="http://www.phosphosite.org/proteinAction.do?id=5812&amp;showAllSites=true" TargetMode="External"/><Relationship Id="rId882" Type="http://schemas.openxmlformats.org/officeDocument/2006/relationships/hyperlink" Target="http://www.phosphosite.org/proteinAction.do?id=3701941&amp;showAllSites=true" TargetMode="External"/><Relationship Id="rId1098" Type="http://schemas.openxmlformats.org/officeDocument/2006/relationships/hyperlink" Target="http://www.phosphosite.org/proteinAction.do?id=2612&amp;showAllSites=true" TargetMode="External"/><Relationship Id="rId328" Type="http://schemas.openxmlformats.org/officeDocument/2006/relationships/hyperlink" Target="http://www.cellsignal.com/products/4558.html" TargetMode="External"/><Relationship Id="rId535" Type="http://schemas.openxmlformats.org/officeDocument/2006/relationships/hyperlink" Target="http://www.phosphosite.org/proteinAction.do?id=4078&amp;showAllSites=true" TargetMode="External"/><Relationship Id="rId742" Type="http://schemas.openxmlformats.org/officeDocument/2006/relationships/hyperlink" Target="http://www.phosphosite.org/proteinAction.do?id=5812&amp;showAllSites=true" TargetMode="External"/><Relationship Id="rId1165" Type="http://schemas.openxmlformats.org/officeDocument/2006/relationships/hyperlink" Target="http://www.phosphosite.org/proteinAction.do?id=3701941&amp;showAllSites=true" TargetMode="External"/><Relationship Id="rId1372" Type="http://schemas.openxmlformats.org/officeDocument/2006/relationships/hyperlink" Target="http://www.phosphosite.org/proteinAction.do?id=5812&amp;showAllSites=true" TargetMode="External"/><Relationship Id="rId602" Type="http://schemas.openxmlformats.org/officeDocument/2006/relationships/hyperlink" Target="http://www.phosphosite.org/proteinAction.do?id=16019&amp;showAllSites=true" TargetMode="External"/><Relationship Id="rId1025" Type="http://schemas.openxmlformats.org/officeDocument/2006/relationships/hyperlink" Target="http://www.phosphosite.org/proteinAction.do?id=989&amp;showAllSites=true" TargetMode="External"/><Relationship Id="rId1232" Type="http://schemas.openxmlformats.org/officeDocument/2006/relationships/hyperlink" Target="http://www.phosphosite.org/proteinAction.do?id=944&amp;showAllSites=true" TargetMode="External"/><Relationship Id="rId1677" Type="http://schemas.openxmlformats.org/officeDocument/2006/relationships/hyperlink" Target="http://www.phosphosite.org/proteinAction.do?id=5812&amp;showAllSites=true" TargetMode="External"/><Relationship Id="rId907" Type="http://schemas.openxmlformats.org/officeDocument/2006/relationships/hyperlink" Target="http://www.phosphosite.org/proteinAction.do?id=3642&amp;showAllSites=true" TargetMode="External"/><Relationship Id="rId1537" Type="http://schemas.openxmlformats.org/officeDocument/2006/relationships/hyperlink" Target="http://www.phosphosite.org/proteinAction.do?id=1461&amp;showAllSites=true" TargetMode="External"/><Relationship Id="rId1744" Type="http://schemas.openxmlformats.org/officeDocument/2006/relationships/hyperlink" Target="http://www.phosphosite.org/proteinAction.do?id=5812&amp;showAllSites=true" TargetMode="External"/><Relationship Id="rId36" Type="http://schemas.openxmlformats.org/officeDocument/2006/relationships/hyperlink" Target="http://www.cellsignal.com/products/4255.html" TargetMode="External"/><Relationship Id="rId1604" Type="http://schemas.openxmlformats.org/officeDocument/2006/relationships/hyperlink" Target="http://www.phosphosite.org/proteinAction.do?id=1461&amp;showAllSites=true" TargetMode="External"/><Relationship Id="rId185" Type="http://schemas.openxmlformats.org/officeDocument/2006/relationships/hyperlink" Target="http://www.cellsignal.com/products/5641.html" TargetMode="External"/><Relationship Id="rId1811" Type="http://schemas.openxmlformats.org/officeDocument/2006/relationships/hyperlink" Target="http://www.cellsignal.com/products/9744.html" TargetMode="External"/><Relationship Id="rId392" Type="http://schemas.openxmlformats.org/officeDocument/2006/relationships/hyperlink" Target="http://www.cellsignal.com/products/4558.html" TargetMode="External"/><Relationship Id="rId697" Type="http://schemas.openxmlformats.org/officeDocument/2006/relationships/hyperlink" Target="http://www.phosphosite.org/proteinAction.do?id=5812&amp;showAllSites=true" TargetMode="External"/><Relationship Id="rId252" Type="http://schemas.openxmlformats.org/officeDocument/2006/relationships/hyperlink" Target="http://www.phosphosite.org/proteinAction.do?id=5265301&amp;showAllSites=true" TargetMode="External"/><Relationship Id="rId1187" Type="http://schemas.openxmlformats.org/officeDocument/2006/relationships/hyperlink" Target="http://www.phosphosite.org/proteinAction.do?id=9052&amp;showAllSites=true" TargetMode="External"/><Relationship Id="rId112" Type="http://schemas.openxmlformats.org/officeDocument/2006/relationships/hyperlink" Target="http://www.cellsignal.com/products/4885.html" TargetMode="External"/><Relationship Id="rId557" Type="http://schemas.openxmlformats.org/officeDocument/2006/relationships/hyperlink" Target="http://www.phosphosite.org/proteinAction.do?id=15331700&amp;showAllSites=true" TargetMode="External"/><Relationship Id="rId764" Type="http://schemas.openxmlformats.org/officeDocument/2006/relationships/hyperlink" Target="http://www.phosphosite.org/proteinAction.do?id=7056&amp;showAllSites=true" TargetMode="External"/><Relationship Id="rId971" Type="http://schemas.openxmlformats.org/officeDocument/2006/relationships/hyperlink" Target="http://www.phosphosite.org/proteinAction.do?id=3130&amp;showAllSites=true" TargetMode="External"/><Relationship Id="rId1394" Type="http://schemas.openxmlformats.org/officeDocument/2006/relationships/hyperlink" Target="http://www.phosphosite.org/proteinAction.do?id=3701941&amp;showAllSites=true" TargetMode="External"/><Relationship Id="rId1699" Type="http://schemas.openxmlformats.org/officeDocument/2006/relationships/hyperlink" Target="http://www.phosphosite.org/proteinAction.do?id=5812&amp;showAllSites=true" TargetMode="External"/><Relationship Id="rId417" Type="http://schemas.openxmlformats.org/officeDocument/2006/relationships/hyperlink" Target="http://www.phosphosite.org/proteinAction.do?id=1461&amp;showAllSites=true" TargetMode="External"/><Relationship Id="rId624" Type="http://schemas.openxmlformats.org/officeDocument/2006/relationships/hyperlink" Target="http://www.phosphosite.org/proteinAction.do?id=2637&amp;showAllSites=true" TargetMode="External"/><Relationship Id="rId831" Type="http://schemas.openxmlformats.org/officeDocument/2006/relationships/hyperlink" Target="http://www.phosphosite.org/proteinAction.do?id=3701941&amp;showAllSites=true" TargetMode="External"/><Relationship Id="rId1047" Type="http://schemas.openxmlformats.org/officeDocument/2006/relationships/hyperlink" Target="http://www.phosphosite.org/proteinAction.do?id=1461&amp;showAllSites=true" TargetMode="External"/><Relationship Id="rId1254" Type="http://schemas.openxmlformats.org/officeDocument/2006/relationships/hyperlink" Target="http://www.phosphosite.org/proteinAction.do?id=944&amp;showAllSites=true" TargetMode="External"/><Relationship Id="rId1461" Type="http://schemas.openxmlformats.org/officeDocument/2006/relationships/hyperlink" Target="http://www.phosphosite.org/proteinAction.do?id=1461&amp;showAllSites=true" TargetMode="External"/><Relationship Id="rId929" Type="http://schemas.openxmlformats.org/officeDocument/2006/relationships/hyperlink" Target="http://www.cellsignal.com/products/5398.html" TargetMode="External"/><Relationship Id="rId1114" Type="http://schemas.openxmlformats.org/officeDocument/2006/relationships/hyperlink" Target="http://www.cellsignal.com/products/7668.html" TargetMode="External"/><Relationship Id="rId1321" Type="http://schemas.openxmlformats.org/officeDocument/2006/relationships/hyperlink" Target="http://www.phosphosite.org/proteinAction.do?id=15331700&amp;showAllSites=true" TargetMode="External"/><Relationship Id="rId1559" Type="http://schemas.openxmlformats.org/officeDocument/2006/relationships/hyperlink" Target="http://www.phosphosite.org/proteinAction.do?id=1461&amp;showAllSites=true" TargetMode="External"/><Relationship Id="rId1766" Type="http://schemas.openxmlformats.org/officeDocument/2006/relationships/hyperlink" Target="http://www.phosphosite.org/proteinAction.do?id=5812&amp;showAllSites=true" TargetMode="External"/><Relationship Id="rId58" Type="http://schemas.openxmlformats.org/officeDocument/2006/relationships/hyperlink" Target="http://www.cellsignal.com/products/9053.html" TargetMode="External"/><Relationship Id="rId1419" Type="http://schemas.openxmlformats.org/officeDocument/2006/relationships/hyperlink" Target="http://www.phosphosite.org/proteinAction.do?id=4627&amp;showAllSites=true" TargetMode="External"/><Relationship Id="rId1626" Type="http://schemas.openxmlformats.org/officeDocument/2006/relationships/hyperlink" Target="http://www.phosphosite.org/proteinAction.do?id=22920001&amp;showAllSites=true" TargetMode="External"/><Relationship Id="rId1833" Type="http://schemas.openxmlformats.org/officeDocument/2006/relationships/hyperlink" Target="http://www.phosphosite.org/proteinAction.do?id=1461&amp;showAllSites=true" TargetMode="External"/><Relationship Id="rId274" Type="http://schemas.openxmlformats.org/officeDocument/2006/relationships/hyperlink" Target="http://www.cellsignal.com/products/4548.html" TargetMode="External"/><Relationship Id="rId481" Type="http://schemas.openxmlformats.org/officeDocument/2006/relationships/hyperlink" Target="http://www.phosphosite.org/proteinAction.do?id=1461&amp;showAllSites=true" TargetMode="External"/><Relationship Id="rId134" Type="http://schemas.openxmlformats.org/officeDocument/2006/relationships/hyperlink" Target="http://www.cellsignal.com/products/4885.html" TargetMode="External"/><Relationship Id="rId579" Type="http://schemas.openxmlformats.org/officeDocument/2006/relationships/hyperlink" Target="http://www.phosphosite.org/proteinAction.do?id=9549&amp;showAllSites=true" TargetMode="External"/><Relationship Id="rId786" Type="http://schemas.openxmlformats.org/officeDocument/2006/relationships/hyperlink" Target="http://www.phosphosite.org/proteinAction.do?id=3117&amp;showAllSites=true" TargetMode="External"/><Relationship Id="rId993" Type="http://schemas.openxmlformats.org/officeDocument/2006/relationships/hyperlink" Target="http://www.phosphosite.org/proteinAction.do?id=5078704&amp;showAllSites=true" TargetMode="External"/><Relationship Id="rId341" Type="http://schemas.openxmlformats.org/officeDocument/2006/relationships/hyperlink" Target="http://www.cellsignal.com/products/4558.html" TargetMode="External"/><Relationship Id="rId439" Type="http://schemas.openxmlformats.org/officeDocument/2006/relationships/hyperlink" Target="http://www.phosphosite.org/proteinAction.do?id=1461&amp;showAllSites=true" TargetMode="External"/><Relationship Id="rId646" Type="http://schemas.openxmlformats.org/officeDocument/2006/relationships/hyperlink" Target="http://www.phosphosite.org/proteinAction.do?id=2612&amp;showAllSites=true" TargetMode="External"/><Relationship Id="rId1069" Type="http://schemas.openxmlformats.org/officeDocument/2006/relationships/hyperlink" Target="http://www.phosphosite.org/proteinAction.do?id=14276&amp;showAllSites=true" TargetMode="External"/><Relationship Id="rId1276" Type="http://schemas.openxmlformats.org/officeDocument/2006/relationships/hyperlink" Target="http://www.phosphosite.org/proteinAction.do?id=944&amp;showAllSites=true" TargetMode="External"/><Relationship Id="rId1483" Type="http://schemas.openxmlformats.org/officeDocument/2006/relationships/hyperlink" Target="http://www.phosphosite.org/proteinAction.do?id=1461&amp;showAllSites=true" TargetMode="External"/><Relationship Id="rId201" Type="http://schemas.openxmlformats.org/officeDocument/2006/relationships/hyperlink" Target="http://www.phosphosite.org/proteinAction.do?id=22501100&amp;showAllSites=true" TargetMode="External"/><Relationship Id="rId506" Type="http://schemas.openxmlformats.org/officeDocument/2006/relationships/hyperlink" Target="http://www.phosphosite.org/proteinAction.do?id=2618&amp;showAllSites=true" TargetMode="External"/><Relationship Id="rId853" Type="http://schemas.openxmlformats.org/officeDocument/2006/relationships/hyperlink" Target="http://www.phosphosite.org/proteinAction.do?id=3701941&amp;showAllSites=true" TargetMode="External"/><Relationship Id="rId1136" Type="http://schemas.openxmlformats.org/officeDocument/2006/relationships/hyperlink" Target="http://www.phosphosite.org/proteinAction.do?id=5812&amp;showAllSites=true" TargetMode="External"/><Relationship Id="rId1690" Type="http://schemas.openxmlformats.org/officeDocument/2006/relationships/hyperlink" Target="http://www.phosphosite.org/proteinAction.do?id=5812&amp;showAllSites=true" TargetMode="External"/><Relationship Id="rId1788" Type="http://schemas.openxmlformats.org/officeDocument/2006/relationships/hyperlink" Target="http://www.phosphosite.org/proteinAction.do?id=5812&amp;showAllSites=true" TargetMode="External"/><Relationship Id="rId713" Type="http://schemas.openxmlformats.org/officeDocument/2006/relationships/hyperlink" Target="http://www.phosphosite.org/proteinAction.do?id=5812&amp;showAllSites=true" TargetMode="External"/><Relationship Id="rId920" Type="http://schemas.openxmlformats.org/officeDocument/2006/relationships/hyperlink" Target="http://www.phosphosite.org/proteinAction.do?id=9462&amp;showAllSites=true" TargetMode="External"/><Relationship Id="rId1343" Type="http://schemas.openxmlformats.org/officeDocument/2006/relationships/hyperlink" Target="http://www.phosphosite.org/proteinAction.do?id=17074&amp;showAllSites=true" TargetMode="External"/><Relationship Id="rId1550" Type="http://schemas.openxmlformats.org/officeDocument/2006/relationships/hyperlink" Target="http://www.phosphosite.org/proteinAction.do?id=1461&amp;showAllSites=true" TargetMode="External"/><Relationship Id="rId1648" Type="http://schemas.openxmlformats.org/officeDocument/2006/relationships/hyperlink" Target="http://www.phosphosite.org/proteinAction.do?id=2612&amp;showAllSites=true" TargetMode="External"/><Relationship Id="rId1203" Type="http://schemas.openxmlformats.org/officeDocument/2006/relationships/hyperlink" Target="http://www.phosphosite.org/proteinAction.do?id=944&amp;showAllSites=true" TargetMode="External"/><Relationship Id="rId1410" Type="http://schemas.openxmlformats.org/officeDocument/2006/relationships/hyperlink" Target="http://www.phosphosite.org/proteinAction.do?id=9462&amp;showAllSites=true" TargetMode="External"/><Relationship Id="rId1508" Type="http://schemas.openxmlformats.org/officeDocument/2006/relationships/hyperlink" Target="http://www.phosphosite.org/proteinAction.do?id=1461&amp;showAllSites=true" TargetMode="External"/><Relationship Id="rId1855" Type="http://schemas.openxmlformats.org/officeDocument/2006/relationships/hyperlink" Target="http://www.phosphosite.org/proteinAction.do?id=3649&amp;showAllSites=true" TargetMode="External"/><Relationship Id="rId1715" Type="http://schemas.openxmlformats.org/officeDocument/2006/relationships/hyperlink" Target="http://www.phosphosite.org/proteinAction.do?id=5812&amp;showAllSites=true" TargetMode="External"/><Relationship Id="rId296" Type="http://schemas.openxmlformats.org/officeDocument/2006/relationships/hyperlink" Target="http://www.cellsignal.com/products/4548.html" TargetMode="External"/><Relationship Id="rId156" Type="http://schemas.openxmlformats.org/officeDocument/2006/relationships/hyperlink" Target="http://www.phosphosite.org/proteinAction.do?id=6010&amp;showAllSites=true" TargetMode="External"/><Relationship Id="rId363" Type="http://schemas.openxmlformats.org/officeDocument/2006/relationships/hyperlink" Target="http://www.phosphosite.org/proteinAction.do?id=3722&amp;showAllSites=true" TargetMode="External"/><Relationship Id="rId570" Type="http://schemas.openxmlformats.org/officeDocument/2006/relationships/hyperlink" Target="http://www.cellsignal.com/products/4926.html" TargetMode="External"/><Relationship Id="rId223" Type="http://schemas.openxmlformats.org/officeDocument/2006/relationships/hyperlink" Target="http://www.phosphosite.org/proteinAction.do?id=22875705&amp;showAllSites=true" TargetMode="External"/><Relationship Id="rId430" Type="http://schemas.openxmlformats.org/officeDocument/2006/relationships/hyperlink" Target="http://www.phosphosite.org/proteinAction.do?id=1461&amp;showAllSites=true" TargetMode="External"/><Relationship Id="rId668" Type="http://schemas.openxmlformats.org/officeDocument/2006/relationships/hyperlink" Target="http://www.phosphosite.org/proteinAction.do?id=5812&amp;showAllSites=true" TargetMode="External"/><Relationship Id="rId875" Type="http://schemas.openxmlformats.org/officeDocument/2006/relationships/hyperlink" Target="http://www.phosphosite.org/proteinAction.do?id=3701941&amp;showAllSites=true" TargetMode="External"/><Relationship Id="rId1060" Type="http://schemas.openxmlformats.org/officeDocument/2006/relationships/hyperlink" Target="http://www.phosphosite.org/proteinAction.do?id=1461&amp;showAllSites=true" TargetMode="External"/><Relationship Id="rId1298" Type="http://schemas.openxmlformats.org/officeDocument/2006/relationships/hyperlink" Target="http://www.phosphosite.org/proteinAction.do?id=1461&amp;showAllSites=true" TargetMode="External"/><Relationship Id="rId528" Type="http://schemas.openxmlformats.org/officeDocument/2006/relationships/hyperlink" Target="http://www.phosphosite.org/proteinAction.do?id=15756956&amp;showAllSites=true" TargetMode="External"/><Relationship Id="rId735" Type="http://schemas.openxmlformats.org/officeDocument/2006/relationships/hyperlink" Target="http://www.phosphosite.org/proteinAction.do?id=5812&amp;showAllSites=true" TargetMode="External"/><Relationship Id="rId942" Type="http://schemas.openxmlformats.org/officeDocument/2006/relationships/hyperlink" Target="http://www.phosphosite.org/proteinAction.do?id=9462&amp;showAllSites=true" TargetMode="External"/><Relationship Id="rId1158" Type="http://schemas.openxmlformats.org/officeDocument/2006/relationships/hyperlink" Target="http://www.phosphosite.org/proteinAction.do?id=3701941&amp;showAllSites=true" TargetMode="External"/><Relationship Id="rId1365" Type="http://schemas.openxmlformats.org/officeDocument/2006/relationships/hyperlink" Target="http://www.phosphosite.org/proteinAction.do?id=14151000&amp;showAllSites=true" TargetMode="External"/><Relationship Id="rId1572" Type="http://schemas.openxmlformats.org/officeDocument/2006/relationships/hyperlink" Target="http://www.phosphosite.org/proteinAction.do?id=1461&amp;showAllSites=true" TargetMode="External"/><Relationship Id="rId1018" Type="http://schemas.openxmlformats.org/officeDocument/2006/relationships/hyperlink" Target="http://www.phosphosite.org/proteinAction.do?id=9134&amp;showAllSites=true" TargetMode="External"/><Relationship Id="rId1225" Type="http://schemas.openxmlformats.org/officeDocument/2006/relationships/hyperlink" Target="http://www.phosphosite.org/proteinAction.do?id=944&amp;showAllSites=true" TargetMode="External"/><Relationship Id="rId1432" Type="http://schemas.openxmlformats.org/officeDocument/2006/relationships/hyperlink" Target="http://www.phosphosite.org/proteinAction.do?id=1461&amp;showAllSites=true" TargetMode="External"/><Relationship Id="rId71" Type="http://schemas.openxmlformats.org/officeDocument/2006/relationships/hyperlink" Target="http://www.cellsignal.com/products/11910.html" TargetMode="External"/><Relationship Id="rId802" Type="http://schemas.openxmlformats.org/officeDocument/2006/relationships/hyperlink" Target="http://www.phosphosite.org/proteinAction.do?id=3701941&amp;showAllSites=true" TargetMode="External"/><Relationship Id="rId1737" Type="http://schemas.openxmlformats.org/officeDocument/2006/relationships/hyperlink" Target="http://www.phosphosite.org/proteinAction.do?id=5812&amp;showAllSites=true" TargetMode="External"/><Relationship Id="rId29" Type="http://schemas.openxmlformats.org/officeDocument/2006/relationships/hyperlink" Target="http://www.cellsignal.com/products/5765.html" TargetMode="External"/><Relationship Id="rId178" Type="http://schemas.openxmlformats.org/officeDocument/2006/relationships/hyperlink" Target="http://www.phosphosite.org/proteinAction.do?id=3276&amp;showAllSites=true" TargetMode="External"/><Relationship Id="rId1804" Type="http://schemas.openxmlformats.org/officeDocument/2006/relationships/hyperlink" Target="http://www.cellsignal.com/products/9744.html" TargetMode="External"/><Relationship Id="rId385" Type="http://schemas.openxmlformats.org/officeDocument/2006/relationships/hyperlink" Target="http://www.phosphosite.org/proteinAction.do?id=3722&amp;showAllSites=true" TargetMode="External"/><Relationship Id="rId592" Type="http://schemas.openxmlformats.org/officeDocument/2006/relationships/hyperlink" Target="http://www.phosphosite.org/proteinAction.do?id=16019&amp;showAllSites=true" TargetMode="External"/><Relationship Id="rId245" Type="http://schemas.openxmlformats.org/officeDocument/2006/relationships/hyperlink" Target="http://www.cellsignal.com/products/6526.html" TargetMode="External"/><Relationship Id="rId452" Type="http://schemas.openxmlformats.org/officeDocument/2006/relationships/hyperlink" Target="http://www.phosphosite.org/proteinAction.do?id=1461&amp;showAllSites=true" TargetMode="External"/><Relationship Id="rId897" Type="http://schemas.openxmlformats.org/officeDocument/2006/relationships/hyperlink" Target="http://www.phosphosite.org/proteinAction.do?id=3658401&amp;showAllSites=true" TargetMode="External"/><Relationship Id="rId1082" Type="http://schemas.openxmlformats.org/officeDocument/2006/relationships/hyperlink" Target="http://www.cellsignal.com/products/9990.html" TargetMode="External"/><Relationship Id="rId105" Type="http://schemas.openxmlformats.org/officeDocument/2006/relationships/hyperlink" Target="http://www.cellsignal.com/products/3057.html" TargetMode="External"/><Relationship Id="rId312" Type="http://schemas.openxmlformats.org/officeDocument/2006/relationships/hyperlink" Target="http://www.cellsignal.com/products/4548.html" TargetMode="External"/><Relationship Id="rId757" Type="http://schemas.openxmlformats.org/officeDocument/2006/relationships/hyperlink" Target="http://www.phosphosite.org/proteinAction.do?id=5812&amp;showAllSites=true" TargetMode="External"/><Relationship Id="rId964" Type="http://schemas.openxmlformats.org/officeDocument/2006/relationships/hyperlink" Target="http://www.phosphosite.org/proteinAction.do?id=3130&amp;showAllSites=true" TargetMode="External"/><Relationship Id="rId1387" Type="http://schemas.openxmlformats.org/officeDocument/2006/relationships/hyperlink" Target="http://www.phosphosite.org/proteinAction.do?id=5812&amp;showAllSites=true" TargetMode="External"/><Relationship Id="rId1594" Type="http://schemas.openxmlformats.org/officeDocument/2006/relationships/hyperlink" Target="http://www.phosphosite.org/proteinAction.do?id=1461&amp;showAllSites=true" TargetMode="External"/><Relationship Id="rId93" Type="http://schemas.openxmlformats.org/officeDocument/2006/relationships/hyperlink" Target="http://www.cellsignal.com/products/4548.html" TargetMode="External"/><Relationship Id="rId617" Type="http://schemas.openxmlformats.org/officeDocument/2006/relationships/hyperlink" Target="http://www.phosphosite.org/proteinAction.do?id=22920001&amp;showAllSites=true" TargetMode="External"/><Relationship Id="rId824" Type="http://schemas.openxmlformats.org/officeDocument/2006/relationships/hyperlink" Target="http://www.phosphosite.org/proteinAction.do?id=3701941&amp;showAllSites=true" TargetMode="External"/><Relationship Id="rId1247" Type="http://schemas.openxmlformats.org/officeDocument/2006/relationships/hyperlink" Target="http://www.phosphosite.org/proteinAction.do?id=944&amp;showAllSites=true" TargetMode="External"/><Relationship Id="rId1454" Type="http://schemas.openxmlformats.org/officeDocument/2006/relationships/hyperlink" Target="http://www.phosphosite.org/proteinAction.do?id=1461&amp;showAllSites=true" TargetMode="External"/><Relationship Id="rId1661" Type="http://schemas.openxmlformats.org/officeDocument/2006/relationships/hyperlink" Target="http://www.phosphosite.org/proteinAction.do?id=5812&amp;showAllSites=true" TargetMode="External"/><Relationship Id="rId256" Type="http://schemas.openxmlformats.org/officeDocument/2006/relationships/hyperlink" Target="http://www.phosphosite.org/proteinAction.do?id=3396&amp;showAllSites=true" TargetMode="External"/><Relationship Id="rId463" Type="http://schemas.openxmlformats.org/officeDocument/2006/relationships/hyperlink" Target="http://www.phosphosite.org/proteinAction.do?id=1461&amp;showAllSites=true" TargetMode="External"/><Relationship Id="rId670" Type="http://schemas.openxmlformats.org/officeDocument/2006/relationships/hyperlink" Target="http://www.phosphosite.org/proteinAction.do?id=5812&amp;showAllSites=true" TargetMode="External"/><Relationship Id="rId1093" Type="http://schemas.openxmlformats.org/officeDocument/2006/relationships/hyperlink" Target="http://www.phosphosite.org/proteinAction.do?id=22920001&amp;showAllSites=true" TargetMode="External"/><Relationship Id="rId1107" Type="http://schemas.openxmlformats.org/officeDocument/2006/relationships/hyperlink" Target="http://www.phosphosite.org/proteinAction.do?id=2612&amp;showAllSites=true" TargetMode="External"/><Relationship Id="rId1314" Type="http://schemas.openxmlformats.org/officeDocument/2006/relationships/hyperlink" Target="http://www.phosphosite.org/proteinAction.do?id=1461&amp;showAllSites=true" TargetMode="External"/><Relationship Id="rId1521" Type="http://schemas.openxmlformats.org/officeDocument/2006/relationships/hyperlink" Target="http://www.phosphosite.org/proteinAction.do?id=1461&amp;showAllSites=true" TargetMode="External"/><Relationship Id="rId1759" Type="http://schemas.openxmlformats.org/officeDocument/2006/relationships/hyperlink" Target="http://www.phosphosite.org/proteinAction.do?id=5812&amp;showAllSites=true" TargetMode="External"/><Relationship Id="rId116" Type="http://schemas.openxmlformats.org/officeDocument/2006/relationships/hyperlink" Target="http://www.cellsignal.com/products/4885.html" TargetMode="External"/><Relationship Id="rId323" Type="http://schemas.openxmlformats.org/officeDocument/2006/relationships/hyperlink" Target="http://www.cellsignal.com/products/4558.html" TargetMode="External"/><Relationship Id="rId530" Type="http://schemas.openxmlformats.org/officeDocument/2006/relationships/hyperlink" Target="http://www.phosphosite.org/proteinAction.do?id=15756956&amp;showAllSites=true" TargetMode="External"/><Relationship Id="rId768" Type="http://schemas.openxmlformats.org/officeDocument/2006/relationships/hyperlink" Target="http://www.phosphosite.org/proteinAction.do?id=7056&amp;showAllSites=true" TargetMode="External"/><Relationship Id="rId975" Type="http://schemas.openxmlformats.org/officeDocument/2006/relationships/hyperlink" Target="http://www.phosphosite.org/proteinAction.do?id=3130&amp;showAllSites=true" TargetMode="External"/><Relationship Id="rId1160" Type="http://schemas.openxmlformats.org/officeDocument/2006/relationships/hyperlink" Target="http://www.phosphosite.org/proteinAction.do?id=3701941&amp;showAllSites=true" TargetMode="External"/><Relationship Id="rId1398" Type="http://schemas.openxmlformats.org/officeDocument/2006/relationships/hyperlink" Target="http://www.phosphosite.org/proteinAction.do?id=3701941&amp;showAllSites=true" TargetMode="External"/><Relationship Id="rId1619" Type="http://schemas.openxmlformats.org/officeDocument/2006/relationships/hyperlink" Target="http://www.phosphosite.org/proteinAction.do?id=4078&amp;showAllSites=true" TargetMode="External"/><Relationship Id="rId1826" Type="http://schemas.openxmlformats.org/officeDocument/2006/relationships/hyperlink" Target="http://www.phosphosite.org/proteinAction.do?id=3649&amp;showAllSites=true" TargetMode="External"/><Relationship Id="rId20" Type="http://schemas.openxmlformats.org/officeDocument/2006/relationships/hyperlink" Target="http://www.cellsignal.com/products/5765.html" TargetMode="External"/><Relationship Id="rId628" Type="http://schemas.openxmlformats.org/officeDocument/2006/relationships/hyperlink" Target="http://www.cellsignal.com/products/8443.html" TargetMode="External"/><Relationship Id="rId835" Type="http://schemas.openxmlformats.org/officeDocument/2006/relationships/hyperlink" Target="http://www.phosphosite.org/proteinAction.do?id=3701941&amp;showAllSites=true" TargetMode="External"/><Relationship Id="rId1258" Type="http://schemas.openxmlformats.org/officeDocument/2006/relationships/hyperlink" Target="http://www.phosphosite.org/proteinAction.do?id=944&amp;showAllSites=true" TargetMode="External"/><Relationship Id="rId1465" Type="http://schemas.openxmlformats.org/officeDocument/2006/relationships/hyperlink" Target="http://www.phosphosite.org/proteinAction.do?id=1461&amp;showAllSites=true" TargetMode="External"/><Relationship Id="rId1672" Type="http://schemas.openxmlformats.org/officeDocument/2006/relationships/hyperlink" Target="http://www.phosphosite.org/proteinAction.do?id=5812&amp;showAllSites=true" TargetMode="External"/><Relationship Id="rId267" Type="http://schemas.openxmlformats.org/officeDocument/2006/relationships/hyperlink" Target="http://www.cellsignal.com/products/4548.html" TargetMode="External"/><Relationship Id="rId474" Type="http://schemas.openxmlformats.org/officeDocument/2006/relationships/hyperlink" Target="http://www.phosphosite.org/proteinAction.do?id=1461&amp;showAllSites=true" TargetMode="External"/><Relationship Id="rId1020" Type="http://schemas.openxmlformats.org/officeDocument/2006/relationships/hyperlink" Target="http://www.cellsignal.com/products/6526.html" TargetMode="External"/><Relationship Id="rId1118" Type="http://schemas.openxmlformats.org/officeDocument/2006/relationships/hyperlink" Target="http://www.phosphosite.org/proteinAction.do?id=5812&amp;showAllSites=true" TargetMode="External"/><Relationship Id="rId1325" Type="http://schemas.openxmlformats.org/officeDocument/2006/relationships/hyperlink" Target="http://www.phosphosite.org/proteinAction.do?id=15331700&amp;showAllSites=true" TargetMode="External"/><Relationship Id="rId1532" Type="http://schemas.openxmlformats.org/officeDocument/2006/relationships/hyperlink" Target="http://www.phosphosite.org/proteinAction.do?id=1461&amp;showAllSites=true" TargetMode="External"/><Relationship Id="rId127" Type="http://schemas.openxmlformats.org/officeDocument/2006/relationships/hyperlink" Target="http://www.cellsignal.com/products/4885.html" TargetMode="External"/><Relationship Id="rId681" Type="http://schemas.openxmlformats.org/officeDocument/2006/relationships/hyperlink" Target="http://www.phosphosite.org/proteinAction.do?id=5812&amp;showAllSites=true" TargetMode="External"/><Relationship Id="rId779" Type="http://schemas.openxmlformats.org/officeDocument/2006/relationships/hyperlink" Target="http://www.phosphosite.org/proteinAction.do?id=5362100&amp;showAllSites=true" TargetMode="External"/><Relationship Id="rId902" Type="http://schemas.openxmlformats.org/officeDocument/2006/relationships/hyperlink" Target="http://www.phosphosite.org/proteinAction.do?id=6250&amp;showAllSites=true" TargetMode="External"/><Relationship Id="rId986" Type="http://schemas.openxmlformats.org/officeDocument/2006/relationships/hyperlink" Target="http://www.phosphosite.org/proteinAction.do?id=27269108&amp;showAllSites=true" TargetMode="External"/><Relationship Id="rId1837" Type="http://schemas.openxmlformats.org/officeDocument/2006/relationships/hyperlink" Target="http://www.phosphosite.org/proteinAction.do?id=1461&amp;showAllSites=true" TargetMode="External"/><Relationship Id="rId31" Type="http://schemas.openxmlformats.org/officeDocument/2006/relationships/hyperlink" Target="http://www.cellsignal.com/products/4971.html" TargetMode="External"/><Relationship Id="rId334" Type="http://schemas.openxmlformats.org/officeDocument/2006/relationships/hyperlink" Target="http://www.cellsignal.com/products/4558.html" TargetMode="External"/><Relationship Id="rId541" Type="http://schemas.openxmlformats.org/officeDocument/2006/relationships/hyperlink" Target="http://www.phosphosite.org/proteinAction.do?id=15226027&amp;showAllSites=true" TargetMode="External"/><Relationship Id="rId639" Type="http://schemas.openxmlformats.org/officeDocument/2006/relationships/hyperlink" Target="http://www.cellsignal.com/products/7668.html" TargetMode="External"/><Relationship Id="rId1171" Type="http://schemas.openxmlformats.org/officeDocument/2006/relationships/hyperlink" Target="http://www.phosphosite.org/proteinAction.do?id=3701941&amp;showAllSites=true" TargetMode="External"/><Relationship Id="rId1269" Type="http://schemas.openxmlformats.org/officeDocument/2006/relationships/hyperlink" Target="http://www.phosphosite.org/proteinAction.do?id=944&amp;showAllSites=true" TargetMode="External"/><Relationship Id="rId1476" Type="http://schemas.openxmlformats.org/officeDocument/2006/relationships/hyperlink" Target="http://www.phosphosite.org/proteinAction.do?id=1461&amp;showAllSites=true" TargetMode="External"/><Relationship Id="rId180" Type="http://schemas.openxmlformats.org/officeDocument/2006/relationships/hyperlink" Target="http://www.phosphosite.org/proteinAction.do?id=3276&amp;showAllSites=true" TargetMode="External"/><Relationship Id="rId278" Type="http://schemas.openxmlformats.org/officeDocument/2006/relationships/hyperlink" Target="http://www.cellsignal.com/products/4548.html" TargetMode="External"/><Relationship Id="rId401" Type="http://schemas.openxmlformats.org/officeDocument/2006/relationships/hyperlink" Target="http://www.phosphosite.org/proteinAction.do?id=1461&amp;showAllSites=true" TargetMode="External"/><Relationship Id="rId846" Type="http://schemas.openxmlformats.org/officeDocument/2006/relationships/hyperlink" Target="http://www.phosphosite.org/proteinAction.do?id=3701941&amp;showAllSites=true" TargetMode="External"/><Relationship Id="rId1031" Type="http://schemas.openxmlformats.org/officeDocument/2006/relationships/hyperlink" Target="http://www.cellsignal.com/products/4558.html" TargetMode="External"/><Relationship Id="rId1129" Type="http://schemas.openxmlformats.org/officeDocument/2006/relationships/hyperlink" Target="http://www.phosphosite.org/proteinAction.do?id=5812&amp;showAllSites=true" TargetMode="External"/><Relationship Id="rId1683" Type="http://schemas.openxmlformats.org/officeDocument/2006/relationships/hyperlink" Target="http://www.phosphosite.org/proteinAction.do?id=5812&amp;showAllSites=true" TargetMode="External"/><Relationship Id="rId485" Type="http://schemas.openxmlformats.org/officeDocument/2006/relationships/hyperlink" Target="http://www.phosphosite.org/proteinAction.do?id=1461&amp;showAllSites=true" TargetMode="External"/><Relationship Id="rId692" Type="http://schemas.openxmlformats.org/officeDocument/2006/relationships/hyperlink" Target="http://www.phosphosite.org/proteinAction.do?id=5812&amp;showAllSites=true" TargetMode="External"/><Relationship Id="rId706" Type="http://schemas.openxmlformats.org/officeDocument/2006/relationships/hyperlink" Target="http://www.phosphosite.org/proteinAction.do?id=5812&amp;showAllSites=true" TargetMode="External"/><Relationship Id="rId913" Type="http://schemas.openxmlformats.org/officeDocument/2006/relationships/hyperlink" Target="http://www.cellsignal.com/products/5398.html" TargetMode="External"/><Relationship Id="rId1336" Type="http://schemas.openxmlformats.org/officeDocument/2006/relationships/hyperlink" Target="http://www.phosphosite.org/proteinAction.do?id=15331700&amp;showAllSites=true" TargetMode="External"/><Relationship Id="rId1543" Type="http://schemas.openxmlformats.org/officeDocument/2006/relationships/hyperlink" Target="http://www.phosphosite.org/proteinAction.do?id=1461&amp;showAllSites=true" TargetMode="External"/><Relationship Id="rId1750" Type="http://schemas.openxmlformats.org/officeDocument/2006/relationships/hyperlink" Target="http://www.phosphosite.org/proteinAction.do?id=5812&amp;showAllSites=true" TargetMode="External"/><Relationship Id="rId42" Type="http://schemas.openxmlformats.org/officeDocument/2006/relationships/hyperlink" Target="http://www.cellsignal.com/products/4548.html" TargetMode="External"/><Relationship Id="rId138" Type="http://schemas.openxmlformats.org/officeDocument/2006/relationships/hyperlink" Target="http://www.phosphosite.org/proteinAction.do?id=22746&amp;showAllSites=true" TargetMode="External"/><Relationship Id="rId345" Type="http://schemas.openxmlformats.org/officeDocument/2006/relationships/hyperlink" Target="http://www.cellsignal.com/products/4558.html" TargetMode="External"/><Relationship Id="rId552" Type="http://schemas.openxmlformats.org/officeDocument/2006/relationships/hyperlink" Target="http://www.phosphosite.org/proteinAction.do?id=15331700&amp;showAllSites=true" TargetMode="External"/><Relationship Id="rId997" Type="http://schemas.openxmlformats.org/officeDocument/2006/relationships/hyperlink" Target="http://www.phosphosite.org/proteinAction.do?id=5758&amp;showAllSites=true" TargetMode="External"/><Relationship Id="rId1182" Type="http://schemas.openxmlformats.org/officeDocument/2006/relationships/hyperlink" Target="http://www.phosphosite.org/proteinAction.do?id=9462&amp;showAllSites=true" TargetMode="External"/><Relationship Id="rId1403" Type="http://schemas.openxmlformats.org/officeDocument/2006/relationships/hyperlink" Target="http://www.phosphosite.org/proteinAction.do?id=3701941&amp;showAllSites=true" TargetMode="External"/><Relationship Id="rId1610" Type="http://schemas.openxmlformats.org/officeDocument/2006/relationships/hyperlink" Target="http://www.phosphosite.org/proteinAction.do?id=1461&amp;showAllSites=true" TargetMode="External"/><Relationship Id="rId1848" Type="http://schemas.openxmlformats.org/officeDocument/2006/relationships/hyperlink" Target="http://www.phosphosite.org/proteinAction.do?id=3701941&amp;showAllSites=true" TargetMode="External"/><Relationship Id="rId191" Type="http://schemas.openxmlformats.org/officeDocument/2006/relationships/hyperlink" Target="http://www.cellsignal.com/products/4860.html" TargetMode="External"/><Relationship Id="rId205" Type="http://schemas.openxmlformats.org/officeDocument/2006/relationships/hyperlink" Target="http://www.phosphosite.org/proteinAction.do?id=15365&amp;showAllSites=true" TargetMode="External"/><Relationship Id="rId412" Type="http://schemas.openxmlformats.org/officeDocument/2006/relationships/hyperlink" Target="http://www.phosphosite.org/proteinAction.do?id=1461&amp;showAllSites=true" TargetMode="External"/><Relationship Id="rId857" Type="http://schemas.openxmlformats.org/officeDocument/2006/relationships/hyperlink" Target="http://www.phosphosite.org/proteinAction.do?id=3701941&amp;showAllSites=true" TargetMode="External"/><Relationship Id="rId1042" Type="http://schemas.openxmlformats.org/officeDocument/2006/relationships/hyperlink" Target="http://www.phosphosite.org/proteinAction.do?id=1461&amp;showAllSites=true" TargetMode="External"/><Relationship Id="rId1487" Type="http://schemas.openxmlformats.org/officeDocument/2006/relationships/hyperlink" Target="http://www.phosphosite.org/proteinAction.do?id=1461&amp;showAllSites=true" TargetMode="External"/><Relationship Id="rId1694" Type="http://schemas.openxmlformats.org/officeDocument/2006/relationships/hyperlink" Target="http://www.phosphosite.org/proteinAction.do?id=5812&amp;showAllSites=true" TargetMode="External"/><Relationship Id="rId1708" Type="http://schemas.openxmlformats.org/officeDocument/2006/relationships/hyperlink" Target="http://www.phosphosite.org/proteinAction.do?id=5812&amp;showAllSites=true" TargetMode="External"/><Relationship Id="rId289" Type="http://schemas.openxmlformats.org/officeDocument/2006/relationships/hyperlink" Target="http://www.cellsignal.com/products/4548.html" TargetMode="External"/><Relationship Id="rId496" Type="http://schemas.openxmlformats.org/officeDocument/2006/relationships/hyperlink" Target="http://www.phosphosite.org/proteinAction.do?id=1461&amp;showAllSites=true" TargetMode="External"/><Relationship Id="rId717" Type="http://schemas.openxmlformats.org/officeDocument/2006/relationships/hyperlink" Target="http://www.phosphosite.org/proteinAction.do?id=5812&amp;showAllSites=true" TargetMode="External"/><Relationship Id="rId924" Type="http://schemas.openxmlformats.org/officeDocument/2006/relationships/hyperlink" Target="http://www.phosphosite.org/proteinAction.do?id=9462&amp;showAllSites=true" TargetMode="External"/><Relationship Id="rId1347" Type="http://schemas.openxmlformats.org/officeDocument/2006/relationships/hyperlink" Target="http://www.phosphosite.org/proteinAction.do?id=17074&amp;showAllSites=true" TargetMode="External"/><Relationship Id="rId1554" Type="http://schemas.openxmlformats.org/officeDocument/2006/relationships/hyperlink" Target="http://www.phosphosite.org/proteinAction.do?id=1461&amp;showAllSites=true" TargetMode="External"/><Relationship Id="rId1761" Type="http://schemas.openxmlformats.org/officeDocument/2006/relationships/hyperlink" Target="http://www.phosphosite.org/proteinAction.do?id=5812&amp;showAllSites=true" TargetMode="External"/><Relationship Id="rId53" Type="http://schemas.openxmlformats.org/officeDocument/2006/relationships/hyperlink" Target="http://www.cellsignal.com/products/4885.html" TargetMode="External"/><Relationship Id="rId149" Type="http://schemas.openxmlformats.org/officeDocument/2006/relationships/hyperlink" Target="http://www.phosphosite.org/proteinAction.do?id=5758&amp;showAllSites=true" TargetMode="External"/><Relationship Id="rId356" Type="http://schemas.openxmlformats.org/officeDocument/2006/relationships/hyperlink" Target="http://www.cellsignal.com/products/4558.html" TargetMode="External"/><Relationship Id="rId563" Type="http://schemas.openxmlformats.org/officeDocument/2006/relationships/hyperlink" Target="http://www.phosphosite.org/proteinAction.do?id=10686&amp;showAllSites=true" TargetMode="External"/><Relationship Id="rId770" Type="http://schemas.openxmlformats.org/officeDocument/2006/relationships/hyperlink" Target="http://www.phosphosite.org/proteinAction.do?id=5362100&amp;showAllSites=true" TargetMode="External"/><Relationship Id="rId1193" Type="http://schemas.openxmlformats.org/officeDocument/2006/relationships/hyperlink" Target="http://www.phosphosite.org/proteinAction.do?id=3130&amp;showAllSites=true" TargetMode="External"/><Relationship Id="rId1207" Type="http://schemas.openxmlformats.org/officeDocument/2006/relationships/hyperlink" Target="http://www.phosphosite.org/proteinAction.do?id=944&amp;showAllSites=true" TargetMode="External"/><Relationship Id="rId1414" Type="http://schemas.openxmlformats.org/officeDocument/2006/relationships/hyperlink" Target="http://www.phosphosite.org/proteinAction.do?id=3130&amp;showAllSites=true" TargetMode="External"/><Relationship Id="rId1621" Type="http://schemas.openxmlformats.org/officeDocument/2006/relationships/hyperlink" Target="http://www.phosphosite.org/proteinAction.do?id=4078&amp;showAllSites=true" TargetMode="External"/><Relationship Id="rId1859" Type="http://schemas.openxmlformats.org/officeDocument/2006/relationships/hyperlink" Target="http://www.phosphosite.org/proteinAction.do?id=9462&amp;showAllSites=true" TargetMode="External"/><Relationship Id="rId216" Type="http://schemas.openxmlformats.org/officeDocument/2006/relationships/hyperlink" Target="http://www.phosphosite.org/proteinAction.do?id=10342600&amp;showAllSites=true" TargetMode="External"/><Relationship Id="rId423" Type="http://schemas.openxmlformats.org/officeDocument/2006/relationships/hyperlink" Target="http://www.phosphosite.org/proteinAction.do?id=1461&amp;showAllSites=true" TargetMode="External"/><Relationship Id="rId868" Type="http://schemas.openxmlformats.org/officeDocument/2006/relationships/hyperlink" Target="http://www.phosphosite.org/proteinAction.do?id=3701941&amp;showAllSites=true" TargetMode="External"/><Relationship Id="rId1053" Type="http://schemas.openxmlformats.org/officeDocument/2006/relationships/hyperlink" Target="http://www.phosphosite.org/proteinAction.do?id=1461&amp;showAllSites=true" TargetMode="External"/><Relationship Id="rId1260" Type="http://schemas.openxmlformats.org/officeDocument/2006/relationships/hyperlink" Target="http://www.phosphosite.org/proteinAction.do?id=944&amp;showAllSites=true" TargetMode="External"/><Relationship Id="rId1498" Type="http://schemas.openxmlformats.org/officeDocument/2006/relationships/hyperlink" Target="http://www.phosphosite.org/proteinAction.do?id=1461&amp;showAllSites=true" TargetMode="External"/><Relationship Id="rId1719" Type="http://schemas.openxmlformats.org/officeDocument/2006/relationships/hyperlink" Target="http://www.phosphosite.org/proteinAction.do?id=5812&amp;showAllSites=true" TargetMode="External"/><Relationship Id="rId630" Type="http://schemas.openxmlformats.org/officeDocument/2006/relationships/hyperlink" Target="http://www.cellsignal.com/products/7668.html" TargetMode="External"/><Relationship Id="rId728" Type="http://schemas.openxmlformats.org/officeDocument/2006/relationships/hyperlink" Target="http://www.phosphosite.org/proteinAction.do?id=5812&amp;showAllSites=true" TargetMode="External"/><Relationship Id="rId935" Type="http://schemas.openxmlformats.org/officeDocument/2006/relationships/hyperlink" Target="http://www.cellsignal.com/products/5398.html" TargetMode="External"/><Relationship Id="rId1358" Type="http://schemas.openxmlformats.org/officeDocument/2006/relationships/hyperlink" Target="http://www.phosphosite.org/proteinAction.do?id=14151000&amp;showAllSites=true" TargetMode="External"/><Relationship Id="rId1565" Type="http://schemas.openxmlformats.org/officeDocument/2006/relationships/hyperlink" Target="http://www.phosphosite.org/proteinAction.do?id=1461&amp;showAllSites=true" TargetMode="External"/><Relationship Id="rId1772" Type="http://schemas.openxmlformats.org/officeDocument/2006/relationships/hyperlink" Target="http://www.phosphosite.org/proteinAction.do?id=5812&amp;showAllSites=true" TargetMode="External"/><Relationship Id="rId64" Type="http://schemas.openxmlformats.org/officeDocument/2006/relationships/hyperlink" Target="http://www.cellsignal.com/products/6505.html" TargetMode="External"/><Relationship Id="rId367" Type="http://schemas.openxmlformats.org/officeDocument/2006/relationships/hyperlink" Target="http://www.phosphosite.org/proteinAction.do?id=3722&amp;showAllSites=true" TargetMode="External"/><Relationship Id="rId574" Type="http://schemas.openxmlformats.org/officeDocument/2006/relationships/hyperlink" Target="http://www.phosphosite.org/proteinAction.do?id=5020686&amp;showAllSites=true" TargetMode="External"/><Relationship Id="rId1120" Type="http://schemas.openxmlformats.org/officeDocument/2006/relationships/hyperlink" Target="http://www.phosphosite.org/proteinAction.do?id=5812&amp;showAllSites=true" TargetMode="External"/><Relationship Id="rId1218" Type="http://schemas.openxmlformats.org/officeDocument/2006/relationships/hyperlink" Target="http://www.phosphosite.org/proteinAction.do?id=944&amp;showAllSites=true" TargetMode="External"/><Relationship Id="rId1425" Type="http://schemas.openxmlformats.org/officeDocument/2006/relationships/hyperlink" Target="http://www.phosphosite.org/proteinAction.do?id=1461&amp;showAllSites=true" TargetMode="External"/><Relationship Id="rId227" Type="http://schemas.openxmlformats.org/officeDocument/2006/relationships/hyperlink" Target="http://www.phosphosite.org/proteinAction.do?id=4627&amp;showAllSites=true" TargetMode="External"/><Relationship Id="rId781" Type="http://schemas.openxmlformats.org/officeDocument/2006/relationships/hyperlink" Target="http://www.phosphosite.org/proteinAction.do?id=3117&amp;showAllSites=true" TargetMode="External"/><Relationship Id="rId879" Type="http://schemas.openxmlformats.org/officeDocument/2006/relationships/hyperlink" Target="http://www.phosphosite.org/proteinAction.do?id=3701941&amp;showAllSites=true" TargetMode="External"/><Relationship Id="rId1632" Type="http://schemas.openxmlformats.org/officeDocument/2006/relationships/hyperlink" Target="http://www.phosphosite.org/proteinAction.do?id=22920001&amp;showAllSites=true" TargetMode="External"/><Relationship Id="rId434" Type="http://schemas.openxmlformats.org/officeDocument/2006/relationships/hyperlink" Target="http://www.phosphosite.org/proteinAction.do?id=1461&amp;showAllSites=true" TargetMode="External"/><Relationship Id="rId641" Type="http://schemas.openxmlformats.org/officeDocument/2006/relationships/hyperlink" Target="http://www.phosphosite.org/proteinAction.do?id=2612&amp;showAllSites=true" TargetMode="External"/><Relationship Id="rId739" Type="http://schemas.openxmlformats.org/officeDocument/2006/relationships/hyperlink" Target="http://www.phosphosite.org/proteinAction.do?id=5812&amp;showAllSites=true" TargetMode="External"/><Relationship Id="rId1064" Type="http://schemas.openxmlformats.org/officeDocument/2006/relationships/hyperlink" Target="http://www.phosphosite.org/proteinAction.do?id=2618&amp;showAllSites=true" TargetMode="External"/><Relationship Id="rId1271" Type="http://schemas.openxmlformats.org/officeDocument/2006/relationships/hyperlink" Target="http://www.phosphosite.org/proteinAction.do?id=944&amp;showAllSites=true" TargetMode="External"/><Relationship Id="rId1369" Type="http://schemas.openxmlformats.org/officeDocument/2006/relationships/hyperlink" Target="http://www.phosphosite.org/proteinAction.do?id=5020686&amp;showAllSites=true" TargetMode="External"/><Relationship Id="rId1576" Type="http://schemas.openxmlformats.org/officeDocument/2006/relationships/hyperlink" Target="http://www.phosphosite.org/proteinAction.do?id=1461&amp;showAllSites=true" TargetMode="External"/><Relationship Id="rId280" Type="http://schemas.openxmlformats.org/officeDocument/2006/relationships/hyperlink" Target="http://www.cellsignal.com/products/4548.html" TargetMode="External"/><Relationship Id="rId501" Type="http://schemas.openxmlformats.org/officeDocument/2006/relationships/hyperlink" Target="http://www.phosphosite.org/proteinAction.do?id=2156&amp;showAllSites=true" TargetMode="External"/><Relationship Id="rId946" Type="http://schemas.openxmlformats.org/officeDocument/2006/relationships/hyperlink" Target="http://www.phosphosite.org/proteinAction.do?id=17112&amp;showAllSites=true" TargetMode="External"/><Relationship Id="rId1131" Type="http://schemas.openxmlformats.org/officeDocument/2006/relationships/hyperlink" Target="http://www.phosphosite.org/proteinAction.do?id=5812&amp;showAllSites=true" TargetMode="External"/><Relationship Id="rId1229" Type="http://schemas.openxmlformats.org/officeDocument/2006/relationships/hyperlink" Target="http://www.phosphosite.org/proteinAction.do?id=944&amp;showAllSites=true" TargetMode="External"/><Relationship Id="rId1783" Type="http://schemas.openxmlformats.org/officeDocument/2006/relationships/hyperlink" Target="http://www.phosphosite.org/proteinAction.do?id=5812&amp;showAllSites=true" TargetMode="External"/><Relationship Id="rId75" Type="http://schemas.openxmlformats.org/officeDocument/2006/relationships/hyperlink" Target="http://www.cellsignal.com/products/11910.html" TargetMode="External"/><Relationship Id="rId140" Type="http://schemas.openxmlformats.org/officeDocument/2006/relationships/hyperlink" Target="http://www.phosphosite.org/proteinAction.do?id=12369&amp;showAllSites=true" TargetMode="External"/><Relationship Id="rId378" Type="http://schemas.openxmlformats.org/officeDocument/2006/relationships/hyperlink" Target="http://www.cellsignal.com/products/4558.html" TargetMode="External"/><Relationship Id="rId585" Type="http://schemas.openxmlformats.org/officeDocument/2006/relationships/hyperlink" Target="http://www.phosphosite.org/proteinAction.do?id=12358&amp;showAllSites=true" TargetMode="External"/><Relationship Id="rId792" Type="http://schemas.openxmlformats.org/officeDocument/2006/relationships/hyperlink" Target="http://www.phosphosite.org/proteinAction.do?id=3117&amp;showAllSites=true" TargetMode="External"/><Relationship Id="rId806" Type="http://schemas.openxmlformats.org/officeDocument/2006/relationships/hyperlink" Target="http://www.phosphosite.org/proteinAction.do?id=3701941&amp;showAllSites=true" TargetMode="External"/><Relationship Id="rId1436" Type="http://schemas.openxmlformats.org/officeDocument/2006/relationships/hyperlink" Target="http://www.phosphosite.org/proteinAction.do?id=1461&amp;showAllSites=true" TargetMode="External"/><Relationship Id="rId1643" Type="http://schemas.openxmlformats.org/officeDocument/2006/relationships/hyperlink" Target="http://www.phosphosite.org/proteinAction.do?id=2612&amp;showAllSites=true" TargetMode="External"/><Relationship Id="rId1850" Type="http://schemas.openxmlformats.org/officeDocument/2006/relationships/hyperlink" Target="http://www.cellsignal.com/products/9033.html" TargetMode="External"/><Relationship Id="rId6" Type="http://schemas.openxmlformats.org/officeDocument/2006/relationships/hyperlink" Target="http://www.cellsignal.com/products/3826.html" TargetMode="External"/><Relationship Id="rId238" Type="http://schemas.openxmlformats.org/officeDocument/2006/relationships/hyperlink" Target="http://www.phosphosite.org/proteinAction.do?id=4119&amp;showAllSites=true" TargetMode="External"/><Relationship Id="rId445" Type="http://schemas.openxmlformats.org/officeDocument/2006/relationships/hyperlink" Target="http://www.phosphosite.org/proteinAction.do?id=1461&amp;showAllSites=true" TargetMode="External"/><Relationship Id="rId652" Type="http://schemas.openxmlformats.org/officeDocument/2006/relationships/hyperlink" Target="http://www.phosphosite.org/proteinAction.do?id=5812&amp;showAllSites=true" TargetMode="External"/><Relationship Id="rId1075" Type="http://schemas.openxmlformats.org/officeDocument/2006/relationships/hyperlink" Target="http://www.phosphosite.org/proteinAction.do?id=6330&amp;showAllSites=true" TargetMode="External"/><Relationship Id="rId1282" Type="http://schemas.openxmlformats.org/officeDocument/2006/relationships/hyperlink" Target="http://www.phosphosite.org/proteinAction.do?id=944&amp;showAllSites=true" TargetMode="External"/><Relationship Id="rId1503" Type="http://schemas.openxmlformats.org/officeDocument/2006/relationships/hyperlink" Target="http://www.phosphosite.org/proteinAction.do?id=1461&amp;showAllSites=true" TargetMode="External"/><Relationship Id="rId1710" Type="http://schemas.openxmlformats.org/officeDocument/2006/relationships/hyperlink" Target="http://www.phosphosite.org/proteinAction.do?id=5812&amp;showAllSites=true" TargetMode="External"/><Relationship Id="rId291" Type="http://schemas.openxmlformats.org/officeDocument/2006/relationships/hyperlink" Target="http://www.cellsignal.com/products/4548.html" TargetMode="External"/><Relationship Id="rId305" Type="http://schemas.openxmlformats.org/officeDocument/2006/relationships/hyperlink" Target="http://www.cellsignal.com/products/4548.html" TargetMode="External"/><Relationship Id="rId512" Type="http://schemas.openxmlformats.org/officeDocument/2006/relationships/hyperlink" Target="http://www.phosphosite.org/proteinAction.do?id=2622&amp;showAllSites=true" TargetMode="External"/><Relationship Id="rId957" Type="http://schemas.openxmlformats.org/officeDocument/2006/relationships/hyperlink" Target="http://www.phosphosite.org/proteinAction.do?id=5926&amp;showAllSites=true" TargetMode="External"/><Relationship Id="rId1142" Type="http://schemas.openxmlformats.org/officeDocument/2006/relationships/hyperlink" Target="http://www.phosphosite.org/proteinAction.do?id=5812&amp;showAllSites=true" TargetMode="External"/><Relationship Id="rId1587" Type="http://schemas.openxmlformats.org/officeDocument/2006/relationships/hyperlink" Target="http://www.phosphosite.org/proteinAction.do?id=1461&amp;showAllSites=true" TargetMode="External"/><Relationship Id="rId1794" Type="http://schemas.openxmlformats.org/officeDocument/2006/relationships/hyperlink" Target="http://www.phosphosite.org/proteinAction.do?id=5812&amp;showAllSites=true" TargetMode="External"/><Relationship Id="rId1808" Type="http://schemas.openxmlformats.org/officeDocument/2006/relationships/hyperlink" Target="http://www.cellsignal.com/products/9744.html" TargetMode="External"/><Relationship Id="rId86" Type="http://schemas.openxmlformats.org/officeDocument/2006/relationships/hyperlink" Target="http://www.cellsignal.com/products/4885.html" TargetMode="External"/><Relationship Id="rId151" Type="http://schemas.openxmlformats.org/officeDocument/2006/relationships/hyperlink" Target="http://www.phosphosite.org/proteinAction.do?id=5758&amp;showAllSites=true" TargetMode="External"/><Relationship Id="rId389" Type="http://schemas.openxmlformats.org/officeDocument/2006/relationships/hyperlink" Target="http://www.phosphosite.org/proteinAction.do?id=3722&amp;showAllSites=true" TargetMode="External"/><Relationship Id="rId596" Type="http://schemas.openxmlformats.org/officeDocument/2006/relationships/hyperlink" Target="http://www.phosphosite.org/proteinAction.do?id=16019&amp;showAllSites=true" TargetMode="External"/><Relationship Id="rId817" Type="http://schemas.openxmlformats.org/officeDocument/2006/relationships/hyperlink" Target="http://www.phosphosite.org/proteinAction.do?id=3701941&amp;showAllSites=true" TargetMode="External"/><Relationship Id="rId1002" Type="http://schemas.openxmlformats.org/officeDocument/2006/relationships/hyperlink" Target="http://www.phosphosite.org/proteinAction.do?id=23890&amp;showAllSites=true" TargetMode="External"/><Relationship Id="rId1447" Type="http://schemas.openxmlformats.org/officeDocument/2006/relationships/hyperlink" Target="http://www.phosphosite.org/proteinAction.do?id=1461&amp;showAllSites=true" TargetMode="External"/><Relationship Id="rId1654" Type="http://schemas.openxmlformats.org/officeDocument/2006/relationships/hyperlink" Target="http://www.phosphosite.org/proteinAction.do?id=2612&amp;showAllSites=true" TargetMode="External"/><Relationship Id="rId1861" Type="http://schemas.openxmlformats.org/officeDocument/2006/relationships/hyperlink" Target="http://www.phosphosite.org/proteinAction.do?id=1461&amp;showAllSites=true" TargetMode="External"/><Relationship Id="rId249" Type="http://schemas.openxmlformats.org/officeDocument/2006/relationships/hyperlink" Target="http://www.cellsignal.com/products/2402.html" TargetMode="External"/><Relationship Id="rId456" Type="http://schemas.openxmlformats.org/officeDocument/2006/relationships/hyperlink" Target="http://www.phosphosite.org/proteinAction.do?id=1461&amp;showAllSites=true" TargetMode="External"/><Relationship Id="rId663" Type="http://schemas.openxmlformats.org/officeDocument/2006/relationships/hyperlink" Target="http://www.phosphosite.org/proteinAction.do?id=5812&amp;showAllSites=true" TargetMode="External"/><Relationship Id="rId870" Type="http://schemas.openxmlformats.org/officeDocument/2006/relationships/hyperlink" Target="http://www.phosphosite.org/proteinAction.do?id=3701941&amp;showAllSites=true" TargetMode="External"/><Relationship Id="rId1086" Type="http://schemas.openxmlformats.org/officeDocument/2006/relationships/hyperlink" Target="http://www.phosphosite.org/proteinAction.do?id=5020686&amp;showAllSites=true" TargetMode="External"/><Relationship Id="rId1293" Type="http://schemas.openxmlformats.org/officeDocument/2006/relationships/hyperlink" Target="http://www.phosphosite.org/proteinAction.do?id=3722&amp;showAllSites=true" TargetMode="External"/><Relationship Id="rId1307" Type="http://schemas.openxmlformats.org/officeDocument/2006/relationships/hyperlink" Target="http://www.phosphosite.org/proteinAction.do?id=1461&amp;showAllSites=true" TargetMode="External"/><Relationship Id="rId1514" Type="http://schemas.openxmlformats.org/officeDocument/2006/relationships/hyperlink" Target="http://www.phosphosite.org/proteinAction.do?id=1461&amp;showAllSites=true" TargetMode="External"/><Relationship Id="rId1721" Type="http://schemas.openxmlformats.org/officeDocument/2006/relationships/hyperlink" Target="http://www.phosphosite.org/proteinAction.do?id=5812&amp;showAllSites=true" TargetMode="External"/><Relationship Id="rId13" Type="http://schemas.openxmlformats.org/officeDocument/2006/relationships/hyperlink" Target="http://www.cellsignal.com/products/5765.html" TargetMode="External"/><Relationship Id="rId109" Type="http://schemas.openxmlformats.org/officeDocument/2006/relationships/hyperlink" Target="http://www.cellsignal.com/products/6503.html" TargetMode="External"/><Relationship Id="rId316" Type="http://schemas.openxmlformats.org/officeDocument/2006/relationships/hyperlink" Target="http://www.cellsignal.com/products/4558.html" TargetMode="External"/><Relationship Id="rId523" Type="http://schemas.openxmlformats.org/officeDocument/2006/relationships/hyperlink" Target="http://www.phosphosite.org/proteinAction.do?id=14276&amp;showAllSites=true" TargetMode="External"/><Relationship Id="rId968" Type="http://schemas.openxmlformats.org/officeDocument/2006/relationships/hyperlink" Target="http://www.phosphosite.org/proteinAction.do?id=3130&amp;showAllSites=true" TargetMode="External"/><Relationship Id="rId1153" Type="http://schemas.openxmlformats.org/officeDocument/2006/relationships/hyperlink" Target="http://www.phosphosite.org/proteinAction.do?id=3701941&amp;showAllSites=true" TargetMode="External"/><Relationship Id="rId1598" Type="http://schemas.openxmlformats.org/officeDocument/2006/relationships/hyperlink" Target="http://www.phosphosite.org/proteinAction.do?id=1461&amp;showAllSites=true" TargetMode="External"/><Relationship Id="rId1819" Type="http://schemas.openxmlformats.org/officeDocument/2006/relationships/hyperlink" Target="http://www.cellsignal.com/products/3469.html" TargetMode="External"/><Relationship Id="rId97" Type="http://schemas.openxmlformats.org/officeDocument/2006/relationships/hyperlink" Target="http://www.cellsignal.com/products/12317.html" TargetMode="External"/><Relationship Id="rId730" Type="http://schemas.openxmlformats.org/officeDocument/2006/relationships/hyperlink" Target="http://www.phosphosite.org/proteinAction.do?id=5812&amp;showAllSites=true" TargetMode="External"/><Relationship Id="rId828" Type="http://schemas.openxmlformats.org/officeDocument/2006/relationships/hyperlink" Target="http://www.phosphosite.org/proteinAction.do?id=3701941&amp;showAllSites=true" TargetMode="External"/><Relationship Id="rId1013" Type="http://schemas.openxmlformats.org/officeDocument/2006/relationships/hyperlink" Target="http://www.phosphosite.org/proteinAction.do?id=9134&amp;showAllSites=true" TargetMode="External"/><Relationship Id="rId1360" Type="http://schemas.openxmlformats.org/officeDocument/2006/relationships/hyperlink" Target="http://www.phosphosite.org/proteinAction.do?id=14151000&amp;showAllSites=true" TargetMode="External"/><Relationship Id="rId1458" Type="http://schemas.openxmlformats.org/officeDocument/2006/relationships/hyperlink" Target="http://www.phosphosite.org/proteinAction.do?id=1461&amp;showAllSites=true" TargetMode="External"/><Relationship Id="rId1665" Type="http://schemas.openxmlformats.org/officeDocument/2006/relationships/hyperlink" Target="http://www.phosphosite.org/proteinAction.do?id=5812&amp;showAllSites=true" TargetMode="External"/><Relationship Id="rId1872" Type="http://schemas.openxmlformats.org/officeDocument/2006/relationships/hyperlink" Target="http://www.phosphosite.org/proteinAction.do?id=1461&amp;showAllSites=true" TargetMode="External"/><Relationship Id="rId162" Type="http://schemas.openxmlformats.org/officeDocument/2006/relationships/hyperlink" Target="http://www.phosphosite.org/proteinAction.do?id=2711&amp;showAllSites=true" TargetMode="External"/><Relationship Id="rId467" Type="http://schemas.openxmlformats.org/officeDocument/2006/relationships/hyperlink" Target="http://www.phosphosite.org/proteinAction.do?id=1461&amp;showAllSites=true" TargetMode="External"/><Relationship Id="rId1097" Type="http://schemas.openxmlformats.org/officeDocument/2006/relationships/hyperlink" Target="http://www.cellsignal.com/products/8443.html" TargetMode="External"/><Relationship Id="rId1220" Type="http://schemas.openxmlformats.org/officeDocument/2006/relationships/hyperlink" Target="http://www.phosphosite.org/proteinAction.do?id=944&amp;showAllSites=true" TargetMode="External"/><Relationship Id="rId1318" Type="http://schemas.openxmlformats.org/officeDocument/2006/relationships/hyperlink" Target="http://www.phosphosite.org/proteinAction.do?id=15331700&amp;showAllSites=true" TargetMode="External"/><Relationship Id="rId1525" Type="http://schemas.openxmlformats.org/officeDocument/2006/relationships/hyperlink" Target="http://www.phosphosite.org/proteinAction.do?id=1461&amp;showAllSites=true" TargetMode="External"/><Relationship Id="rId674" Type="http://schemas.openxmlformats.org/officeDocument/2006/relationships/hyperlink" Target="http://www.phosphosite.org/proteinAction.do?id=5812&amp;showAllSites=true" TargetMode="External"/><Relationship Id="rId881" Type="http://schemas.openxmlformats.org/officeDocument/2006/relationships/hyperlink" Target="http://www.phosphosite.org/proteinAction.do?id=3701941&amp;showAllSites=true" TargetMode="External"/><Relationship Id="rId979" Type="http://schemas.openxmlformats.org/officeDocument/2006/relationships/hyperlink" Target="http://www.phosphosite.org/proteinAction.do?id=3130&amp;showAllSites=true" TargetMode="External"/><Relationship Id="rId1732" Type="http://schemas.openxmlformats.org/officeDocument/2006/relationships/hyperlink" Target="http://www.phosphosite.org/proteinAction.do?id=5812&amp;showAllSites=true" TargetMode="External"/><Relationship Id="rId24" Type="http://schemas.openxmlformats.org/officeDocument/2006/relationships/hyperlink" Target="http://www.cellsignal.com/products/5765.html" TargetMode="External"/><Relationship Id="rId327" Type="http://schemas.openxmlformats.org/officeDocument/2006/relationships/hyperlink" Target="http://www.cellsignal.com/products/4558.html" TargetMode="External"/><Relationship Id="rId534" Type="http://schemas.openxmlformats.org/officeDocument/2006/relationships/hyperlink" Target="http://www.phosphosite.org/proteinAction.do?id=4078&amp;showAllSites=true" TargetMode="External"/><Relationship Id="rId741" Type="http://schemas.openxmlformats.org/officeDocument/2006/relationships/hyperlink" Target="http://www.phosphosite.org/proteinAction.do?id=5812&amp;showAllSites=true" TargetMode="External"/><Relationship Id="rId839" Type="http://schemas.openxmlformats.org/officeDocument/2006/relationships/hyperlink" Target="http://www.phosphosite.org/proteinAction.do?id=3701941&amp;showAllSites=true" TargetMode="External"/><Relationship Id="rId1164" Type="http://schemas.openxmlformats.org/officeDocument/2006/relationships/hyperlink" Target="http://www.phosphosite.org/proteinAction.do?id=3701941&amp;showAllSites=true" TargetMode="External"/><Relationship Id="rId1371" Type="http://schemas.openxmlformats.org/officeDocument/2006/relationships/hyperlink" Target="http://www.phosphosite.org/proteinAction.do?id=5020686&amp;showAllSites=true" TargetMode="External"/><Relationship Id="rId1469" Type="http://schemas.openxmlformats.org/officeDocument/2006/relationships/hyperlink" Target="http://www.phosphosite.org/proteinAction.do?id=1461&amp;showAllSites=true" TargetMode="External"/><Relationship Id="rId173" Type="http://schemas.openxmlformats.org/officeDocument/2006/relationships/hyperlink" Target="http://www.phosphosite.org/proteinAction.do?id=23890&amp;showAllSites=true" TargetMode="External"/><Relationship Id="rId380" Type="http://schemas.openxmlformats.org/officeDocument/2006/relationships/hyperlink" Target="http://www.cellsignal.com/products/4558.html" TargetMode="External"/><Relationship Id="rId601" Type="http://schemas.openxmlformats.org/officeDocument/2006/relationships/hyperlink" Target="http://www.phosphosite.org/proteinAction.do?id=16019&amp;showAllSites=true" TargetMode="External"/><Relationship Id="rId1024" Type="http://schemas.openxmlformats.org/officeDocument/2006/relationships/hyperlink" Target="http://www.cellsignal.com/products/2402.html" TargetMode="External"/><Relationship Id="rId1231" Type="http://schemas.openxmlformats.org/officeDocument/2006/relationships/hyperlink" Target="http://www.phosphosite.org/proteinAction.do?id=944&amp;showAllSites=true" TargetMode="External"/><Relationship Id="rId1676" Type="http://schemas.openxmlformats.org/officeDocument/2006/relationships/hyperlink" Target="http://www.phosphosite.org/proteinAction.do?id=5812&amp;showAllSites=true" TargetMode="External"/><Relationship Id="rId240" Type="http://schemas.openxmlformats.org/officeDocument/2006/relationships/hyperlink" Target="http://www.phosphosite.org/proteinAction.do?id=4119&amp;showAllSites=true" TargetMode="External"/><Relationship Id="rId478" Type="http://schemas.openxmlformats.org/officeDocument/2006/relationships/hyperlink" Target="http://www.phosphosite.org/proteinAction.do?id=1461&amp;showAllSites=true" TargetMode="External"/><Relationship Id="rId685" Type="http://schemas.openxmlformats.org/officeDocument/2006/relationships/hyperlink" Target="http://www.phosphosite.org/proteinAction.do?id=5812&amp;showAllSites=true" TargetMode="External"/><Relationship Id="rId892" Type="http://schemas.openxmlformats.org/officeDocument/2006/relationships/hyperlink" Target="http://www.phosphosite.org/proteinAction.do?id=3701941&amp;showAllSites=true" TargetMode="External"/><Relationship Id="rId906" Type="http://schemas.openxmlformats.org/officeDocument/2006/relationships/hyperlink" Target="http://www.phosphosite.org/proteinAction.do?id=6250&amp;showAllSites=true" TargetMode="External"/><Relationship Id="rId1329" Type="http://schemas.openxmlformats.org/officeDocument/2006/relationships/hyperlink" Target="http://www.phosphosite.org/proteinAction.do?id=15331700&amp;showAllSites=true" TargetMode="External"/><Relationship Id="rId1536" Type="http://schemas.openxmlformats.org/officeDocument/2006/relationships/hyperlink" Target="http://www.phosphosite.org/proteinAction.do?id=1461&amp;showAllSites=true" TargetMode="External"/><Relationship Id="rId1743" Type="http://schemas.openxmlformats.org/officeDocument/2006/relationships/hyperlink" Target="http://www.phosphosite.org/proteinAction.do?id=5812&amp;showAllSites=true" TargetMode="External"/><Relationship Id="rId35" Type="http://schemas.openxmlformats.org/officeDocument/2006/relationships/hyperlink" Target="http://www.cellsignal.com/products/6359.html" TargetMode="External"/><Relationship Id="rId100" Type="http://schemas.openxmlformats.org/officeDocument/2006/relationships/hyperlink" Target="http://www.cellsignal.com/products/12317.html" TargetMode="External"/><Relationship Id="rId338" Type="http://schemas.openxmlformats.org/officeDocument/2006/relationships/hyperlink" Target="http://www.cellsignal.com/products/4558.html" TargetMode="External"/><Relationship Id="rId545" Type="http://schemas.openxmlformats.org/officeDocument/2006/relationships/hyperlink" Target="http://www.phosphosite.org/proteinAction.do?id=10342615&amp;showAllSites=true" TargetMode="External"/><Relationship Id="rId752" Type="http://schemas.openxmlformats.org/officeDocument/2006/relationships/hyperlink" Target="http://www.phosphosite.org/proteinAction.do?id=5812&amp;showAllSites=true" TargetMode="External"/><Relationship Id="rId1175" Type="http://schemas.openxmlformats.org/officeDocument/2006/relationships/hyperlink" Target="http://www.cellsignal.com/products/9081.html" TargetMode="External"/><Relationship Id="rId1382" Type="http://schemas.openxmlformats.org/officeDocument/2006/relationships/hyperlink" Target="http://www.phosphosite.org/proteinAction.do?id=5812&amp;showAllSites=true" TargetMode="External"/><Relationship Id="rId1603" Type="http://schemas.openxmlformats.org/officeDocument/2006/relationships/hyperlink" Target="http://www.phosphosite.org/proteinAction.do?id=1461&amp;showAllSites=true" TargetMode="External"/><Relationship Id="rId1810" Type="http://schemas.openxmlformats.org/officeDocument/2006/relationships/hyperlink" Target="http://www.cellsignal.com/products/9744.html" TargetMode="External"/><Relationship Id="rId184" Type="http://schemas.openxmlformats.org/officeDocument/2006/relationships/hyperlink" Target="http://www.phosphosite.org/proteinAction.do?id=3276&amp;showAllSites=true" TargetMode="External"/><Relationship Id="rId391" Type="http://schemas.openxmlformats.org/officeDocument/2006/relationships/hyperlink" Target="http://www.phosphosite.org/proteinAction.do?id=3722&amp;showAllSites=true" TargetMode="External"/><Relationship Id="rId405" Type="http://schemas.openxmlformats.org/officeDocument/2006/relationships/hyperlink" Target="http://www.phosphosite.org/proteinAction.do?id=1461&amp;showAllSites=true" TargetMode="External"/><Relationship Id="rId612" Type="http://schemas.openxmlformats.org/officeDocument/2006/relationships/hyperlink" Target="http://www.cellsignal.com/products/11910.html" TargetMode="External"/><Relationship Id="rId1035" Type="http://schemas.openxmlformats.org/officeDocument/2006/relationships/hyperlink" Target="http://www.phosphosite.org/proteinAction.do?id=3722&amp;showAllSites=true" TargetMode="External"/><Relationship Id="rId1242" Type="http://schemas.openxmlformats.org/officeDocument/2006/relationships/hyperlink" Target="http://www.phosphosite.org/proteinAction.do?id=944&amp;showAllSites=true" TargetMode="External"/><Relationship Id="rId1687" Type="http://schemas.openxmlformats.org/officeDocument/2006/relationships/hyperlink" Target="http://www.phosphosite.org/proteinAction.do?id=5812&amp;showAllSites=true" TargetMode="External"/><Relationship Id="rId251" Type="http://schemas.openxmlformats.org/officeDocument/2006/relationships/hyperlink" Target="http://www.phosphosite.org/proteinAction.do?id=9341&amp;showAllSites=true" TargetMode="External"/><Relationship Id="rId489" Type="http://schemas.openxmlformats.org/officeDocument/2006/relationships/hyperlink" Target="http://www.phosphosite.org/proteinAction.do?id=1461&amp;showAllSites=true" TargetMode="External"/><Relationship Id="rId696" Type="http://schemas.openxmlformats.org/officeDocument/2006/relationships/hyperlink" Target="http://www.phosphosite.org/proteinAction.do?id=5812&amp;showAllSites=true" TargetMode="External"/><Relationship Id="rId917" Type="http://schemas.openxmlformats.org/officeDocument/2006/relationships/hyperlink" Target="http://www.cellsignal.com/products/5398.html" TargetMode="External"/><Relationship Id="rId1102" Type="http://schemas.openxmlformats.org/officeDocument/2006/relationships/hyperlink" Target="http://www.cellsignal.com/products/7668.html" TargetMode="External"/><Relationship Id="rId1547" Type="http://schemas.openxmlformats.org/officeDocument/2006/relationships/hyperlink" Target="http://www.phosphosite.org/proteinAction.do?id=1461&amp;showAllSites=true" TargetMode="External"/><Relationship Id="rId1754" Type="http://schemas.openxmlformats.org/officeDocument/2006/relationships/hyperlink" Target="http://www.phosphosite.org/proteinAction.do?id=5812&amp;showAllSites=true" TargetMode="External"/><Relationship Id="rId46" Type="http://schemas.openxmlformats.org/officeDocument/2006/relationships/hyperlink" Target="http://www.cellsignal.com/products/4885.html" TargetMode="External"/><Relationship Id="rId349" Type="http://schemas.openxmlformats.org/officeDocument/2006/relationships/hyperlink" Target="http://www.cellsignal.com/products/4558.html" TargetMode="External"/><Relationship Id="rId556" Type="http://schemas.openxmlformats.org/officeDocument/2006/relationships/hyperlink" Target="http://www.phosphosite.org/proteinAction.do?id=15331700&amp;showAllSites=true" TargetMode="External"/><Relationship Id="rId763" Type="http://schemas.openxmlformats.org/officeDocument/2006/relationships/hyperlink" Target="http://www.phosphosite.org/proteinAction.do?id=7056&amp;showAllSites=true" TargetMode="External"/><Relationship Id="rId1186" Type="http://schemas.openxmlformats.org/officeDocument/2006/relationships/hyperlink" Target="http://www.phosphosite.org/proteinAction.do?id=9052&amp;showAllSites=true" TargetMode="External"/><Relationship Id="rId1393" Type="http://schemas.openxmlformats.org/officeDocument/2006/relationships/hyperlink" Target="http://www.phosphosite.org/proteinAction.do?id=3701941&amp;showAllSites=true" TargetMode="External"/><Relationship Id="rId1407" Type="http://schemas.openxmlformats.org/officeDocument/2006/relationships/hyperlink" Target="http://www.phosphosite.org/proteinAction.do?id=3642&amp;showAllSites=true" TargetMode="External"/><Relationship Id="rId1614" Type="http://schemas.openxmlformats.org/officeDocument/2006/relationships/hyperlink" Target="http://www.phosphosite.org/proteinAction.do?id=4078&amp;showAllSites=true" TargetMode="External"/><Relationship Id="rId1821" Type="http://schemas.openxmlformats.org/officeDocument/2006/relationships/hyperlink" Target="http://www.cellsignal.com/products/3469.html" TargetMode="External"/><Relationship Id="rId111" Type="http://schemas.openxmlformats.org/officeDocument/2006/relationships/hyperlink" Target="http://www.cellsignal.com/products/6503.html" TargetMode="External"/><Relationship Id="rId195" Type="http://schemas.openxmlformats.org/officeDocument/2006/relationships/hyperlink" Target="http://www.cellsignal.com/products/4860.html" TargetMode="External"/><Relationship Id="rId209" Type="http://schemas.openxmlformats.org/officeDocument/2006/relationships/hyperlink" Target="http://www.phosphosite.org/proteinAction.do?id=9591&amp;showAllSites=true" TargetMode="External"/><Relationship Id="rId416" Type="http://schemas.openxmlformats.org/officeDocument/2006/relationships/hyperlink" Target="http://www.phosphosite.org/proteinAction.do?id=1461&amp;showAllSites=true" TargetMode="External"/><Relationship Id="rId970" Type="http://schemas.openxmlformats.org/officeDocument/2006/relationships/hyperlink" Target="http://www.phosphosite.org/proteinAction.do?id=3130&amp;showAllSites=true" TargetMode="External"/><Relationship Id="rId1046" Type="http://schemas.openxmlformats.org/officeDocument/2006/relationships/hyperlink" Target="http://www.phosphosite.org/proteinAction.do?id=1461&amp;showAllSites=true" TargetMode="External"/><Relationship Id="rId1253" Type="http://schemas.openxmlformats.org/officeDocument/2006/relationships/hyperlink" Target="http://www.phosphosite.org/proteinAction.do?id=944&amp;showAllSites=true" TargetMode="External"/><Relationship Id="rId1698" Type="http://schemas.openxmlformats.org/officeDocument/2006/relationships/hyperlink" Target="http://www.phosphosite.org/proteinAction.do?id=5812&amp;showAllSites=true" TargetMode="External"/><Relationship Id="rId623" Type="http://schemas.openxmlformats.org/officeDocument/2006/relationships/hyperlink" Target="http://www.phosphosite.org/proteinAction.do?id=6490&amp;showAllSites=true" TargetMode="External"/><Relationship Id="rId830" Type="http://schemas.openxmlformats.org/officeDocument/2006/relationships/hyperlink" Target="http://www.phosphosite.org/proteinAction.do?id=3701941&amp;showAllSites=true" TargetMode="External"/><Relationship Id="rId928" Type="http://schemas.openxmlformats.org/officeDocument/2006/relationships/hyperlink" Target="http://www.phosphosite.org/proteinAction.do?id=9462&amp;showAllSites=true" TargetMode="External"/><Relationship Id="rId1460" Type="http://schemas.openxmlformats.org/officeDocument/2006/relationships/hyperlink" Target="http://www.phosphosite.org/proteinAction.do?id=1461&amp;showAllSites=true" TargetMode="External"/><Relationship Id="rId1558" Type="http://schemas.openxmlformats.org/officeDocument/2006/relationships/hyperlink" Target="http://www.phosphosite.org/proteinAction.do?id=1461&amp;showAllSites=true" TargetMode="External"/><Relationship Id="rId1765" Type="http://schemas.openxmlformats.org/officeDocument/2006/relationships/hyperlink" Target="http://www.phosphosite.org/proteinAction.do?id=5812&amp;showAllSites=true" TargetMode="External"/><Relationship Id="rId57" Type="http://schemas.openxmlformats.org/officeDocument/2006/relationships/hyperlink" Target="http://www.cellsignal.com/products/9053.html" TargetMode="External"/><Relationship Id="rId262" Type="http://schemas.openxmlformats.org/officeDocument/2006/relationships/hyperlink" Target="http://www.cellsignal.com/products/4548.html" TargetMode="External"/><Relationship Id="rId567" Type="http://schemas.openxmlformats.org/officeDocument/2006/relationships/hyperlink" Target="http://www.phosphosite.org/proteinAction.do?id=18830500&amp;showAllSites=true" TargetMode="External"/><Relationship Id="rId1113" Type="http://schemas.openxmlformats.org/officeDocument/2006/relationships/hyperlink" Target="http://www.phosphosite.org/proteinAction.do?id=2612&amp;showAllSites=true" TargetMode="External"/><Relationship Id="rId1197" Type="http://schemas.openxmlformats.org/officeDocument/2006/relationships/hyperlink" Target="http://www.phosphosite.org/proteinAction.do?id=3130&amp;showAllSites=true" TargetMode="External"/><Relationship Id="rId1320" Type="http://schemas.openxmlformats.org/officeDocument/2006/relationships/hyperlink" Target="http://www.phosphosite.org/proteinAction.do?id=15331700&amp;showAllSites=true" TargetMode="External"/><Relationship Id="rId1418" Type="http://schemas.openxmlformats.org/officeDocument/2006/relationships/hyperlink" Target="http://www.phosphosite.org/proteinAction.do?id=4627&amp;showAllSites=true" TargetMode="External"/><Relationship Id="rId122" Type="http://schemas.openxmlformats.org/officeDocument/2006/relationships/hyperlink" Target="http://www.cellsignal.com/products/4885.html" TargetMode="External"/><Relationship Id="rId774" Type="http://schemas.openxmlformats.org/officeDocument/2006/relationships/hyperlink" Target="http://www.phosphosite.org/proteinAction.do?id=5362100&amp;showAllSites=true" TargetMode="External"/><Relationship Id="rId981" Type="http://schemas.openxmlformats.org/officeDocument/2006/relationships/hyperlink" Target="http://www.phosphosite.org/proteinAction.do?id=27269108&amp;showAllSites=true" TargetMode="External"/><Relationship Id="rId1057" Type="http://schemas.openxmlformats.org/officeDocument/2006/relationships/hyperlink" Target="http://www.phosphosite.org/proteinAction.do?id=1461&amp;showAllSites=true" TargetMode="External"/><Relationship Id="rId1625" Type="http://schemas.openxmlformats.org/officeDocument/2006/relationships/hyperlink" Target="http://www.phosphosite.org/proteinAction.do?id=22920001&amp;showAllSites=true" TargetMode="External"/><Relationship Id="rId1832" Type="http://schemas.openxmlformats.org/officeDocument/2006/relationships/hyperlink" Target="http://www.phosphosite.org/proteinAction.do?id=1461&amp;showAllSites=true" TargetMode="External"/><Relationship Id="rId427" Type="http://schemas.openxmlformats.org/officeDocument/2006/relationships/hyperlink" Target="http://www.phosphosite.org/proteinAction.do?id=1461&amp;showAllSites=true" TargetMode="External"/><Relationship Id="rId634" Type="http://schemas.openxmlformats.org/officeDocument/2006/relationships/hyperlink" Target="http://www.cellsignal.com/products/8443.html" TargetMode="External"/><Relationship Id="rId841" Type="http://schemas.openxmlformats.org/officeDocument/2006/relationships/hyperlink" Target="http://www.phosphosite.org/proteinAction.do?id=3701941&amp;showAllSites=true" TargetMode="External"/><Relationship Id="rId1264" Type="http://schemas.openxmlformats.org/officeDocument/2006/relationships/hyperlink" Target="http://www.phosphosite.org/proteinAction.do?id=944&amp;showAllSites=true" TargetMode="External"/><Relationship Id="rId1471" Type="http://schemas.openxmlformats.org/officeDocument/2006/relationships/hyperlink" Target="http://www.phosphosite.org/proteinAction.do?id=1461&amp;showAllSites=true" TargetMode="External"/><Relationship Id="rId1569" Type="http://schemas.openxmlformats.org/officeDocument/2006/relationships/hyperlink" Target="http://www.phosphosite.org/proteinAction.do?id=1461&amp;showAllSites=true" TargetMode="External"/><Relationship Id="rId273" Type="http://schemas.openxmlformats.org/officeDocument/2006/relationships/hyperlink" Target="http://www.cellsignal.com/products/4548.html" TargetMode="External"/><Relationship Id="rId480" Type="http://schemas.openxmlformats.org/officeDocument/2006/relationships/hyperlink" Target="http://www.phosphosite.org/proteinAction.do?id=1461&amp;showAllSites=true" TargetMode="External"/><Relationship Id="rId701" Type="http://schemas.openxmlformats.org/officeDocument/2006/relationships/hyperlink" Target="http://www.phosphosite.org/proteinAction.do?id=5812&amp;showAllSites=true" TargetMode="External"/><Relationship Id="rId939" Type="http://schemas.openxmlformats.org/officeDocument/2006/relationships/hyperlink" Target="http://www.cellsignal.com/products/5398.html" TargetMode="External"/><Relationship Id="rId1124" Type="http://schemas.openxmlformats.org/officeDocument/2006/relationships/hyperlink" Target="http://www.phosphosite.org/proteinAction.do?id=5812&amp;showAllSites=true" TargetMode="External"/><Relationship Id="rId1331" Type="http://schemas.openxmlformats.org/officeDocument/2006/relationships/hyperlink" Target="http://www.phosphosite.org/proteinAction.do?id=15331700&amp;showAllSites=true" TargetMode="External"/><Relationship Id="rId1776" Type="http://schemas.openxmlformats.org/officeDocument/2006/relationships/hyperlink" Target="http://www.phosphosite.org/proteinAction.do?id=5812&amp;showAllSites=true" TargetMode="External"/><Relationship Id="rId68" Type="http://schemas.openxmlformats.org/officeDocument/2006/relationships/hyperlink" Target="http://www.cellsignal.com/products/9053.html" TargetMode="External"/><Relationship Id="rId133" Type="http://schemas.openxmlformats.org/officeDocument/2006/relationships/hyperlink" Target="http://www.cellsignal.com/products/4885.html" TargetMode="External"/><Relationship Id="rId340" Type="http://schemas.openxmlformats.org/officeDocument/2006/relationships/hyperlink" Target="http://www.cellsignal.com/products/4558.html" TargetMode="External"/><Relationship Id="rId578" Type="http://schemas.openxmlformats.org/officeDocument/2006/relationships/hyperlink" Target="http://www.phosphosite.org/proteinAction.do?id=5796&amp;showAllSites=true" TargetMode="External"/><Relationship Id="rId785" Type="http://schemas.openxmlformats.org/officeDocument/2006/relationships/hyperlink" Target="http://www.phosphosite.org/proteinAction.do?id=3117&amp;showAllSites=true" TargetMode="External"/><Relationship Id="rId992" Type="http://schemas.openxmlformats.org/officeDocument/2006/relationships/hyperlink" Target="http://www.phosphosite.org/proteinAction.do?id=22872603&amp;showAllSites=true" TargetMode="External"/><Relationship Id="rId1429" Type="http://schemas.openxmlformats.org/officeDocument/2006/relationships/hyperlink" Target="http://www.phosphosite.org/proteinAction.do?id=1461&amp;showAllSites=true" TargetMode="External"/><Relationship Id="rId1636" Type="http://schemas.openxmlformats.org/officeDocument/2006/relationships/hyperlink" Target="http://www.phosphosite.org/proteinAction.do?id=2637&amp;showAllSites=true" TargetMode="External"/><Relationship Id="rId1843" Type="http://schemas.openxmlformats.org/officeDocument/2006/relationships/hyperlink" Target="http://www.cellsignal.com/products/11910.html" TargetMode="External"/><Relationship Id="rId200" Type="http://schemas.openxmlformats.org/officeDocument/2006/relationships/hyperlink" Target="http://www.cellsignal.com/products/8858.html" TargetMode="External"/><Relationship Id="rId438" Type="http://schemas.openxmlformats.org/officeDocument/2006/relationships/hyperlink" Target="http://www.phosphosite.org/proteinAction.do?id=1461&amp;showAllSites=true" TargetMode="External"/><Relationship Id="rId645" Type="http://schemas.openxmlformats.org/officeDocument/2006/relationships/hyperlink" Target="http://www.phosphosite.org/proteinAction.do?id=2612&amp;showAllSites=true" TargetMode="External"/><Relationship Id="rId852" Type="http://schemas.openxmlformats.org/officeDocument/2006/relationships/hyperlink" Target="http://www.phosphosite.org/proteinAction.do?id=3701941&amp;showAllSites=true" TargetMode="External"/><Relationship Id="rId1068" Type="http://schemas.openxmlformats.org/officeDocument/2006/relationships/hyperlink" Target="http://www.phosphosite.org/proteinAction.do?id=14276&amp;showAllSites=true" TargetMode="External"/><Relationship Id="rId1275" Type="http://schemas.openxmlformats.org/officeDocument/2006/relationships/hyperlink" Target="http://www.phosphosite.org/proteinAction.do?id=944&amp;showAllSites=true" TargetMode="External"/><Relationship Id="rId1482" Type="http://schemas.openxmlformats.org/officeDocument/2006/relationships/hyperlink" Target="http://www.phosphosite.org/proteinAction.do?id=1461&amp;showAllSites=true" TargetMode="External"/><Relationship Id="rId1703" Type="http://schemas.openxmlformats.org/officeDocument/2006/relationships/hyperlink" Target="http://www.phosphosite.org/proteinAction.do?id=5812&amp;showAllSites=true" TargetMode="External"/><Relationship Id="rId284" Type="http://schemas.openxmlformats.org/officeDocument/2006/relationships/hyperlink" Target="http://www.cellsignal.com/products/4548.html" TargetMode="External"/><Relationship Id="rId491" Type="http://schemas.openxmlformats.org/officeDocument/2006/relationships/hyperlink" Target="http://www.phosphosite.org/proteinAction.do?id=1461&amp;showAllSites=true" TargetMode="External"/><Relationship Id="rId505" Type="http://schemas.openxmlformats.org/officeDocument/2006/relationships/hyperlink" Target="http://www.phosphosite.org/proteinAction.do?id=2618&amp;showAllSites=true" TargetMode="External"/><Relationship Id="rId712" Type="http://schemas.openxmlformats.org/officeDocument/2006/relationships/hyperlink" Target="http://www.phosphosite.org/proteinAction.do?id=5812&amp;showAllSites=true" TargetMode="External"/><Relationship Id="rId1135" Type="http://schemas.openxmlformats.org/officeDocument/2006/relationships/hyperlink" Target="http://www.phosphosite.org/proteinAction.do?id=5812&amp;showAllSites=true" TargetMode="External"/><Relationship Id="rId1342" Type="http://schemas.openxmlformats.org/officeDocument/2006/relationships/hyperlink" Target="http://www.phosphosite.org/proteinAction.do?id=17074&amp;showAllSites=true" TargetMode="External"/><Relationship Id="rId1787" Type="http://schemas.openxmlformats.org/officeDocument/2006/relationships/hyperlink" Target="http://www.phosphosite.org/proteinAction.do?id=5812&amp;showAllSites=true" TargetMode="External"/><Relationship Id="rId79" Type="http://schemas.openxmlformats.org/officeDocument/2006/relationships/hyperlink" Target="http://www.cellsignal.com/products/11910.html" TargetMode="External"/><Relationship Id="rId144" Type="http://schemas.openxmlformats.org/officeDocument/2006/relationships/hyperlink" Target="http://www.phosphosite.org/proteinAction.do?id=5758&amp;showAllSites=true" TargetMode="External"/><Relationship Id="rId589" Type="http://schemas.openxmlformats.org/officeDocument/2006/relationships/hyperlink" Target="http://www.phosphosite.org/proteinAction.do?id=11780&amp;showAllSites=true" TargetMode="External"/><Relationship Id="rId796" Type="http://schemas.openxmlformats.org/officeDocument/2006/relationships/hyperlink" Target="http://www.phosphosite.org/proteinAction.do?id=3202&amp;showAllSites=true" TargetMode="External"/><Relationship Id="rId1202" Type="http://schemas.openxmlformats.org/officeDocument/2006/relationships/hyperlink" Target="http://www.phosphosite.org/proteinAction.do?id=944&amp;showAllSites=true" TargetMode="External"/><Relationship Id="rId1647" Type="http://schemas.openxmlformats.org/officeDocument/2006/relationships/hyperlink" Target="http://www.phosphosite.org/proteinAction.do?id=2612&amp;showAllSites=true" TargetMode="External"/><Relationship Id="rId1854" Type="http://schemas.openxmlformats.org/officeDocument/2006/relationships/hyperlink" Target="http://www.phosphosite.org/proteinAction.do?id=3701941&amp;showAllSites=true" TargetMode="External"/><Relationship Id="rId351" Type="http://schemas.openxmlformats.org/officeDocument/2006/relationships/hyperlink" Target="http://www.phosphosite.org/proteinAction.do?id=3722&amp;showAllSites=true" TargetMode="External"/><Relationship Id="rId449" Type="http://schemas.openxmlformats.org/officeDocument/2006/relationships/hyperlink" Target="http://www.phosphosite.org/proteinAction.do?id=1461&amp;showAllSites=true" TargetMode="External"/><Relationship Id="rId656" Type="http://schemas.openxmlformats.org/officeDocument/2006/relationships/hyperlink" Target="http://www.phosphosite.org/proteinAction.do?id=5812&amp;showAllSites=true" TargetMode="External"/><Relationship Id="rId863" Type="http://schemas.openxmlformats.org/officeDocument/2006/relationships/hyperlink" Target="http://www.phosphosite.org/proteinAction.do?id=3701941&amp;showAllSites=true" TargetMode="External"/><Relationship Id="rId1079" Type="http://schemas.openxmlformats.org/officeDocument/2006/relationships/hyperlink" Target="http://www.phosphosite.org/proteinAction.do?id=15331700&amp;showAllSites=true" TargetMode="External"/><Relationship Id="rId1286" Type="http://schemas.openxmlformats.org/officeDocument/2006/relationships/hyperlink" Target="http://www.phosphosite.org/proteinAction.do?id=944&amp;showAllSites=true" TargetMode="External"/><Relationship Id="rId1493" Type="http://schemas.openxmlformats.org/officeDocument/2006/relationships/hyperlink" Target="http://www.phosphosite.org/proteinAction.do?id=1461&amp;showAllSites=true" TargetMode="External"/><Relationship Id="rId1507" Type="http://schemas.openxmlformats.org/officeDocument/2006/relationships/hyperlink" Target="http://www.phosphosite.org/proteinAction.do?id=1461&amp;showAllSites=true" TargetMode="External"/><Relationship Id="rId1714" Type="http://schemas.openxmlformats.org/officeDocument/2006/relationships/hyperlink" Target="http://www.phosphosite.org/proteinAction.do?id=5812&amp;showAllSites=true" TargetMode="External"/><Relationship Id="rId211" Type="http://schemas.openxmlformats.org/officeDocument/2006/relationships/hyperlink" Target="http://www.phosphosite.org/proteinAction.do?id=2659&amp;showAllSites=true" TargetMode="External"/><Relationship Id="rId295" Type="http://schemas.openxmlformats.org/officeDocument/2006/relationships/hyperlink" Target="http://www.cellsignal.com/products/4548.html" TargetMode="External"/><Relationship Id="rId309" Type="http://schemas.openxmlformats.org/officeDocument/2006/relationships/hyperlink" Target="http://www.cellsignal.com/products/4548.html" TargetMode="External"/><Relationship Id="rId516" Type="http://schemas.openxmlformats.org/officeDocument/2006/relationships/hyperlink" Target="http://www.phosphosite.org/proteinAction.do?id=27436900&amp;showAllSites=true" TargetMode="External"/><Relationship Id="rId1146" Type="http://schemas.openxmlformats.org/officeDocument/2006/relationships/hyperlink" Target="http://www.phosphosite.org/proteinAction.do?id=7056&amp;showAllSites=true" TargetMode="External"/><Relationship Id="rId1798" Type="http://schemas.openxmlformats.org/officeDocument/2006/relationships/hyperlink" Target="http://www.phosphosite.org/proteinAction.do?id=3658401&amp;showAllSites=true" TargetMode="External"/><Relationship Id="rId723" Type="http://schemas.openxmlformats.org/officeDocument/2006/relationships/hyperlink" Target="http://www.phosphosite.org/proteinAction.do?id=5812&amp;showAllSites=true" TargetMode="External"/><Relationship Id="rId930" Type="http://schemas.openxmlformats.org/officeDocument/2006/relationships/hyperlink" Target="http://www.phosphosite.org/proteinAction.do?id=9462&amp;showAllSites=true" TargetMode="External"/><Relationship Id="rId1006" Type="http://schemas.openxmlformats.org/officeDocument/2006/relationships/hyperlink" Target="http://www.phosphosite.org/proteinAction.do?id=15365&amp;showAllSites=true" TargetMode="External"/><Relationship Id="rId1353" Type="http://schemas.openxmlformats.org/officeDocument/2006/relationships/hyperlink" Target="http://www.phosphosite.org/proteinAction.do?id=3225402&amp;showAllSites=true" TargetMode="External"/><Relationship Id="rId1560" Type="http://schemas.openxmlformats.org/officeDocument/2006/relationships/hyperlink" Target="http://www.phosphosite.org/proteinAction.do?id=1461&amp;showAllSites=true" TargetMode="External"/><Relationship Id="rId1658" Type="http://schemas.openxmlformats.org/officeDocument/2006/relationships/hyperlink" Target="http://www.phosphosite.org/proteinAction.do?id=2612&amp;showAllSites=true" TargetMode="External"/><Relationship Id="rId1865" Type="http://schemas.openxmlformats.org/officeDocument/2006/relationships/hyperlink" Target="http://www.cellsignal.com/products/9828.html" TargetMode="External"/><Relationship Id="rId155" Type="http://schemas.openxmlformats.org/officeDocument/2006/relationships/hyperlink" Target="http://www.phosphosite.org/proteinAction.do?id=6010&amp;showAllSites=true" TargetMode="External"/><Relationship Id="rId362" Type="http://schemas.openxmlformats.org/officeDocument/2006/relationships/hyperlink" Target="http://www.cellsignal.com/products/4558.html" TargetMode="External"/><Relationship Id="rId1213" Type="http://schemas.openxmlformats.org/officeDocument/2006/relationships/hyperlink" Target="http://www.phosphosite.org/proteinAction.do?id=944&amp;showAllSites=true" TargetMode="External"/><Relationship Id="rId1297" Type="http://schemas.openxmlformats.org/officeDocument/2006/relationships/hyperlink" Target="http://www.phosphosite.org/proteinAction.do?id=1461&amp;showAllSites=true" TargetMode="External"/><Relationship Id="rId1420" Type="http://schemas.openxmlformats.org/officeDocument/2006/relationships/hyperlink" Target="http://www.phosphosite.org/proteinAction.do?id=4627&amp;showAllSites=true" TargetMode="External"/><Relationship Id="rId1518" Type="http://schemas.openxmlformats.org/officeDocument/2006/relationships/hyperlink" Target="http://www.phosphosite.org/proteinAction.do?id=1461&amp;showAllSites=true" TargetMode="External"/><Relationship Id="rId222" Type="http://schemas.openxmlformats.org/officeDocument/2006/relationships/hyperlink" Target="http://www.phosphosite.org/proteinAction.do?id=9134&amp;showAllSites=true" TargetMode="External"/><Relationship Id="rId667" Type="http://schemas.openxmlformats.org/officeDocument/2006/relationships/hyperlink" Target="http://www.phosphosite.org/proteinAction.do?id=5812&amp;showAllSites=true" TargetMode="External"/><Relationship Id="rId874" Type="http://schemas.openxmlformats.org/officeDocument/2006/relationships/hyperlink" Target="http://www.phosphosite.org/proteinAction.do?id=3701941&amp;showAllSites=true" TargetMode="External"/><Relationship Id="rId1725" Type="http://schemas.openxmlformats.org/officeDocument/2006/relationships/hyperlink" Target="http://www.phosphosite.org/proteinAction.do?id=5812&amp;showAllSites=true" TargetMode="External"/><Relationship Id="rId17" Type="http://schemas.openxmlformats.org/officeDocument/2006/relationships/hyperlink" Target="http://www.cellsignal.com/products/5765.html" TargetMode="External"/><Relationship Id="rId527" Type="http://schemas.openxmlformats.org/officeDocument/2006/relationships/hyperlink" Target="http://www.phosphosite.org/proteinAction.do?id=14276&amp;showAllSites=true" TargetMode="External"/><Relationship Id="rId734" Type="http://schemas.openxmlformats.org/officeDocument/2006/relationships/hyperlink" Target="http://www.phosphosite.org/proteinAction.do?id=5812&amp;showAllSites=true" TargetMode="External"/><Relationship Id="rId941" Type="http://schemas.openxmlformats.org/officeDocument/2006/relationships/hyperlink" Target="http://www.cellsignal.com/products/5398.html" TargetMode="External"/><Relationship Id="rId1157" Type="http://schemas.openxmlformats.org/officeDocument/2006/relationships/hyperlink" Target="http://www.phosphosite.org/proteinAction.do?id=3701941&amp;showAllSites=true" TargetMode="External"/><Relationship Id="rId1364" Type="http://schemas.openxmlformats.org/officeDocument/2006/relationships/hyperlink" Target="http://www.phosphosite.org/proteinAction.do?id=14151000&amp;showAllSites=true" TargetMode="External"/><Relationship Id="rId1571" Type="http://schemas.openxmlformats.org/officeDocument/2006/relationships/hyperlink" Target="http://www.phosphosite.org/proteinAction.do?id=1461&amp;showAllSites=true" TargetMode="External"/><Relationship Id="rId70" Type="http://schemas.openxmlformats.org/officeDocument/2006/relationships/hyperlink" Target="http://www.cellsignal.com/products/11910.html" TargetMode="External"/><Relationship Id="rId166" Type="http://schemas.openxmlformats.org/officeDocument/2006/relationships/hyperlink" Target="http://www.phosphosite.org/proteinAction.do?id=2711&amp;showAllSites=true" TargetMode="External"/><Relationship Id="rId373" Type="http://schemas.openxmlformats.org/officeDocument/2006/relationships/hyperlink" Target="http://www.phosphosite.org/proteinAction.do?id=3722&amp;showAllSites=true" TargetMode="External"/><Relationship Id="rId580" Type="http://schemas.openxmlformats.org/officeDocument/2006/relationships/hyperlink" Target="http://www.phosphosite.org/proteinAction.do?id=7584115&amp;showAllSites=true" TargetMode="External"/><Relationship Id="rId801" Type="http://schemas.openxmlformats.org/officeDocument/2006/relationships/hyperlink" Target="http://www.phosphosite.org/proteinAction.do?id=3701941&amp;showAllSites=true" TargetMode="External"/><Relationship Id="rId1017" Type="http://schemas.openxmlformats.org/officeDocument/2006/relationships/hyperlink" Target="http://www.phosphosite.org/proteinAction.do?id=9134&amp;showAllSites=true" TargetMode="External"/><Relationship Id="rId1224" Type="http://schemas.openxmlformats.org/officeDocument/2006/relationships/hyperlink" Target="http://www.phosphosite.org/proteinAction.do?id=944&amp;showAllSites=true" TargetMode="External"/><Relationship Id="rId1431" Type="http://schemas.openxmlformats.org/officeDocument/2006/relationships/hyperlink" Target="http://www.phosphosite.org/proteinAction.do?id=1461&amp;showAllSites=true" TargetMode="External"/><Relationship Id="rId1669" Type="http://schemas.openxmlformats.org/officeDocument/2006/relationships/hyperlink" Target="http://www.phosphosite.org/proteinAction.do?id=5812&amp;showAllSites=true" TargetMode="External"/><Relationship Id="rId1" Type="http://schemas.openxmlformats.org/officeDocument/2006/relationships/hyperlink" Target="http://www.cellsignal.com/products/8444.html" TargetMode="External"/><Relationship Id="rId233" Type="http://schemas.openxmlformats.org/officeDocument/2006/relationships/hyperlink" Target="http://www.cellsignal.com/products/8444.html" TargetMode="External"/><Relationship Id="rId440" Type="http://schemas.openxmlformats.org/officeDocument/2006/relationships/hyperlink" Target="http://www.phosphosite.org/proteinAction.do?id=1461&amp;showAllSites=true" TargetMode="External"/><Relationship Id="rId678" Type="http://schemas.openxmlformats.org/officeDocument/2006/relationships/hyperlink" Target="http://www.phosphosite.org/proteinAction.do?id=5812&amp;showAllSites=true" TargetMode="External"/><Relationship Id="rId885" Type="http://schemas.openxmlformats.org/officeDocument/2006/relationships/hyperlink" Target="http://www.phosphosite.org/proteinAction.do?id=3701941&amp;showAllSites=true" TargetMode="External"/><Relationship Id="rId1070" Type="http://schemas.openxmlformats.org/officeDocument/2006/relationships/hyperlink" Target="http://www.phosphosite.org/proteinAction.do?id=14276&amp;showAllSites=true" TargetMode="External"/><Relationship Id="rId1529" Type="http://schemas.openxmlformats.org/officeDocument/2006/relationships/hyperlink" Target="http://www.phosphosite.org/proteinAction.do?id=1461&amp;showAllSites=true" TargetMode="External"/><Relationship Id="rId1736" Type="http://schemas.openxmlformats.org/officeDocument/2006/relationships/hyperlink" Target="http://www.phosphosite.org/proteinAction.do?id=5812&amp;showAllSites=true" TargetMode="External"/><Relationship Id="rId28" Type="http://schemas.openxmlformats.org/officeDocument/2006/relationships/hyperlink" Target="http://www.cellsignal.com/products/5765.html" TargetMode="External"/><Relationship Id="rId300" Type="http://schemas.openxmlformats.org/officeDocument/2006/relationships/hyperlink" Target="http://www.cellsignal.com/products/4548.html" TargetMode="External"/><Relationship Id="rId538" Type="http://schemas.openxmlformats.org/officeDocument/2006/relationships/hyperlink" Target="http://www.phosphosite.org/proteinAction.do?id=4168&amp;showAllSites=true" TargetMode="External"/><Relationship Id="rId745" Type="http://schemas.openxmlformats.org/officeDocument/2006/relationships/hyperlink" Target="http://www.phosphosite.org/proteinAction.do?id=5812&amp;showAllSites=true" TargetMode="External"/><Relationship Id="rId952" Type="http://schemas.openxmlformats.org/officeDocument/2006/relationships/hyperlink" Target="http://www.phosphosite.org/proteinAction.do?id=9468&amp;showAllSites=true" TargetMode="External"/><Relationship Id="rId1168" Type="http://schemas.openxmlformats.org/officeDocument/2006/relationships/hyperlink" Target="http://www.phosphosite.org/proteinAction.do?id=3701941&amp;showAllSites=true" TargetMode="External"/><Relationship Id="rId1375" Type="http://schemas.openxmlformats.org/officeDocument/2006/relationships/hyperlink" Target="http://www.phosphosite.org/proteinAction.do?id=5812&amp;showAllSites=true" TargetMode="External"/><Relationship Id="rId1582" Type="http://schemas.openxmlformats.org/officeDocument/2006/relationships/hyperlink" Target="http://www.phosphosite.org/proteinAction.do?id=1461&amp;showAllSites=true" TargetMode="External"/><Relationship Id="rId1803" Type="http://schemas.openxmlformats.org/officeDocument/2006/relationships/hyperlink" Target="http://www.cellsignal.com/products/9744.html" TargetMode="External"/><Relationship Id="rId81" Type="http://schemas.openxmlformats.org/officeDocument/2006/relationships/hyperlink" Target="http://www.cellsignal.com/products/4885.html" TargetMode="External"/><Relationship Id="rId177" Type="http://schemas.openxmlformats.org/officeDocument/2006/relationships/hyperlink" Target="http://www.phosphosite.org/proteinAction.do?id=8386&amp;showAllSites=true" TargetMode="External"/><Relationship Id="rId384" Type="http://schemas.openxmlformats.org/officeDocument/2006/relationships/hyperlink" Target="http://www.cellsignal.com/products/4558.html" TargetMode="External"/><Relationship Id="rId591" Type="http://schemas.openxmlformats.org/officeDocument/2006/relationships/hyperlink" Target="http://www.phosphosite.org/proteinAction.do?id=16019&amp;showAllSites=true" TargetMode="External"/><Relationship Id="rId605" Type="http://schemas.openxmlformats.org/officeDocument/2006/relationships/hyperlink" Target="http://www.phosphosite.org/proteinAction.do?id=4129&amp;showAllSites=true" TargetMode="External"/><Relationship Id="rId812" Type="http://schemas.openxmlformats.org/officeDocument/2006/relationships/hyperlink" Target="http://www.phosphosite.org/proteinAction.do?id=3701941&amp;showAllSites=true" TargetMode="External"/><Relationship Id="rId1028" Type="http://schemas.openxmlformats.org/officeDocument/2006/relationships/hyperlink" Target="http://www.cellsignal.com/products/4548.html" TargetMode="External"/><Relationship Id="rId1235" Type="http://schemas.openxmlformats.org/officeDocument/2006/relationships/hyperlink" Target="http://www.phosphosite.org/proteinAction.do?id=944&amp;showAllSites=true" TargetMode="External"/><Relationship Id="rId1442" Type="http://schemas.openxmlformats.org/officeDocument/2006/relationships/hyperlink" Target="http://www.phosphosite.org/proteinAction.do?id=1461&amp;showAllSites=true" TargetMode="External"/><Relationship Id="rId244" Type="http://schemas.openxmlformats.org/officeDocument/2006/relationships/hyperlink" Target="http://www.phosphosite.org/proteinAction.do?id=4119&amp;showAllSites=true" TargetMode="External"/><Relationship Id="rId689" Type="http://schemas.openxmlformats.org/officeDocument/2006/relationships/hyperlink" Target="http://www.phosphosite.org/proteinAction.do?id=5812&amp;showAllSites=true" TargetMode="External"/><Relationship Id="rId896" Type="http://schemas.openxmlformats.org/officeDocument/2006/relationships/hyperlink" Target="http://www.cellsignal.com/products/9081.html" TargetMode="External"/><Relationship Id="rId1081" Type="http://schemas.openxmlformats.org/officeDocument/2006/relationships/hyperlink" Target="http://www.phosphosite.org/proteinAction.do?id=15103&amp;showAllSites=true" TargetMode="External"/><Relationship Id="rId1302" Type="http://schemas.openxmlformats.org/officeDocument/2006/relationships/hyperlink" Target="http://www.phosphosite.org/proteinAction.do?id=1461&amp;showAllSites=true" TargetMode="External"/><Relationship Id="rId1747" Type="http://schemas.openxmlformats.org/officeDocument/2006/relationships/hyperlink" Target="http://www.phosphosite.org/proteinAction.do?id=5812&amp;showAllSites=true" TargetMode="External"/><Relationship Id="rId39" Type="http://schemas.openxmlformats.org/officeDocument/2006/relationships/hyperlink" Target="http://www.cellsignal.com/products/4502.html" TargetMode="External"/><Relationship Id="rId451" Type="http://schemas.openxmlformats.org/officeDocument/2006/relationships/hyperlink" Target="http://www.phosphosite.org/proteinAction.do?id=1461&amp;showAllSites=true" TargetMode="External"/><Relationship Id="rId549" Type="http://schemas.openxmlformats.org/officeDocument/2006/relationships/hyperlink" Target="http://www.phosphosite.org/proteinAction.do?id=26357900&amp;showAllSites=true" TargetMode="External"/><Relationship Id="rId756" Type="http://schemas.openxmlformats.org/officeDocument/2006/relationships/hyperlink" Target="http://www.phosphosite.org/proteinAction.do?id=5812&amp;showAllSites=true" TargetMode="External"/><Relationship Id="rId1179" Type="http://schemas.openxmlformats.org/officeDocument/2006/relationships/hyperlink" Target="http://www.cellsignal.com/products/5398.html" TargetMode="External"/><Relationship Id="rId1386" Type="http://schemas.openxmlformats.org/officeDocument/2006/relationships/hyperlink" Target="http://www.phosphosite.org/proteinAction.do?id=5812&amp;showAllSites=true" TargetMode="External"/><Relationship Id="rId1593" Type="http://schemas.openxmlformats.org/officeDocument/2006/relationships/hyperlink" Target="http://www.phosphosite.org/proteinAction.do?id=1461&amp;showAllSites=true" TargetMode="External"/><Relationship Id="rId1607" Type="http://schemas.openxmlformats.org/officeDocument/2006/relationships/hyperlink" Target="http://www.phosphosite.org/proteinAction.do?id=1461&amp;showAllSites=true" TargetMode="External"/><Relationship Id="rId1814" Type="http://schemas.openxmlformats.org/officeDocument/2006/relationships/hyperlink" Target="http://www.cellsignal.com/products/3469.html" TargetMode="External"/><Relationship Id="rId104" Type="http://schemas.openxmlformats.org/officeDocument/2006/relationships/hyperlink" Target="http://www.cellsignal.com/products/4255.html" TargetMode="External"/><Relationship Id="rId188" Type="http://schemas.openxmlformats.org/officeDocument/2006/relationships/hyperlink" Target="http://www.phosphosite.org/proteinAction.do?id=8230&amp;showAllSites=true" TargetMode="External"/><Relationship Id="rId311" Type="http://schemas.openxmlformats.org/officeDocument/2006/relationships/hyperlink" Target="http://www.cellsignal.com/products/4548.html" TargetMode="External"/><Relationship Id="rId395" Type="http://schemas.openxmlformats.org/officeDocument/2006/relationships/hyperlink" Target="http://www.phosphosite.org/proteinAction.do?id=8358&amp;showAllSites=true" TargetMode="External"/><Relationship Id="rId409" Type="http://schemas.openxmlformats.org/officeDocument/2006/relationships/hyperlink" Target="http://www.phosphosite.org/proteinAction.do?id=1461&amp;showAllSites=true" TargetMode="External"/><Relationship Id="rId963" Type="http://schemas.openxmlformats.org/officeDocument/2006/relationships/hyperlink" Target="http://www.phosphosite.org/proteinAction.do?id=3130&amp;showAllSites=true" TargetMode="External"/><Relationship Id="rId1039" Type="http://schemas.openxmlformats.org/officeDocument/2006/relationships/hyperlink" Target="http://www.phosphosite.org/proteinAction.do?id=3722&amp;showAllSites=true" TargetMode="External"/><Relationship Id="rId1246" Type="http://schemas.openxmlformats.org/officeDocument/2006/relationships/hyperlink" Target="http://www.phosphosite.org/proteinAction.do?id=944&amp;showAllSites=true" TargetMode="External"/><Relationship Id="rId92" Type="http://schemas.openxmlformats.org/officeDocument/2006/relationships/hyperlink" Target="http://www.cellsignal.com/products/4548.html" TargetMode="External"/><Relationship Id="rId616" Type="http://schemas.openxmlformats.org/officeDocument/2006/relationships/hyperlink" Target="http://www.phosphosite.org/proteinAction.do?id=22920001&amp;showAllSites=true" TargetMode="External"/><Relationship Id="rId823" Type="http://schemas.openxmlformats.org/officeDocument/2006/relationships/hyperlink" Target="http://www.phosphosite.org/proteinAction.do?id=3701941&amp;showAllSites=true" TargetMode="External"/><Relationship Id="rId1453" Type="http://schemas.openxmlformats.org/officeDocument/2006/relationships/hyperlink" Target="http://www.phosphosite.org/proteinAction.do?id=1461&amp;showAllSites=true" TargetMode="External"/><Relationship Id="rId1660" Type="http://schemas.openxmlformats.org/officeDocument/2006/relationships/hyperlink" Target="http://www.phosphosite.org/proteinAction.do?id=2612&amp;showAllSites=true" TargetMode="External"/><Relationship Id="rId1758" Type="http://schemas.openxmlformats.org/officeDocument/2006/relationships/hyperlink" Target="http://www.phosphosite.org/proteinAction.do?id=5812&amp;showAllSites=true" TargetMode="External"/><Relationship Id="rId255" Type="http://schemas.openxmlformats.org/officeDocument/2006/relationships/hyperlink" Target="http://www.cellsignal.com/products/5332.html" TargetMode="External"/><Relationship Id="rId462" Type="http://schemas.openxmlformats.org/officeDocument/2006/relationships/hyperlink" Target="http://www.phosphosite.org/proteinAction.do?id=1461&amp;showAllSites=true" TargetMode="External"/><Relationship Id="rId1092" Type="http://schemas.openxmlformats.org/officeDocument/2006/relationships/hyperlink" Target="http://www.phosphosite.org/proteinAction.do?id=4468&amp;showAllSites=true" TargetMode="External"/><Relationship Id="rId1106" Type="http://schemas.openxmlformats.org/officeDocument/2006/relationships/hyperlink" Target="http://www.cellsignal.com/products/8443.html" TargetMode="External"/><Relationship Id="rId1313" Type="http://schemas.openxmlformats.org/officeDocument/2006/relationships/hyperlink" Target="http://www.phosphosite.org/proteinAction.do?id=1461&amp;showAllSites=true" TargetMode="External"/><Relationship Id="rId1397" Type="http://schemas.openxmlformats.org/officeDocument/2006/relationships/hyperlink" Target="http://www.phosphosite.org/proteinAction.do?id=3701941&amp;showAllSites=true" TargetMode="External"/><Relationship Id="rId1520" Type="http://schemas.openxmlformats.org/officeDocument/2006/relationships/hyperlink" Target="http://www.phosphosite.org/proteinAction.do?id=1461&amp;showAllSites=true" TargetMode="External"/><Relationship Id="rId115" Type="http://schemas.openxmlformats.org/officeDocument/2006/relationships/hyperlink" Target="http://www.cellsignal.com/products/4885.html" TargetMode="External"/><Relationship Id="rId322" Type="http://schemas.openxmlformats.org/officeDocument/2006/relationships/hyperlink" Target="http://www.cellsignal.com/products/4558.html" TargetMode="External"/><Relationship Id="rId767" Type="http://schemas.openxmlformats.org/officeDocument/2006/relationships/hyperlink" Target="http://www.phosphosite.org/proteinAction.do?id=7056&amp;showAllSites=true" TargetMode="External"/><Relationship Id="rId974" Type="http://schemas.openxmlformats.org/officeDocument/2006/relationships/hyperlink" Target="http://www.phosphosite.org/proteinAction.do?id=3130&amp;showAllSites=true" TargetMode="External"/><Relationship Id="rId1618" Type="http://schemas.openxmlformats.org/officeDocument/2006/relationships/hyperlink" Target="http://www.phosphosite.org/proteinAction.do?id=4078&amp;showAllSites=true" TargetMode="External"/><Relationship Id="rId1825" Type="http://schemas.openxmlformats.org/officeDocument/2006/relationships/hyperlink" Target="http://www.cellsignal.com/products/3469.html" TargetMode="External"/><Relationship Id="rId199" Type="http://schemas.openxmlformats.org/officeDocument/2006/relationships/hyperlink" Target="http://www.phosphosite.org/proteinAction.do?id=11964401&amp;showAllSites=true" TargetMode="External"/><Relationship Id="rId627" Type="http://schemas.openxmlformats.org/officeDocument/2006/relationships/hyperlink" Target="http://www.cellsignal.com/products/7668.html" TargetMode="External"/><Relationship Id="rId834" Type="http://schemas.openxmlformats.org/officeDocument/2006/relationships/hyperlink" Target="http://www.phosphosite.org/proteinAction.do?id=3701941&amp;showAllSites=true" TargetMode="External"/><Relationship Id="rId1257" Type="http://schemas.openxmlformats.org/officeDocument/2006/relationships/hyperlink" Target="http://www.phosphosite.org/proteinAction.do?id=944&amp;showAllSites=true" TargetMode="External"/><Relationship Id="rId1464" Type="http://schemas.openxmlformats.org/officeDocument/2006/relationships/hyperlink" Target="http://www.phosphosite.org/proteinAction.do?id=1461&amp;showAllSites=true" TargetMode="External"/><Relationship Id="rId1671" Type="http://schemas.openxmlformats.org/officeDocument/2006/relationships/hyperlink" Target="http://www.phosphosite.org/proteinAction.do?id=5812&amp;showAllSites=true" TargetMode="External"/><Relationship Id="rId266" Type="http://schemas.openxmlformats.org/officeDocument/2006/relationships/hyperlink" Target="http://www.cellsignal.com/products/4548.html" TargetMode="External"/><Relationship Id="rId473" Type="http://schemas.openxmlformats.org/officeDocument/2006/relationships/hyperlink" Target="http://www.phosphosite.org/proteinAction.do?id=1461&amp;showAllSites=true" TargetMode="External"/><Relationship Id="rId680" Type="http://schemas.openxmlformats.org/officeDocument/2006/relationships/hyperlink" Target="http://www.phosphosite.org/proteinAction.do?id=5812&amp;showAllSites=true" TargetMode="External"/><Relationship Id="rId901" Type="http://schemas.openxmlformats.org/officeDocument/2006/relationships/hyperlink" Target="http://www.phosphosite.org/proteinAction.do?id=6250&amp;showAllSites=true" TargetMode="External"/><Relationship Id="rId1117" Type="http://schemas.openxmlformats.org/officeDocument/2006/relationships/hyperlink" Target="http://www.phosphosite.org/proteinAction.do?id=2612&amp;showAllSites=true" TargetMode="External"/><Relationship Id="rId1324" Type="http://schemas.openxmlformats.org/officeDocument/2006/relationships/hyperlink" Target="http://www.phosphosite.org/proteinAction.do?id=15331700&amp;showAllSites=true" TargetMode="External"/><Relationship Id="rId1531" Type="http://schemas.openxmlformats.org/officeDocument/2006/relationships/hyperlink" Target="http://www.phosphosite.org/proteinAction.do?id=1461&amp;showAllSites=true" TargetMode="External"/><Relationship Id="rId1769" Type="http://schemas.openxmlformats.org/officeDocument/2006/relationships/hyperlink" Target="http://www.phosphosite.org/proteinAction.do?id=5812&amp;showAllSites=true" TargetMode="External"/><Relationship Id="rId30" Type="http://schemas.openxmlformats.org/officeDocument/2006/relationships/hyperlink" Target="http://www.cellsignal.com/products/4681.html" TargetMode="External"/><Relationship Id="rId126" Type="http://schemas.openxmlformats.org/officeDocument/2006/relationships/hyperlink" Target="http://www.cellsignal.com/products/4885.html" TargetMode="External"/><Relationship Id="rId333" Type="http://schemas.openxmlformats.org/officeDocument/2006/relationships/hyperlink" Target="http://www.cellsignal.com/products/4558.html" TargetMode="External"/><Relationship Id="rId540" Type="http://schemas.openxmlformats.org/officeDocument/2006/relationships/hyperlink" Target="http://www.phosphosite.org/proteinAction.do?id=15226027&amp;showAllSites=true" TargetMode="External"/><Relationship Id="rId778" Type="http://schemas.openxmlformats.org/officeDocument/2006/relationships/hyperlink" Target="http://www.phosphosite.org/proteinAction.do?id=5362100&amp;showAllSites=true" TargetMode="External"/><Relationship Id="rId985" Type="http://schemas.openxmlformats.org/officeDocument/2006/relationships/hyperlink" Target="http://www.phosphosite.org/proteinAction.do?id=27269108&amp;showAllSites=true" TargetMode="External"/><Relationship Id="rId1170" Type="http://schemas.openxmlformats.org/officeDocument/2006/relationships/hyperlink" Target="http://www.phosphosite.org/proteinAction.do?id=3701941&amp;showAllSites=true" TargetMode="External"/><Relationship Id="rId1629" Type="http://schemas.openxmlformats.org/officeDocument/2006/relationships/hyperlink" Target="http://www.phosphosite.org/proteinAction.do?id=22920001&amp;showAllSites=true" TargetMode="External"/><Relationship Id="rId1836" Type="http://schemas.openxmlformats.org/officeDocument/2006/relationships/hyperlink" Target="http://www.phosphosite.org/proteinAction.do?id=1461&amp;showAllSites=true" TargetMode="External"/><Relationship Id="rId638" Type="http://schemas.openxmlformats.org/officeDocument/2006/relationships/hyperlink" Target="http://www.phosphosite.org/proteinAction.do?id=2612&amp;showAllSites=true" TargetMode="External"/><Relationship Id="rId845" Type="http://schemas.openxmlformats.org/officeDocument/2006/relationships/hyperlink" Target="http://www.phosphosite.org/proteinAction.do?id=3701941&amp;showAllSites=true" TargetMode="External"/><Relationship Id="rId1030" Type="http://schemas.openxmlformats.org/officeDocument/2006/relationships/hyperlink" Target="http://www.cellsignal.com/products/4558.html" TargetMode="External"/><Relationship Id="rId1268" Type="http://schemas.openxmlformats.org/officeDocument/2006/relationships/hyperlink" Target="http://www.phosphosite.org/proteinAction.do?id=944&amp;showAllSites=true" TargetMode="External"/><Relationship Id="rId1475" Type="http://schemas.openxmlformats.org/officeDocument/2006/relationships/hyperlink" Target="http://www.phosphosite.org/proteinAction.do?id=1461&amp;showAllSites=true" TargetMode="External"/><Relationship Id="rId1682" Type="http://schemas.openxmlformats.org/officeDocument/2006/relationships/hyperlink" Target="http://www.phosphosite.org/proteinAction.do?id=5812&amp;showAllSites=true" TargetMode="External"/><Relationship Id="rId277" Type="http://schemas.openxmlformats.org/officeDocument/2006/relationships/hyperlink" Target="http://www.cellsignal.com/products/4548.html" TargetMode="External"/><Relationship Id="rId400" Type="http://schemas.openxmlformats.org/officeDocument/2006/relationships/hyperlink" Target="http://www.phosphosite.org/proteinAction.do?id=1461&amp;showAllSites=true" TargetMode="External"/><Relationship Id="rId484" Type="http://schemas.openxmlformats.org/officeDocument/2006/relationships/hyperlink" Target="http://www.phosphosite.org/proteinAction.do?id=1461&amp;showAllSites=true" TargetMode="External"/><Relationship Id="rId705" Type="http://schemas.openxmlformats.org/officeDocument/2006/relationships/hyperlink" Target="http://www.phosphosite.org/proteinAction.do?id=5812&amp;showAllSites=true" TargetMode="External"/><Relationship Id="rId1128" Type="http://schemas.openxmlformats.org/officeDocument/2006/relationships/hyperlink" Target="http://www.phosphosite.org/proteinAction.do?id=5812&amp;showAllSites=true" TargetMode="External"/><Relationship Id="rId1335" Type="http://schemas.openxmlformats.org/officeDocument/2006/relationships/hyperlink" Target="http://www.phosphosite.org/proteinAction.do?id=15331700&amp;showAllSites=true" TargetMode="External"/><Relationship Id="rId1542" Type="http://schemas.openxmlformats.org/officeDocument/2006/relationships/hyperlink" Target="http://www.phosphosite.org/proteinAction.do?id=1461&amp;showAllSites=true" TargetMode="External"/><Relationship Id="rId137" Type="http://schemas.openxmlformats.org/officeDocument/2006/relationships/hyperlink" Target="http://www.phosphosite.org/proteinAction.do?id=22746&amp;showAllSites=true" TargetMode="External"/><Relationship Id="rId344" Type="http://schemas.openxmlformats.org/officeDocument/2006/relationships/hyperlink" Target="http://www.cellsignal.com/products/4558.html" TargetMode="External"/><Relationship Id="rId691" Type="http://schemas.openxmlformats.org/officeDocument/2006/relationships/hyperlink" Target="http://www.phosphosite.org/proteinAction.do?id=5812&amp;showAllSites=true" TargetMode="External"/><Relationship Id="rId789" Type="http://schemas.openxmlformats.org/officeDocument/2006/relationships/hyperlink" Target="http://www.phosphosite.org/proteinAction.do?id=3117&amp;showAllSites=true" TargetMode="External"/><Relationship Id="rId912" Type="http://schemas.openxmlformats.org/officeDocument/2006/relationships/hyperlink" Target="http://www.phosphosite.org/proteinAction.do?id=3642&amp;showAllSites=true" TargetMode="External"/><Relationship Id="rId996" Type="http://schemas.openxmlformats.org/officeDocument/2006/relationships/hyperlink" Target="http://www.phosphosite.org/proteinAction.do?id=5758&amp;showAllSites=true" TargetMode="External"/><Relationship Id="rId1847" Type="http://schemas.openxmlformats.org/officeDocument/2006/relationships/hyperlink" Target="http://www.phosphosite.org/proteinAction.do?id=3117&amp;showAllSites=true" TargetMode="External"/><Relationship Id="rId41" Type="http://schemas.openxmlformats.org/officeDocument/2006/relationships/hyperlink" Target="http://www.cellsignal.com/products/4548.html" TargetMode="External"/><Relationship Id="rId551" Type="http://schemas.openxmlformats.org/officeDocument/2006/relationships/hyperlink" Target="http://www.phosphosite.org/proteinAction.do?id=10165240&amp;showAllSites=true" TargetMode="External"/><Relationship Id="rId649" Type="http://schemas.openxmlformats.org/officeDocument/2006/relationships/hyperlink" Target="http://www.phosphosite.org/proteinAction.do?id=2612&amp;showAllSites=true" TargetMode="External"/><Relationship Id="rId856" Type="http://schemas.openxmlformats.org/officeDocument/2006/relationships/hyperlink" Target="http://www.phosphosite.org/proteinAction.do?id=3701941&amp;showAllSites=true" TargetMode="External"/><Relationship Id="rId1181" Type="http://schemas.openxmlformats.org/officeDocument/2006/relationships/hyperlink" Target="http://www.cellsignal.com/products/5398.html" TargetMode="External"/><Relationship Id="rId1279" Type="http://schemas.openxmlformats.org/officeDocument/2006/relationships/hyperlink" Target="http://www.phosphosite.org/proteinAction.do?id=944&amp;showAllSites=true" TargetMode="External"/><Relationship Id="rId1402" Type="http://schemas.openxmlformats.org/officeDocument/2006/relationships/hyperlink" Target="http://www.phosphosite.org/proteinAction.do?id=3701941&amp;showAllSites=true" TargetMode="External"/><Relationship Id="rId1486" Type="http://schemas.openxmlformats.org/officeDocument/2006/relationships/hyperlink" Target="http://www.phosphosite.org/proteinAction.do?id=1461&amp;showAllSites=true" TargetMode="External"/><Relationship Id="rId1707" Type="http://schemas.openxmlformats.org/officeDocument/2006/relationships/hyperlink" Target="http://www.phosphosite.org/proteinAction.do?id=5812&amp;showAllSites=true" TargetMode="External"/><Relationship Id="rId190" Type="http://schemas.openxmlformats.org/officeDocument/2006/relationships/hyperlink" Target="http://www.phosphosite.org/proteinAction.do?id=1066&amp;showAllSites=true" TargetMode="External"/><Relationship Id="rId204" Type="http://schemas.openxmlformats.org/officeDocument/2006/relationships/hyperlink" Target="http://www.phosphosite.org/proteinAction.do?id=15365&amp;showAllSites=true" TargetMode="External"/><Relationship Id="rId288" Type="http://schemas.openxmlformats.org/officeDocument/2006/relationships/hyperlink" Target="http://www.cellsignal.com/products/4548.html" TargetMode="External"/><Relationship Id="rId411" Type="http://schemas.openxmlformats.org/officeDocument/2006/relationships/hyperlink" Target="http://www.phosphosite.org/proteinAction.do?id=1461&amp;showAllSites=true" TargetMode="External"/><Relationship Id="rId509" Type="http://schemas.openxmlformats.org/officeDocument/2006/relationships/hyperlink" Target="http://www.cellsignal.com/products/9856.html" TargetMode="External"/><Relationship Id="rId1041" Type="http://schemas.openxmlformats.org/officeDocument/2006/relationships/hyperlink" Target="http://www.phosphosite.org/proteinAction.do?id=15366&amp;showAllSites=true" TargetMode="External"/><Relationship Id="rId1139" Type="http://schemas.openxmlformats.org/officeDocument/2006/relationships/hyperlink" Target="http://www.phosphosite.org/proteinAction.do?id=5812&amp;showAllSites=true" TargetMode="External"/><Relationship Id="rId1346" Type="http://schemas.openxmlformats.org/officeDocument/2006/relationships/hyperlink" Target="http://www.phosphosite.org/proteinAction.do?id=17074&amp;showAllSites=true" TargetMode="External"/><Relationship Id="rId1693" Type="http://schemas.openxmlformats.org/officeDocument/2006/relationships/hyperlink" Target="http://www.phosphosite.org/proteinAction.do?id=5812&amp;showAllSites=true" TargetMode="External"/><Relationship Id="rId495" Type="http://schemas.openxmlformats.org/officeDocument/2006/relationships/hyperlink" Target="http://www.phosphosite.org/proteinAction.do?id=1461&amp;showAllSites=true" TargetMode="External"/><Relationship Id="rId716" Type="http://schemas.openxmlformats.org/officeDocument/2006/relationships/hyperlink" Target="http://www.phosphosite.org/proteinAction.do?id=5812&amp;showAllSites=true" TargetMode="External"/><Relationship Id="rId923" Type="http://schemas.openxmlformats.org/officeDocument/2006/relationships/hyperlink" Target="http://www.cellsignal.com/products/5398.html" TargetMode="External"/><Relationship Id="rId1553" Type="http://schemas.openxmlformats.org/officeDocument/2006/relationships/hyperlink" Target="http://www.phosphosite.org/proteinAction.do?id=1461&amp;showAllSites=true" TargetMode="External"/><Relationship Id="rId1760" Type="http://schemas.openxmlformats.org/officeDocument/2006/relationships/hyperlink" Target="http://www.phosphosite.org/proteinAction.do?id=5812&amp;showAllSites=true" TargetMode="External"/><Relationship Id="rId1858" Type="http://schemas.openxmlformats.org/officeDocument/2006/relationships/hyperlink" Target="http://www.phosphosite.org/proteinAction.do?id=9462&amp;showAllSites=true" TargetMode="External"/><Relationship Id="rId52" Type="http://schemas.openxmlformats.org/officeDocument/2006/relationships/hyperlink" Target="http://www.cellsignal.com/products/4885.html" TargetMode="External"/><Relationship Id="rId148" Type="http://schemas.openxmlformats.org/officeDocument/2006/relationships/hyperlink" Target="http://www.phosphosite.org/proteinAction.do?id=5758&amp;showAllSites=true" TargetMode="External"/><Relationship Id="rId355" Type="http://schemas.openxmlformats.org/officeDocument/2006/relationships/hyperlink" Target="http://www.phosphosite.org/proteinAction.do?id=3722&amp;showAllSites=true" TargetMode="External"/><Relationship Id="rId562" Type="http://schemas.openxmlformats.org/officeDocument/2006/relationships/hyperlink" Target="http://www.phosphosite.org/proteinAction.do?id=10686&amp;showAllSites=true" TargetMode="External"/><Relationship Id="rId1192" Type="http://schemas.openxmlformats.org/officeDocument/2006/relationships/hyperlink" Target="http://www.phosphosite.org/proteinAction.do?id=3130&amp;showAllSites=true" TargetMode="External"/><Relationship Id="rId1206" Type="http://schemas.openxmlformats.org/officeDocument/2006/relationships/hyperlink" Target="http://www.phosphosite.org/proteinAction.do?id=944&amp;showAllSites=true" TargetMode="External"/><Relationship Id="rId1413" Type="http://schemas.openxmlformats.org/officeDocument/2006/relationships/hyperlink" Target="http://www.phosphosite.org/proteinAction.do?id=3130&amp;showAllSites=true" TargetMode="External"/><Relationship Id="rId1620" Type="http://schemas.openxmlformats.org/officeDocument/2006/relationships/hyperlink" Target="http://www.phosphosite.org/proteinAction.do?id=4078&amp;showAllSites=true" TargetMode="External"/><Relationship Id="rId215" Type="http://schemas.openxmlformats.org/officeDocument/2006/relationships/hyperlink" Target="http://www.phosphosite.org/proteinAction.do?id=10342600&amp;showAllSites=true" TargetMode="External"/><Relationship Id="rId422" Type="http://schemas.openxmlformats.org/officeDocument/2006/relationships/hyperlink" Target="http://www.phosphosite.org/proteinAction.do?id=1461&amp;showAllSites=true" TargetMode="External"/><Relationship Id="rId867" Type="http://schemas.openxmlformats.org/officeDocument/2006/relationships/hyperlink" Target="http://www.phosphosite.org/proteinAction.do?id=3701941&amp;showAllSites=true" TargetMode="External"/><Relationship Id="rId1052" Type="http://schemas.openxmlformats.org/officeDocument/2006/relationships/hyperlink" Target="http://www.phosphosite.org/proteinAction.do?id=1461&amp;showAllSites=true" TargetMode="External"/><Relationship Id="rId1497" Type="http://schemas.openxmlformats.org/officeDocument/2006/relationships/hyperlink" Target="http://www.phosphosite.org/proteinAction.do?id=1461&amp;showAllSites=true" TargetMode="External"/><Relationship Id="rId1718" Type="http://schemas.openxmlformats.org/officeDocument/2006/relationships/hyperlink" Target="http://www.phosphosite.org/proteinAction.do?id=5812&amp;showAllSites=true" TargetMode="External"/><Relationship Id="rId299" Type="http://schemas.openxmlformats.org/officeDocument/2006/relationships/hyperlink" Target="http://www.cellsignal.com/products/4548.html" TargetMode="External"/><Relationship Id="rId727" Type="http://schemas.openxmlformats.org/officeDocument/2006/relationships/hyperlink" Target="http://www.phosphosite.org/proteinAction.do?id=5812&amp;showAllSites=true" TargetMode="External"/><Relationship Id="rId934" Type="http://schemas.openxmlformats.org/officeDocument/2006/relationships/hyperlink" Target="http://www.phosphosite.org/proteinAction.do?id=9462&amp;showAllSites=true" TargetMode="External"/><Relationship Id="rId1357" Type="http://schemas.openxmlformats.org/officeDocument/2006/relationships/hyperlink" Target="http://www.phosphosite.org/proteinAction.do?id=14151000&amp;showAllSites=true" TargetMode="External"/><Relationship Id="rId1564" Type="http://schemas.openxmlformats.org/officeDocument/2006/relationships/hyperlink" Target="http://www.phosphosite.org/proteinAction.do?id=1461&amp;showAllSites=true" TargetMode="External"/><Relationship Id="rId1771" Type="http://schemas.openxmlformats.org/officeDocument/2006/relationships/hyperlink" Target="http://www.phosphosite.org/proteinAction.do?id=5812&amp;showAllSites=true" TargetMode="External"/><Relationship Id="rId63" Type="http://schemas.openxmlformats.org/officeDocument/2006/relationships/hyperlink" Target="http://www.cellsignal.com/products/9053.html" TargetMode="External"/><Relationship Id="rId159" Type="http://schemas.openxmlformats.org/officeDocument/2006/relationships/hyperlink" Target="http://www.phosphosite.org/proteinAction.do?id=2711&amp;showAllSites=true" TargetMode="External"/><Relationship Id="rId366" Type="http://schemas.openxmlformats.org/officeDocument/2006/relationships/hyperlink" Target="http://www.cellsignal.com/products/4558.html" TargetMode="External"/><Relationship Id="rId573" Type="http://schemas.openxmlformats.org/officeDocument/2006/relationships/hyperlink" Target="http://www.phosphosite.org/proteinAction.do?id=5020686&amp;showAllSites=true" TargetMode="External"/><Relationship Id="rId780" Type="http://schemas.openxmlformats.org/officeDocument/2006/relationships/hyperlink" Target="http://www.phosphosite.org/proteinAction.do?id=5362100&amp;showAllSites=true" TargetMode="External"/><Relationship Id="rId1217" Type="http://schemas.openxmlformats.org/officeDocument/2006/relationships/hyperlink" Target="http://www.phosphosite.org/proteinAction.do?id=944&amp;showAllSites=true" TargetMode="External"/><Relationship Id="rId1424" Type="http://schemas.openxmlformats.org/officeDocument/2006/relationships/hyperlink" Target="http://www.phosphosite.org/proteinAction.do?id=1461&amp;showAllSites=true" TargetMode="External"/><Relationship Id="rId1631" Type="http://schemas.openxmlformats.org/officeDocument/2006/relationships/hyperlink" Target="http://www.phosphosite.org/proteinAction.do?id=22920001&amp;showAllSites=true" TargetMode="External"/><Relationship Id="rId1869" Type="http://schemas.openxmlformats.org/officeDocument/2006/relationships/hyperlink" Target="http://www.phosphosite.org/proteinAction.do?id=1461&amp;showAllSites=true" TargetMode="External"/><Relationship Id="rId226" Type="http://schemas.openxmlformats.org/officeDocument/2006/relationships/hyperlink" Target="http://www.phosphosite.org/proteinAction.do?id=4627&amp;showAllSites=true" TargetMode="External"/><Relationship Id="rId433" Type="http://schemas.openxmlformats.org/officeDocument/2006/relationships/hyperlink" Target="http://www.phosphosite.org/proteinAction.do?id=1461&amp;showAllSites=true" TargetMode="External"/><Relationship Id="rId878" Type="http://schemas.openxmlformats.org/officeDocument/2006/relationships/hyperlink" Target="http://www.phosphosite.org/proteinAction.do?id=3701941&amp;showAllSites=true" TargetMode="External"/><Relationship Id="rId1063" Type="http://schemas.openxmlformats.org/officeDocument/2006/relationships/hyperlink" Target="http://www.phosphosite.org/proteinAction.do?id=2156&amp;showAllSites=true" TargetMode="External"/><Relationship Id="rId1270" Type="http://schemas.openxmlformats.org/officeDocument/2006/relationships/hyperlink" Target="http://www.phosphosite.org/proteinAction.do?id=944&amp;showAllSites=true" TargetMode="External"/><Relationship Id="rId1729" Type="http://schemas.openxmlformats.org/officeDocument/2006/relationships/hyperlink" Target="http://www.phosphosite.org/proteinAction.do?id=5812&amp;showAllSites=true" TargetMode="External"/><Relationship Id="rId640" Type="http://schemas.openxmlformats.org/officeDocument/2006/relationships/hyperlink" Target="http://www.cellsignal.com/products/8443.html" TargetMode="External"/><Relationship Id="rId738" Type="http://schemas.openxmlformats.org/officeDocument/2006/relationships/hyperlink" Target="http://www.phosphosite.org/proteinAction.do?id=5812&amp;showAllSites=true" TargetMode="External"/><Relationship Id="rId945" Type="http://schemas.openxmlformats.org/officeDocument/2006/relationships/hyperlink" Target="http://www.cellsignal.com/products/5663.html" TargetMode="External"/><Relationship Id="rId1368" Type="http://schemas.openxmlformats.org/officeDocument/2006/relationships/hyperlink" Target="http://www.phosphosite.org/proteinAction.do?id=5020686&amp;showAllSites=true" TargetMode="External"/><Relationship Id="rId1575" Type="http://schemas.openxmlformats.org/officeDocument/2006/relationships/hyperlink" Target="http://www.phosphosite.org/proteinAction.do?id=1461&amp;showAllSites=true" TargetMode="External"/><Relationship Id="rId1782" Type="http://schemas.openxmlformats.org/officeDocument/2006/relationships/hyperlink" Target="http://www.phosphosite.org/proteinAction.do?id=5812&amp;showAllSites=true" TargetMode="External"/><Relationship Id="rId74" Type="http://schemas.openxmlformats.org/officeDocument/2006/relationships/hyperlink" Target="http://www.cellsignal.com/products/11910.html" TargetMode="External"/><Relationship Id="rId377" Type="http://schemas.openxmlformats.org/officeDocument/2006/relationships/hyperlink" Target="http://www.phosphosite.org/proteinAction.do?id=3722&amp;showAllSites=true" TargetMode="External"/><Relationship Id="rId500" Type="http://schemas.openxmlformats.org/officeDocument/2006/relationships/hyperlink" Target="http://www.cellsignal.com/products/9087.html" TargetMode="External"/><Relationship Id="rId584" Type="http://schemas.openxmlformats.org/officeDocument/2006/relationships/hyperlink" Target="http://www.phosphosite.org/proteinAction.do?id=9597&amp;showAllSites=true" TargetMode="External"/><Relationship Id="rId805" Type="http://schemas.openxmlformats.org/officeDocument/2006/relationships/hyperlink" Target="http://www.phosphosite.org/proteinAction.do?id=3701941&amp;showAllSites=true" TargetMode="External"/><Relationship Id="rId1130" Type="http://schemas.openxmlformats.org/officeDocument/2006/relationships/hyperlink" Target="http://www.phosphosite.org/proteinAction.do?id=5812&amp;showAllSites=true" TargetMode="External"/><Relationship Id="rId1228" Type="http://schemas.openxmlformats.org/officeDocument/2006/relationships/hyperlink" Target="http://www.phosphosite.org/proteinAction.do?id=944&amp;showAllSites=true" TargetMode="External"/><Relationship Id="rId1435" Type="http://schemas.openxmlformats.org/officeDocument/2006/relationships/hyperlink" Target="http://www.phosphosite.org/proteinAction.do?id=1461&amp;showAllSites=true" TargetMode="External"/><Relationship Id="rId5" Type="http://schemas.openxmlformats.org/officeDocument/2006/relationships/hyperlink" Target="http://www.cellsignal.com/products/4150.html" TargetMode="External"/><Relationship Id="rId237" Type="http://schemas.openxmlformats.org/officeDocument/2006/relationships/hyperlink" Target="http://www.cellsignal.com/products/8444.html" TargetMode="External"/><Relationship Id="rId791" Type="http://schemas.openxmlformats.org/officeDocument/2006/relationships/hyperlink" Target="http://www.phosphosite.org/proteinAction.do?id=3117&amp;showAllSites=true" TargetMode="External"/><Relationship Id="rId889" Type="http://schemas.openxmlformats.org/officeDocument/2006/relationships/hyperlink" Target="http://www.phosphosite.org/proteinAction.do?id=3701941&amp;showAllSites=true" TargetMode="External"/><Relationship Id="rId1074" Type="http://schemas.openxmlformats.org/officeDocument/2006/relationships/hyperlink" Target="http://www.phosphosite.org/proteinAction.do?id=15927&amp;showAllSites=true" TargetMode="External"/><Relationship Id="rId1642" Type="http://schemas.openxmlformats.org/officeDocument/2006/relationships/hyperlink" Target="http://www.phosphosite.org/proteinAction.do?id=2612&amp;showAllSites=true" TargetMode="External"/><Relationship Id="rId444" Type="http://schemas.openxmlformats.org/officeDocument/2006/relationships/hyperlink" Target="http://www.phosphosite.org/proteinAction.do?id=1461&amp;showAllSites=true" TargetMode="External"/><Relationship Id="rId651" Type="http://schemas.openxmlformats.org/officeDocument/2006/relationships/hyperlink" Target="http://www.phosphosite.org/proteinAction.do?id=2612&amp;showAllSites=true" TargetMode="External"/><Relationship Id="rId749" Type="http://schemas.openxmlformats.org/officeDocument/2006/relationships/hyperlink" Target="http://www.phosphosite.org/proteinAction.do?id=5812&amp;showAllSites=true" TargetMode="External"/><Relationship Id="rId1281" Type="http://schemas.openxmlformats.org/officeDocument/2006/relationships/hyperlink" Target="http://www.phosphosite.org/proteinAction.do?id=944&amp;showAllSites=true" TargetMode="External"/><Relationship Id="rId1379" Type="http://schemas.openxmlformats.org/officeDocument/2006/relationships/hyperlink" Target="http://www.phosphosite.org/proteinAction.do?id=5812&amp;showAllSites=true" TargetMode="External"/><Relationship Id="rId1502" Type="http://schemas.openxmlformats.org/officeDocument/2006/relationships/hyperlink" Target="http://www.phosphosite.org/proteinAction.do?id=1461&amp;showAllSites=true" TargetMode="External"/><Relationship Id="rId1586" Type="http://schemas.openxmlformats.org/officeDocument/2006/relationships/hyperlink" Target="http://www.phosphosite.org/proteinAction.do?id=1461&amp;showAllSites=true" TargetMode="External"/><Relationship Id="rId1807" Type="http://schemas.openxmlformats.org/officeDocument/2006/relationships/hyperlink" Target="http://www.cellsignal.com/products/9744.html" TargetMode="External"/><Relationship Id="rId290" Type="http://schemas.openxmlformats.org/officeDocument/2006/relationships/hyperlink" Target="http://www.cellsignal.com/products/4548.html" TargetMode="External"/><Relationship Id="rId304" Type="http://schemas.openxmlformats.org/officeDocument/2006/relationships/hyperlink" Target="http://www.cellsignal.com/products/4548.html" TargetMode="External"/><Relationship Id="rId388" Type="http://schemas.openxmlformats.org/officeDocument/2006/relationships/hyperlink" Target="http://www.cellsignal.com/products/4558.html" TargetMode="External"/><Relationship Id="rId511" Type="http://schemas.openxmlformats.org/officeDocument/2006/relationships/hyperlink" Target="http://www.cellsignal.com/products/9856.html" TargetMode="External"/><Relationship Id="rId609" Type="http://schemas.openxmlformats.org/officeDocument/2006/relationships/hyperlink" Target="http://www.phosphosite.org/proteinAction.do?id=22920001&amp;showAllSites=true" TargetMode="External"/><Relationship Id="rId956" Type="http://schemas.openxmlformats.org/officeDocument/2006/relationships/hyperlink" Target="http://www.cellsignal.com/products/12323.html" TargetMode="External"/><Relationship Id="rId1141" Type="http://schemas.openxmlformats.org/officeDocument/2006/relationships/hyperlink" Target="http://www.phosphosite.org/proteinAction.do?id=5812&amp;showAllSites=true" TargetMode="External"/><Relationship Id="rId1239" Type="http://schemas.openxmlformats.org/officeDocument/2006/relationships/hyperlink" Target="http://www.phosphosite.org/proteinAction.do?id=944&amp;showAllSites=true" TargetMode="External"/><Relationship Id="rId1793" Type="http://schemas.openxmlformats.org/officeDocument/2006/relationships/hyperlink" Target="http://www.phosphosite.org/proteinAction.do?id=5812&amp;showAllSites=true" TargetMode="External"/><Relationship Id="rId85" Type="http://schemas.openxmlformats.org/officeDocument/2006/relationships/hyperlink" Target="http://www.cellsignal.com/products/4885.html" TargetMode="External"/><Relationship Id="rId150" Type="http://schemas.openxmlformats.org/officeDocument/2006/relationships/hyperlink" Target="http://www.phosphosite.org/proteinAction.do?id=5758&amp;showAllSites=true" TargetMode="External"/><Relationship Id="rId595" Type="http://schemas.openxmlformats.org/officeDocument/2006/relationships/hyperlink" Target="http://www.phosphosite.org/proteinAction.do?id=16019&amp;showAllSites=true" TargetMode="External"/><Relationship Id="rId816" Type="http://schemas.openxmlformats.org/officeDocument/2006/relationships/hyperlink" Target="http://www.phosphosite.org/proteinAction.do?id=3701941&amp;showAllSites=true" TargetMode="External"/><Relationship Id="rId1001" Type="http://schemas.openxmlformats.org/officeDocument/2006/relationships/hyperlink" Target="http://www.phosphosite.org/proteinAction.do?id=6010&amp;showAllSites=true" TargetMode="External"/><Relationship Id="rId1446" Type="http://schemas.openxmlformats.org/officeDocument/2006/relationships/hyperlink" Target="http://www.phosphosite.org/proteinAction.do?id=1461&amp;showAllSites=true" TargetMode="External"/><Relationship Id="rId1653" Type="http://schemas.openxmlformats.org/officeDocument/2006/relationships/hyperlink" Target="http://www.phosphosite.org/proteinAction.do?id=2612&amp;showAllSites=true" TargetMode="External"/><Relationship Id="rId1860" Type="http://schemas.openxmlformats.org/officeDocument/2006/relationships/hyperlink" Target="http://www.phosphosite.org/proteinAction.do?id=9462&amp;showAllSites=true" TargetMode="External"/><Relationship Id="rId248" Type="http://schemas.openxmlformats.org/officeDocument/2006/relationships/hyperlink" Target="http://www.cellsignal.com/products/6526.html" TargetMode="External"/><Relationship Id="rId455" Type="http://schemas.openxmlformats.org/officeDocument/2006/relationships/hyperlink" Target="http://www.phosphosite.org/proteinAction.do?id=1461&amp;showAllSites=true" TargetMode="External"/><Relationship Id="rId662" Type="http://schemas.openxmlformats.org/officeDocument/2006/relationships/hyperlink" Target="http://www.phosphosite.org/proteinAction.do?id=5812&amp;showAllSites=true" TargetMode="External"/><Relationship Id="rId1085" Type="http://schemas.openxmlformats.org/officeDocument/2006/relationships/hyperlink" Target="http://www.phosphosite.org/proteinAction.do?id=5144701&amp;showAllSites=true" TargetMode="External"/><Relationship Id="rId1292" Type="http://schemas.openxmlformats.org/officeDocument/2006/relationships/hyperlink" Target="http://www.phosphosite.org/proteinAction.do?id=3722&amp;showAllSites=true" TargetMode="External"/><Relationship Id="rId1306" Type="http://schemas.openxmlformats.org/officeDocument/2006/relationships/hyperlink" Target="http://www.phosphosite.org/proteinAction.do?id=1461&amp;showAllSites=true" TargetMode="External"/><Relationship Id="rId1513" Type="http://schemas.openxmlformats.org/officeDocument/2006/relationships/hyperlink" Target="http://www.phosphosite.org/proteinAction.do?id=1461&amp;showAllSites=true" TargetMode="External"/><Relationship Id="rId1720" Type="http://schemas.openxmlformats.org/officeDocument/2006/relationships/hyperlink" Target="http://www.phosphosite.org/proteinAction.do?id=5812&amp;showAllSites=true" TargetMode="External"/><Relationship Id="rId12" Type="http://schemas.openxmlformats.org/officeDocument/2006/relationships/hyperlink" Target="http://www.cellsignal.com/products/5765.html" TargetMode="External"/><Relationship Id="rId108" Type="http://schemas.openxmlformats.org/officeDocument/2006/relationships/hyperlink" Target="http://www.cellsignal.com/products/11910.html" TargetMode="External"/><Relationship Id="rId315" Type="http://schemas.openxmlformats.org/officeDocument/2006/relationships/hyperlink" Target="http://www.cellsignal.com/products/4558.html" TargetMode="External"/><Relationship Id="rId522" Type="http://schemas.openxmlformats.org/officeDocument/2006/relationships/hyperlink" Target="http://www.phosphosite.org/proteinAction.do?id=14276&amp;showAllSites=true" TargetMode="External"/><Relationship Id="rId967" Type="http://schemas.openxmlformats.org/officeDocument/2006/relationships/hyperlink" Target="http://www.phosphosite.org/proteinAction.do?id=3130&amp;showAllSites=true" TargetMode="External"/><Relationship Id="rId1152" Type="http://schemas.openxmlformats.org/officeDocument/2006/relationships/hyperlink" Target="http://www.phosphosite.org/proteinAction.do?id=3701941&amp;showAllSites=true" TargetMode="External"/><Relationship Id="rId1597" Type="http://schemas.openxmlformats.org/officeDocument/2006/relationships/hyperlink" Target="http://www.phosphosite.org/proteinAction.do?id=1461&amp;showAllSites=true" TargetMode="External"/><Relationship Id="rId1818" Type="http://schemas.openxmlformats.org/officeDocument/2006/relationships/hyperlink" Target="http://www.cellsignal.com/products/3469.html" TargetMode="External"/><Relationship Id="rId96" Type="http://schemas.openxmlformats.org/officeDocument/2006/relationships/hyperlink" Target="http://www.cellsignal.com/products/12317.html" TargetMode="External"/><Relationship Id="rId161" Type="http://schemas.openxmlformats.org/officeDocument/2006/relationships/hyperlink" Target="http://www.phosphosite.org/proteinAction.do?id=2711&amp;showAllSites=true" TargetMode="External"/><Relationship Id="rId399" Type="http://schemas.openxmlformats.org/officeDocument/2006/relationships/hyperlink" Target="http://www.phosphosite.org/proteinAction.do?id=1461&amp;showAllSites=true" TargetMode="External"/><Relationship Id="rId827" Type="http://schemas.openxmlformats.org/officeDocument/2006/relationships/hyperlink" Target="http://www.phosphosite.org/proteinAction.do?id=3701941&amp;showAllSites=true" TargetMode="External"/><Relationship Id="rId1012" Type="http://schemas.openxmlformats.org/officeDocument/2006/relationships/hyperlink" Target="http://www.phosphosite.org/proteinAction.do?id=2659&amp;showAllSites=true" TargetMode="External"/><Relationship Id="rId1457" Type="http://schemas.openxmlformats.org/officeDocument/2006/relationships/hyperlink" Target="http://www.phosphosite.org/proteinAction.do?id=1461&amp;showAllSites=true" TargetMode="External"/><Relationship Id="rId1664" Type="http://schemas.openxmlformats.org/officeDocument/2006/relationships/hyperlink" Target="http://www.phosphosite.org/proteinAction.do?id=5812&amp;showAllSites=true" TargetMode="External"/><Relationship Id="rId1871" Type="http://schemas.openxmlformats.org/officeDocument/2006/relationships/hyperlink" Target="http://www.phosphosite.org/proteinAction.do?id=1461&amp;showAllSites=true" TargetMode="External"/><Relationship Id="rId259" Type="http://schemas.openxmlformats.org/officeDocument/2006/relationships/hyperlink" Target="http://www.cellsignal.com/products/5332.html" TargetMode="External"/><Relationship Id="rId466" Type="http://schemas.openxmlformats.org/officeDocument/2006/relationships/hyperlink" Target="http://www.phosphosite.org/proteinAction.do?id=1461&amp;showAllSites=true" TargetMode="External"/><Relationship Id="rId673" Type="http://schemas.openxmlformats.org/officeDocument/2006/relationships/hyperlink" Target="http://www.phosphosite.org/proteinAction.do?id=5812&amp;showAllSites=true" TargetMode="External"/><Relationship Id="rId880" Type="http://schemas.openxmlformats.org/officeDocument/2006/relationships/hyperlink" Target="http://www.phosphosite.org/proteinAction.do?id=3701941&amp;showAllSites=true" TargetMode="External"/><Relationship Id="rId1096" Type="http://schemas.openxmlformats.org/officeDocument/2006/relationships/hyperlink" Target="http://www.cellsignal.com/products/7668.html" TargetMode="External"/><Relationship Id="rId1317" Type="http://schemas.openxmlformats.org/officeDocument/2006/relationships/hyperlink" Target="http://www.phosphosite.org/proteinAction.do?id=15331700&amp;showAllSites=true" TargetMode="External"/><Relationship Id="rId1524" Type="http://schemas.openxmlformats.org/officeDocument/2006/relationships/hyperlink" Target="http://www.phosphosite.org/proteinAction.do?id=1461&amp;showAllSites=true" TargetMode="External"/><Relationship Id="rId1731" Type="http://schemas.openxmlformats.org/officeDocument/2006/relationships/hyperlink" Target="http://www.phosphosite.org/proteinAction.do?id=5812&amp;showAllSites=true" TargetMode="External"/><Relationship Id="rId23" Type="http://schemas.openxmlformats.org/officeDocument/2006/relationships/hyperlink" Target="http://www.cellsignal.com/products/5765.html" TargetMode="External"/><Relationship Id="rId119" Type="http://schemas.openxmlformats.org/officeDocument/2006/relationships/hyperlink" Target="http://www.cellsignal.com/products/4885.html" TargetMode="External"/><Relationship Id="rId326" Type="http://schemas.openxmlformats.org/officeDocument/2006/relationships/hyperlink" Target="http://www.cellsignal.com/products/4558.html" TargetMode="External"/><Relationship Id="rId533" Type="http://schemas.openxmlformats.org/officeDocument/2006/relationships/hyperlink" Target="http://www.phosphosite.org/proteinAction.do?id=4078&amp;showAllSites=true" TargetMode="External"/><Relationship Id="rId978" Type="http://schemas.openxmlformats.org/officeDocument/2006/relationships/hyperlink" Target="http://www.phosphosite.org/proteinAction.do?id=3130&amp;showAllSites=true" TargetMode="External"/><Relationship Id="rId1163" Type="http://schemas.openxmlformats.org/officeDocument/2006/relationships/hyperlink" Target="http://www.phosphosite.org/proteinAction.do?id=3701941&amp;showAllSites=true" TargetMode="External"/><Relationship Id="rId1370" Type="http://schemas.openxmlformats.org/officeDocument/2006/relationships/hyperlink" Target="http://www.phosphosite.org/proteinAction.do?id=5020686&amp;showAllSites=true" TargetMode="External"/><Relationship Id="rId1829" Type="http://schemas.openxmlformats.org/officeDocument/2006/relationships/hyperlink" Target="http://www.phosphosite.org/proteinAction.do?id=3649&amp;showAllSites=true" TargetMode="External"/><Relationship Id="rId740" Type="http://schemas.openxmlformats.org/officeDocument/2006/relationships/hyperlink" Target="http://www.phosphosite.org/proteinAction.do?id=5812&amp;showAllSites=true" TargetMode="External"/><Relationship Id="rId838" Type="http://schemas.openxmlformats.org/officeDocument/2006/relationships/hyperlink" Target="http://www.phosphosite.org/proteinAction.do?id=3701941&amp;showAllSites=true" TargetMode="External"/><Relationship Id="rId1023" Type="http://schemas.openxmlformats.org/officeDocument/2006/relationships/hyperlink" Target="http://www.cellsignal.com/products/6526.html" TargetMode="External"/><Relationship Id="rId1468" Type="http://schemas.openxmlformats.org/officeDocument/2006/relationships/hyperlink" Target="http://www.phosphosite.org/proteinAction.do?id=1461&amp;showAllSites=true" TargetMode="External"/><Relationship Id="rId1675" Type="http://schemas.openxmlformats.org/officeDocument/2006/relationships/hyperlink" Target="http://www.phosphosite.org/proteinAction.do?id=5812&amp;showAllSites=true" TargetMode="External"/><Relationship Id="rId172" Type="http://schemas.openxmlformats.org/officeDocument/2006/relationships/hyperlink" Target="http://www.phosphosite.org/proteinAction.do?id=3447800&amp;showAllSites=true" TargetMode="External"/><Relationship Id="rId477" Type="http://schemas.openxmlformats.org/officeDocument/2006/relationships/hyperlink" Target="http://www.phosphosite.org/proteinAction.do?id=1461&amp;showAllSites=true" TargetMode="External"/><Relationship Id="rId600" Type="http://schemas.openxmlformats.org/officeDocument/2006/relationships/hyperlink" Target="http://www.phosphosite.org/proteinAction.do?id=16019&amp;showAllSites=true" TargetMode="External"/><Relationship Id="rId684" Type="http://schemas.openxmlformats.org/officeDocument/2006/relationships/hyperlink" Target="http://www.phosphosite.org/proteinAction.do?id=5812&amp;showAllSites=true" TargetMode="External"/><Relationship Id="rId1230" Type="http://schemas.openxmlformats.org/officeDocument/2006/relationships/hyperlink" Target="http://www.phosphosite.org/proteinAction.do?id=944&amp;showAllSites=true" TargetMode="External"/><Relationship Id="rId1328" Type="http://schemas.openxmlformats.org/officeDocument/2006/relationships/hyperlink" Target="http://www.phosphosite.org/proteinAction.do?id=15331700&amp;showAllSites=true" TargetMode="External"/><Relationship Id="rId1535" Type="http://schemas.openxmlformats.org/officeDocument/2006/relationships/hyperlink" Target="http://www.phosphosite.org/proteinAction.do?id=1461&amp;showAllSites=true" TargetMode="External"/><Relationship Id="rId337" Type="http://schemas.openxmlformats.org/officeDocument/2006/relationships/hyperlink" Target="http://www.cellsignal.com/products/4558.html" TargetMode="External"/><Relationship Id="rId891" Type="http://schemas.openxmlformats.org/officeDocument/2006/relationships/hyperlink" Target="http://www.phosphosite.org/proteinAction.do?id=3701941&amp;showAllSites=true" TargetMode="External"/><Relationship Id="rId905" Type="http://schemas.openxmlformats.org/officeDocument/2006/relationships/hyperlink" Target="http://www.phosphosite.org/proteinAction.do?id=6250&amp;showAllSites=true" TargetMode="External"/><Relationship Id="rId989" Type="http://schemas.openxmlformats.org/officeDocument/2006/relationships/hyperlink" Target="http://www.cellsignal.com/products/9744.html" TargetMode="External"/><Relationship Id="rId1742" Type="http://schemas.openxmlformats.org/officeDocument/2006/relationships/hyperlink" Target="http://www.phosphosite.org/proteinAction.do?id=5812&amp;showAllSites=true" TargetMode="External"/><Relationship Id="rId34" Type="http://schemas.openxmlformats.org/officeDocument/2006/relationships/hyperlink" Target="http://www.cellsignal.com/products/9152.html" TargetMode="External"/><Relationship Id="rId544" Type="http://schemas.openxmlformats.org/officeDocument/2006/relationships/hyperlink" Target="http://www.cellsignal.com/products/8490.html" TargetMode="External"/><Relationship Id="rId751" Type="http://schemas.openxmlformats.org/officeDocument/2006/relationships/hyperlink" Target="http://www.phosphosite.org/proteinAction.do?id=5812&amp;showAllSites=true" TargetMode="External"/><Relationship Id="rId849" Type="http://schemas.openxmlformats.org/officeDocument/2006/relationships/hyperlink" Target="http://www.phosphosite.org/proteinAction.do?id=3701941&amp;showAllSites=true" TargetMode="External"/><Relationship Id="rId1174" Type="http://schemas.openxmlformats.org/officeDocument/2006/relationships/hyperlink" Target="http://www.phosphosite.org/proteinAction.do?id=3701941&amp;showAllSites=true" TargetMode="External"/><Relationship Id="rId1381" Type="http://schemas.openxmlformats.org/officeDocument/2006/relationships/hyperlink" Target="http://www.phosphosite.org/proteinAction.do?id=5812&amp;showAllSites=true" TargetMode="External"/><Relationship Id="rId1479" Type="http://schemas.openxmlformats.org/officeDocument/2006/relationships/hyperlink" Target="http://www.phosphosite.org/proteinAction.do?id=1461&amp;showAllSites=true" TargetMode="External"/><Relationship Id="rId1602" Type="http://schemas.openxmlformats.org/officeDocument/2006/relationships/hyperlink" Target="http://www.phosphosite.org/proteinAction.do?id=1461&amp;showAllSites=true" TargetMode="External"/><Relationship Id="rId1686" Type="http://schemas.openxmlformats.org/officeDocument/2006/relationships/hyperlink" Target="http://www.phosphosite.org/proteinAction.do?id=5812&amp;showAllSites=true" TargetMode="External"/><Relationship Id="rId183" Type="http://schemas.openxmlformats.org/officeDocument/2006/relationships/hyperlink" Target="http://www.phosphosite.org/proteinAction.do?id=3276&amp;showAllSites=true" TargetMode="External"/><Relationship Id="rId390" Type="http://schemas.openxmlformats.org/officeDocument/2006/relationships/hyperlink" Target="http://www.cellsignal.com/products/4558.html" TargetMode="External"/><Relationship Id="rId404" Type="http://schemas.openxmlformats.org/officeDocument/2006/relationships/hyperlink" Target="http://www.phosphosite.org/proteinAction.do?id=1461&amp;showAllSites=true" TargetMode="External"/><Relationship Id="rId611" Type="http://schemas.openxmlformats.org/officeDocument/2006/relationships/hyperlink" Target="http://www.phosphosite.org/proteinAction.do?id=22920001&amp;showAllSites=true" TargetMode="External"/><Relationship Id="rId1034" Type="http://schemas.openxmlformats.org/officeDocument/2006/relationships/hyperlink" Target="http://www.cellsignal.com/products/4558.html" TargetMode="External"/><Relationship Id="rId1241" Type="http://schemas.openxmlformats.org/officeDocument/2006/relationships/hyperlink" Target="http://www.phosphosite.org/proteinAction.do?id=944&amp;showAllSites=true" TargetMode="External"/><Relationship Id="rId1339" Type="http://schemas.openxmlformats.org/officeDocument/2006/relationships/hyperlink" Target="http://www.phosphosite.org/proteinAction.do?id=17074&amp;showAllSites=true" TargetMode="External"/><Relationship Id="rId250" Type="http://schemas.openxmlformats.org/officeDocument/2006/relationships/hyperlink" Target="http://www.phosphosite.org/proteinAction.do?id=989&amp;showAllSites=true" TargetMode="External"/><Relationship Id="rId488" Type="http://schemas.openxmlformats.org/officeDocument/2006/relationships/hyperlink" Target="http://www.phosphosite.org/proteinAction.do?id=1461&amp;showAllSites=true" TargetMode="External"/><Relationship Id="rId695" Type="http://schemas.openxmlformats.org/officeDocument/2006/relationships/hyperlink" Target="http://www.phosphosite.org/proteinAction.do?id=5812&amp;showAllSites=true" TargetMode="External"/><Relationship Id="rId709" Type="http://schemas.openxmlformats.org/officeDocument/2006/relationships/hyperlink" Target="http://www.phosphosite.org/proteinAction.do?id=5812&amp;showAllSites=true" TargetMode="External"/><Relationship Id="rId916" Type="http://schemas.openxmlformats.org/officeDocument/2006/relationships/hyperlink" Target="http://www.cellsignal.com/products/5398.html" TargetMode="External"/><Relationship Id="rId1101" Type="http://schemas.openxmlformats.org/officeDocument/2006/relationships/hyperlink" Target="http://www.phosphosite.org/proteinAction.do?id=2612&amp;showAllSites=true" TargetMode="External"/><Relationship Id="rId1546" Type="http://schemas.openxmlformats.org/officeDocument/2006/relationships/hyperlink" Target="http://www.phosphosite.org/proteinAction.do?id=1461&amp;showAllSites=true" TargetMode="External"/><Relationship Id="rId1753" Type="http://schemas.openxmlformats.org/officeDocument/2006/relationships/hyperlink" Target="http://www.phosphosite.org/proteinAction.do?id=5812&amp;showAllSites=true" TargetMode="External"/><Relationship Id="rId45" Type="http://schemas.openxmlformats.org/officeDocument/2006/relationships/hyperlink" Target="http://www.cellsignal.com/products/6505.html" TargetMode="External"/><Relationship Id="rId110" Type="http://schemas.openxmlformats.org/officeDocument/2006/relationships/hyperlink" Target="http://www.cellsignal.com/products/6503.html" TargetMode="External"/><Relationship Id="rId348" Type="http://schemas.openxmlformats.org/officeDocument/2006/relationships/hyperlink" Target="http://www.cellsignal.com/products/4558.html" TargetMode="External"/><Relationship Id="rId555" Type="http://schemas.openxmlformats.org/officeDocument/2006/relationships/hyperlink" Target="http://www.phosphosite.org/proteinAction.do?id=15331700&amp;showAllSites=true" TargetMode="External"/><Relationship Id="rId762" Type="http://schemas.openxmlformats.org/officeDocument/2006/relationships/hyperlink" Target="http://www.phosphosite.org/proteinAction.do?id=7056&amp;showAllSites=true" TargetMode="External"/><Relationship Id="rId1185" Type="http://schemas.openxmlformats.org/officeDocument/2006/relationships/hyperlink" Target="http://www.phosphosite.org/proteinAction.do?id=9052&amp;showAllSites=true" TargetMode="External"/><Relationship Id="rId1392" Type="http://schemas.openxmlformats.org/officeDocument/2006/relationships/hyperlink" Target="http://www.phosphosite.org/proteinAction.do?id=3701941&amp;showAllSites=true" TargetMode="External"/><Relationship Id="rId1406" Type="http://schemas.openxmlformats.org/officeDocument/2006/relationships/hyperlink" Target="http://www.phosphosite.org/proteinAction.do?id=3701941&amp;showAllSites=true" TargetMode="External"/><Relationship Id="rId1613" Type="http://schemas.openxmlformats.org/officeDocument/2006/relationships/hyperlink" Target="http://www.phosphosite.org/proteinAction.do?id=1461&amp;showAllSites=true" TargetMode="External"/><Relationship Id="rId1820" Type="http://schemas.openxmlformats.org/officeDocument/2006/relationships/hyperlink" Target="http://www.cellsignal.com/products/3469.html" TargetMode="External"/><Relationship Id="rId194" Type="http://schemas.openxmlformats.org/officeDocument/2006/relationships/hyperlink" Target="http://www.phosphosite.org/proteinAction.do?id=1066&amp;showAllSites=true" TargetMode="External"/><Relationship Id="rId208" Type="http://schemas.openxmlformats.org/officeDocument/2006/relationships/hyperlink" Target="http://www.cellsignal.com/products/4995.html" TargetMode="External"/><Relationship Id="rId415" Type="http://schemas.openxmlformats.org/officeDocument/2006/relationships/hyperlink" Target="http://www.phosphosite.org/proteinAction.do?id=1461&amp;showAllSites=true" TargetMode="External"/><Relationship Id="rId622" Type="http://schemas.openxmlformats.org/officeDocument/2006/relationships/hyperlink" Target="http://www.phosphosite.org/proteinAction.do?id=6490&amp;showAllSites=true" TargetMode="External"/><Relationship Id="rId1045" Type="http://schemas.openxmlformats.org/officeDocument/2006/relationships/hyperlink" Target="http://www.phosphosite.org/proteinAction.do?id=1461&amp;showAllSites=true" TargetMode="External"/><Relationship Id="rId1252" Type="http://schemas.openxmlformats.org/officeDocument/2006/relationships/hyperlink" Target="http://www.phosphosite.org/proteinAction.do?id=944&amp;showAllSites=true" TargetMode="External"/><Relationship Id="rId1697" Type="http://schemas.openxmlformats.org/officeDocument/2006/relationships/hyperlink" Target="http://www.phosphosite.org/proteinAction.do?id=5812&amp;showAllSites=true" TargetMode="External"/><Relationship Id="rId261" Type="http://schemas.openxmlformats.org/officeDocument/2006/relationships/hyperlink" Target="http://www.cellsignal.com/products/4548.html" TargetMode="External"/><Relationship Id="rId499" Type="http://schemas.openxmlformats.org/officeDocument/2006/relationships/hyperlink" Target="http://www.phosphosite.org/proteinAction.do?id=1461&amp;showAllSites=true" TargetMode="External"/><Relationship Id="rId927" Type="http://schemas.openxmlformats.org/officeDocument/2006/relationships/hyperlink" Target="http://www.cellsignal.com/products/5398.html" TargetMode="External"/><Relationship Id="rId1112" Type="http://schemas.openxmlformats.org/officeDocument/2006/relationships/hyperlink" Target="http://www.cellsignal.com/products/8443.html" TargetMode="External"/><Relationship Id="rId1557" Type="http://schemas.openxmlformats.org/officeDocument/2006/relationships/hyperlink" Target="http://www.phosphosite.org/proteinAction.do?id=1461&amp;showAllSites=true" TargetMode="External"/><Relationship Id="rId1764" Type="http://schemas.openxmlformats.org/officeDocument/2006/relationships/hyperlink" Target="http://www.phosphosite.org/proteinAction.do?id=5812&amp;showAllSites=true" TargetMode="External"/><Relationship Id="rId56" Type="http://schemas.openxmlformats.org/officeDocument/2006/relationships/hyperlink" Target="http://www.cellsignal.com/products/9053.html" TargetMode="External"/><Relationship Id="rId359" Type="http://schemas.openxmlformats.org/officeDocument/2006/relationships/hyperlink" Target="http://www.phosphosite.org/proteinAction.do?id=3722&amp;showAllSites=true" TargetMode="External"/><Relationship Id="rId566" Type="http://schemas.openxmlformats.org/officeDocument/2006/relationships/hyperlink" Target="http://www.phosphosite.org/proteinAction.do?id=15103&amp;showAllSites=true" TargetMode="External"/><Relationship Id="rId773" Type="http://schemas.openxmlformats.org/officeDocument/2006/relationships/hyperlink" Target="http://www.phosphosite.org/proteinAction.do?id=5362100&amp;showAllSites=true" TargetMode="External"/><Relationship Id="rId1196" Type="http://schemas.openxmlformats.org/officeDocument/2006/relationships/hyperlink" Target="http://www.phosphosite.org/proteinAction.do?id=3130&amp;showAllSites=true" TargetMode="External"/><Relationship Id="rId1417" Type="http://schemas.openxmlformats.org/officeDocument/2006/relationships/hyperlink" Target="http://www.phosphosite.org/proteinAction.do?id=4627&amp;showAllSites=true" TargetMode="External"/><Relationship Id="rId1624" Type="http://schemas.openxmlformats.org/officeDocument/2006/relationships/hyperlink" Target="http://www.phosphosite.org/proteinAction.do?id=22920001&amp;showAllSites=true" TargetMode="External"/><Relationship Id="rId1831" Type="http://schemas.openxmlformats.org/officeDocument/2006/relationships/hyperlink" Target="http://www.phosphosite.org/proteinAction.do?id=1461&amp;showAllSites=true" TargetMode="External"/><Relationship Id="rId121" Type="http://schemas.openxmlformats.org/officeDocument/2006/relationships/hyperlink" Target="http://www.cellsignal.com/products/4885.html" TargetMode="External"/><Relationship Id="rId219" Type="http://schemas.openxmlformats.org/officeDocument/2006/relationships/hyperlink" Target="http://www.phosphosite.org/proteinAction.do?id=9134&amp;showAllSites=true" TargetMode="External"/><Relationship Id="rId426" Type="http://schemas.openxmlformats.org/officeDocument/2006/relationships/hyperlink" Target="http://www.phosphosite.org/proteinAction.do?id=1461&amp;showAllSites=true" TargetMode="External"/><Relationship Id="rId633" Type="http://schemas.openxmlformats.org/officeDocument/2006/relationships/hyperlink" Target="http://www.cellsignal.com/products/7668.html" TargetMode="External"/><Relationship Id="rId980" Type="http://schemas.openxmlformats.org/officeDocument/2006/relationships/hyperlink" Target="http://www.phosphosite.org/proteinAction.do?id=3130&amp;showAllSites=true" TargetMode="External"/><Relationship Id="rId1056" Type="http://schemas.openxmlformats.org/officeDocument/2006/relationships/hyperlink" Target="http://www.phosphosite.org/proteinAction.do?id=1461&amp;showAllSites=true" TargetMode="External"/><Relationship Id="rId1263" Type="http://schemas.openxmlformats.org/officeDocument/2006/relationships/hyperlink" Target="http://www.phosphosite.org/proteinAction.do?id=944&amp;showAllSites=true" TargetMode="External"/><Relationship Id="rId840" Type="http://schemas.openxmlformats.org/officeDocument/2006/relationships/hyperlink" Target="http://www.phosphosite.org/proteinAction.do?id=3701941&amp;showAllSites=true" TargetMode="External"/><Relationship Id="rId938" Type="http://schemas.openxmlformats.org/officeDocument/2006/relationships/hyperlink" Target="http://www.phosphosite.org/proteinAction.do?id=9462&amp;showAllSites=true" TargetMode="External"/><Relationship Id="rId1470" Type="http://schemas.openxmlformats.org/officeDocument/2006/relationships/hyperlink" Target="http://www.phosphosite.org/proteinAction.do?id=1461&amp;showAllSites=true" TargetMode="External"/><Relationship Id="rId1568" Type="http://schemas.openxmlformats.org/officeDocument/2006/relationships/hyperlink" Target="http://www.phosphosite.org/proteinAction.do?id=1461&amp;showAllSites=true" TargetMode="External"/><Relationship Id="rId1775" Type="http://schemas.openxmlformats.org/officeDocument/2006/relationships/hyperlink" Target="http://www.phosphosite.org/proteinAction.do?id=5812&amp;showAllSites=true" TargetMode="External"/><Relationship Id="rId67" Type="http://schemas.openxmlformats.org/officeDocument/2006/relationships/hyperlink" Target="http://www.cellsignal.com/products/4885.html" TargetMode="External"/><Relationship Id="rId272" Type="http://schemas.openxmlformats.org/officeDocument/2006/relationships/hyperlink" Target="http://www.cellsignal.com/products/4548.html" TargetMode="External"/><Relationship Id="rId577" Type="http://schemas.openxmlformats.org/officeDocument/2006/relationships/hyperlink" Target="http://www.phosphosite.org/proteinAction.do?id=5796&amp;showAllSites=true" TargetMode="External"/><Relationship Id="rId700" Type="http://schemas.openxmlformats.org/officeDocument/2006/relationships/hyperlink" Target="http://www.phosphosite.org/proteinAction.do?id=5812&amp;showAllSites=true" TargetMode="External"/><Relationship Id="rId1123" Type="http://schemas.openxmlformats.org/officeDocument/2006/relationships/hyperlink" Target="http://www.phosphosite.org/proteinAction.do?id=5812&amp;showAllSites=true" TargetMode="External"/><Relationship Id="rId1330" Type="http://schemas.openxmlformats.org/officeDocument/2006/relationships/hyperlink" Target="http://www.phosphosite.org/proteinAction.do?id=15331700&amp;showAllSites=true" TargetMode="External"/><Relationship Id="rId1428" Type="http://schemas.openxmlformats.org/officeDocument/2006/relationships/hyperlink" Target="http://www.phosphosite.org/proteinAction.do?id=1461&amp;showAllSites=true" TargetMode="External"/><Relationship Id="rId1635" Type="http://schemas.openxmlformats.org/officeDocument/2006/relationships/hyperlink" Target="http://www.phosphosite.org/proteinAction.do?id=2637&amp;showAllSites=true" TargetMode="External"/><Relationship Id="rId132" Type="http://schemas.openxmlformats.org/officeDocument/2006/relationships/hyperlink" Target="http://www.cellsignal.com/products/4885.html" TargetMode="External"/><Relationship Id="rId784" Type="http://schemas.openxmlformats.org/officeDocument/2006/relationships/hyperlink" Target="http://www.phosphosite.org/proteinAction.do?id=3117&amp;showAllSites=true" TargetMode="External"/><Relationship Id="rId991" Type="http://schemas.openxmlformats.org/officeDocument/2006/relationships/hyperlink" Target="http://www.cellsignal.com/products/4937.html" TargetMode="External"/><Relationship Id="rId1067" Type="http://schemas.openxmlformats.org/officeDocument/2006/relationships/hyperlink" Target="http://www.phosphosite.org/proteinAction.do?id=1437&amp;showAllSites=true" TargetMode="External"/><Relationship Id="rId1842" Type="http://schemas.openxmlformats.org/officeDocument/2006/relationships/hyperlink" Target="http://www.phosphosite.org/proteinAction.do?id=1461&amp;showAllSites=true" TargetMode="External"/><Relationship Id="rId437" Type="http://schemas.openxmlformats.org/officeDocument/2006/relationships/hyperlink" Target="http://www.phosphosite.org/proteinAction.do?id=1461&amp;showAllSites=true" TargetMode="External"/><Relationship Id="rId644" Type="http://schemas.openxmlformats.org/officeDocument/2006/relationships/hyperlink" Target="http://www.phosphosite.org/proteinAction.do?id=2612&amp;showAllSites=true" TargetMode="External"/><Relationship Id="rId851" Type="http://schemas.openxmlformats.org/officeDocument/2006/relationships/hyperlink" Target="http://www.phosphosite.org/proteinAction.do?id=3701941&amp;showAllSites=true" TargetMode="External"/><Relationship Id="rId1274" Type="http://schemas.openxmlformats.org/officeDocument/2006/relationships/hyperlink" Target="http://www.phosphosite.org/proteinAction.do?id=944&amp;showAllSites=true" TargetMode="External"/><Relationship Id="rId1481" Type="http://schemas.openxmlformats.org/officeDocument/2006/relationships/hyperlink" Target="http://www.phosphosite.org/proteinAction.do?id=1461&amp;showAllSites=true" TargetMode="External"/><Relationship Id="rId1579" Type="http://schemas.openxmlformats.org/officeDocument/2006/relationships/hyperlink" Target="http://www.phosphosite.org/proteinAction.do?id=1461&amp;showAllSites=true" TargetMode="External"/><Relationship Id="rId1702" Type="http://schemas.openxmlformats.org/officeDocument/2006/relationships/hyperlink" Target="http://www.phosphosite.org/proteinAction.do?id=5812&amp;showAllSites=true" TargetMode="External"/><Relationship Id="rId283" Type="http://schemas.openxmlformats.org/officeDocument/2006/relationships/hyperlink" Target="http://www.cellsignal.com/products/4548.html" TargetMode="External"/><Relationship Id="rId490" Type="http://schemas.openxmlformats.org/officeDocument/2006/relationships/hyperlink" Target="http://www.phosphosite.org/proteinAction.do?id=1461&amp;showAllSites=true" TargetMode="External"/><Relationship Id="rId504" Type="http://schemas.openxmlformats.org/officeDocument/2006/relationships/hyperlink" Target="http://www.phosphosite.org/proteinAction.do?id=2618&amp;showAllSites=true" TargetMode="External"/><Relationship Id="rId711" Type="http://schemas.openxmlformats.org/officeDocument/2006/relationships/hyperlink" Target="http://www.phosphosite.org/proteinAction.do?id=5812&amp;showAllSites=true" TargetMode="External"/><Relationship Id="rId949" Type="http://schemas.openxmlformats.org/officeDocument/2006/relationships/hyperlink" Target="http://www.phosphosite.org/proteinAction.do?id=9052&amp;showAllSites=true" TargetMode="External"/><Relationship Id="rId1134" Type="http://schemas.openxmlformats.org/officeDocument/2006/relationships/hyperlink" Target="http://www.phosphosite.org/proteinAction.do?id=5812&amp;showAllSites=true" TargetMode="External"/><Relationship Id="rId1341" Type="http://schemas.openxmlformats.org/officeDocument/2006/relationships/hyperlink" Target="http://www.phosphosite.org/proteinAction.do?id=17074&amp;showAllSites=true" TargetMode="External"/><Relationship Id="rId1786" Type="http://schemas.openxmlformats.org/officeDocument/2006/relationships/hyperlink" Target="http://www.phosphosite.org/proteinAction.do?id=5812&amp;showAllSites=true" TargetMode="External"/><Relationship Id="rId78" Type="http://schemas.openxmlformats.org/officeDocument/2006/relationships/hyperlink" Target="http://www.cellsignal.com/products/8443.html" TargetMode="External"/><Relationship Id="rId143" Type="http://schemas.openxmlformats.org/officeDocument/2006/relationships/hyperlink" Target="http://www.phosphosite.org/proteinAction.do?id=5758&amp;showAllSites=true" TargetMode="External"/><Relationship Id="rId350" Type="http://schemas.openxmlformats.org/officeDocument/2006/relationships/hyperlink" Target="http://www.cellsignal.com/products/4558.html" TargetMode="External"/><Relationship Id="rId588" Type="http://schemas.openxmlformats.org/officeDocument/2006/relationships/hyperlink" Target="http://www.phosphosite.org/proteinAction.do?id=15245654&amp;showAllSites=true" TargetMode="External"/><Relationship Id="rId795" Type="http://schemas.openxmlformats.org/officeDocument/2006/relationships/hyperlink" Target="http://www.phosphosite.org/proteinAction.do?id=4147&amp;showAllSites=true" TargetMode="External"/><Relationship Id="rId809" Type="http://schemas.openxmlformats.org/officeDocument/2006/relationships/hyperlink" Target="http://www.phosphosite.org/proteinAction.do?id=3701941&amp;showAllSites=true" TargetMode="External"/><Relationship Id="rId1201" Type="http://schemas.openxmlformats.org/officeDocument/2006/relationships/hyperlink" Target="http://www.phosphosite.org/proteinAction.do?id=3649&amp;showAllSites=true" TargetMode="External"/><Relationship Id="rId1439" Type="http://schemas.openxmlformats.org/officeDocument/2006/relationships/hyperlink" Target="http://www.phosphosite.org/proteinAction.do?id=1461&amp;showAllSites=true" TargetMode="External"/><Relationship Id="rId1646" Type="http://schemas.openxmlformats.org/officeDocument/2006/relationships/hyperlink" Target="http://www.phosphosite.org/proteinAction.do?id=2612&amp;showAllSites=true" TargetMode="External"/><Relationship Id="rId1853" Type="http://schemas.openxmlformats.org/officeDocument/2006/relationships/hyperlink" Target="http://www.phosphosite.org/proteinAction.do?id=3701941&amp;showAllSites=true" TargetMode="External"/><Relationship Id="rId9" Type="http://schemas.openxmlformats.org/officeDocument/2006/relationships/hyperlink" Target="http://www.cellsignal.com/products/4529.html" TargetMode="External"/><Relationship Id="rId210" Type="http://schemas.openxmlformats.org/officeDocument/2006/relationships/hyperlink" Target="http://www.cellsignal.com/products/8192.html" TargetMode="External"/><Relationship Id="rId448" Type="http://schemas.openxmlformats.org/officeDocument/2006/relationships/hyperlink" Target="http://www.phosphosite.org/proteinAction.do?id=1461&amp;showAllSites=true" TargetMode="External"/><Relationship Id="rId655" Type="http://schemas.openxmlformats.org/officeDocument/2006/relationships/hyperlink" Target="http://www.phosphosite.org/proteinAction.do?id=5812&amp;showAllSites=true" TargetMode="External"/><Relationship Id="rId862" Type="http://schemas.openxmlformats.org/officeDocument/2006/relationships/hyperlink" Target="http://www.phosphosite.org/proteinAction.do?id=3701941&amp;showAllSites=true" TargetMode="External"/><Relationship Id="rId1078" Type="http://schemas.openxmlformats.org/officeDocument/2006/relationships/hyperlink" Target="http://www.phosphosite.org/proteinAction.do?id=6199&amp;showAllSites=true" TargetMode="External"/><Relationship Id="rId1285" Type="http://schemas.openxmlformats.org/officeDocument/2006/relationships/hyperlink" Target="http://www.phosphosite.org/proteinAction.do?id=944&amp;showAllSites=true" TargetMode="External"/><Relationship Id="rId1492" Type="http://schemas.openxmlformats.org/officeDocument/2006/relationships/hyperlink" Target="http://www.phosphosite.org/proteinAction.do?id=1461&amp;showAllSites=true" TargetMode="External"/><Relationship Id="rId1506" Type="http://schemas.openxmlformats.org/officeDocument/2006/relationships/hyperlink" Target="http://www.phosphosite.org/proteinAction.do?id=1461&amp;showAllSites=true" TargetMode="External"/><Relationship Id="rId1713" Type="http://schemas.openxmlformats.org/officeDocument/2006/relationships/hyperlink" Target="http://www.phosphosite.org/proteinAction.do?id=5812&amp;showAllSites=true" TargetMode="External"/><Relationship Id="rId294" Type="http://schemas.openxmlformats.org/officeDocument/2006/relationships/hyperlink" Target="http://www.cellsignal.com/products/4548.html" TargetMode="External"/><Relationship Id="rId308" Type="http://schemas.openxmlformats.org/officeDocument/2006/relationships/hyperlink" Target="http://www.cellsignal.com/products/4548.html" TargetMode="External"/><Relationship Id="rId515" Type="http://schemas.openxmlformats.org/officeDocument/2006/relationships/hyperlink" Target="http://www.phosphosite.org/proteinAction.do?id=14314905&amp;showAllSites=true" TargetMode="External"/><Relationship Id="rId722" Type="http://schemas.openxmlformats.org/officeDocument/2006/relationships/hyperlink" Target="http://www.phosphosite.org/proteinAction.do?id=5812&amp;showAllSites=true" TargetMode="External"/><Relationship Id="rId1145" Type="http://schemas.openxmlformats.org/officeDocument/2006/relationships/hyperlink" Target="http://www.phosphosite.org/proteinAction.do?id=7056&amp;showAllSites=true" TargetMode="External"/><Relationship Id="rId1352" Type="http://schemas.openxmlformats.org/officeDocument/2006/relationships/hyperlink" Target="http://www.phosphosite.org/proteinAction.do?id=3225402&amp;showAllSites=true" TargetMode="External"/><Relationship Id="rId1797" Type="http://schemas.openxmlformats.org/officeDocument/2006/relationships/hyperlink" Target="http://www.phosphosite.org/proteinAction.do?id=5812&amp;showAllSites=true" TargetMode="External"/><Relationship Id="rId89" Type="http://schemas.openxmlformats.org/officeDocument/2006/relationships/hyperlink" Target="http://www.cellsignal.com/products/4885.html" TargetMode="External"/><Relationship Id="rId154" Type="http://schemas.openxmlformats.org/officeDocument/2006/relationships/hyperlink" Target="http://www.phosphosite.org/proteinAction.do?id=6010&amp;showAllSites=true" TargetMode="External"/><Relationship Id="rId361" Type="http://schemas.openxmlformats.org/officeDocument/2006/relationships/hyperlink" Target="http://www.phosphosite.org/proteinAction.do?id=3722&amp;showAllSites=true" TargetMode="External"/><Relationship Id="rId599" Type="http://schemas.openxmlformats.org/officeDocument/2006/relationships/hyperlink" Target="http://www.phosphosite.org/proteinAction.do?id=16019&amp;showAllSites=true" TargetMode="External"/><Relationship Id="rId1005" Type="http://schemas.openxmlformats.org/officeDocument/2006/relationships/hyperlink" Target="http://www.phosphosite.org/proteinAction.do?id=15365&amp;showAllSites=true" TargetMode="External"/><Relationship Id="rId1212" Type="http://schemas.openxmlformats.org/officeDocument/2006/relationships/hyperlink" Target="http://www.phosphosite.org/proteinAction.do?id=944&amp;showAllSites=true" TargetMode="External"/><Relationship Id="rId1657" Type="http://schemas.openxmlformats.org/officeDocument/2006/relationships/hyperlink" Target="http://www.phosphosite.org/proteinAction.do?id=2612&amp;showAllSites=true" TargetMode="External"/><Relationship Id="rId1864" Type="http://schemas.openxmlformats.org/officeDocument/2006/relationships/hyperlink" Target="http://www.phosphosite.org/proteinAction.do?id=1461&amp;showAllSites=true" TargetMode="External"/><Relationship Id="rId459" Type="http://schemas.openxmlformats.org/officeDocument/2006/relationships/hyperlink" Target="http://www.phosphosite.org/proteinAction.do?id=1461&amp;showAllSites=true" TargetMode="External"/><Relationship Id="rId666" Type="http://schemas.openxmlformats.org/officeDocument/2006/relationships/hyperlink" Target="http://www.phosphosite.org/proteinAction.do?id=5812&amp;showAllSites=true" TargetMode="External"/><Relationship Id="rId873" Type="http://schemas.openxmlformats.org/officeDocument/2006/relationships/hyperlink" Target="http://www.phosphosite.org/proteinAction.do?id=3701941&amp;showAllSites=true" TargetMode="External"/><Relationship Id="rId1089" Type="http://schemas.openxmlformats.org/officeDocument/2006/relationships/hyperlink" Target="http://www.phosphosite.org/proteinAction.do?id=5307601&amp;showAllSites=true" TargetMode="External"/><Relationship Id="rId1296" Type="http://schemas.openxmlformats.org/officeDocument/2006/relationships/hyperlink" Target="http://www.phosphosite.org/proteinAction.do?id=1461&amp;showAllSites=true" TargetMode="External"/><Relationship Id="rId1517" Type="http://schemas.openxmlformats.org/officeDocument/2006/relationships/hyperlink" Target="http://www.phosphosite.org/proteinAction.do?id=1461&amp;showAllSites=true" TargetMode="External"/><Relationship Id="rId1724" Type="http://schemas.openxmlformats.org/officeDocument/2006/relationships/hyperlink" Target="http://www.phosphosite.org/proteinAction.do?id=5812&amp;showAllSites=true" TargetMode="External"/><Relationship Id="rId16" Type="http://schemas.openxmlformats.org/officeDocument/2006/relationships/hyperlink" Target="http://www.cellsignal.com/products/5765.html" TargetMode="External"/><Relationship Id="rId221" Type="http://schemas.openxmlformats.org/officeDocument/2006/relationships/hyperlink" Target="http://www.phosphosite.org/proteinAction.do?id=9134&amp;showAllSites=true" TargetMode="External"/><Relationship Id="rId319" Type="http://schemas.openxmlformats.org/officeDocument/2006/relationships/hyperlink" Target="http://www.cellsignal.com/products/4558.html" TargetMode="External"/><Relationship Id="rId526" Type="http://schemas.openxmlformats.org/officeDocument/2006/relationships/hyperlink" Target="http://www.phosphosite.org/proteinAction.do?id=14276&amp;showAllSites=true" TargetMode="External"/><Relationship Id="rId1156" Type="http://schemas.openxmlformats.org/officeDocument/2006/relationships/hyperlink" Target="http://www.phosphosite.org/proteinAction.do?id=3701941&amp;showAllSites=true" TargetMode="External"/><Relationship Id="rId1363" Type="http://schemas.openxmlformats.org/officeDocument/2006/relationships/hyperlink" Target="http://www.phosphosite.org/proteinAction.do?id=14151000&amp;showAllSites=true" TargetMode="External"/><Relationship Id="rId733" Type="http://schemas.openxmlformats.org/officeDocument/2006/relationships/hyperlink" Target="http://www.phosphosite.org/proteinAction.do?id=5812&amp;showAllSites=true" TargetMode="External"/><Relationship Id="rId940" Type="http://schemas.openxmlformats.org/officeDocument/2006/relationships/hyperlink" Target="http://www.phosphosite.org/proteinAction.do?id=9462&amp;showAllSites=true" TargetMode="External"/><Relationship Id="rId1016" Type="http://schemas.openxmlformats.org/officeDocument/2006/relationships/hyperlink" Target="http://www.phosphosite.org/proteinAction.do?id=9134&amp;showAllSites=true" TargetMode="External"/><Relationship Id="rId1570" Type="http://schemas.openxmlformats.org/officeDocument/2006/relationships/hyperlink" Target="http://www.phosphosite.org/proteinAction.do?id=1461&amp;showAllSites=true" TargetMode="External"/><Relationship Id="rId1668" Type="http://schemas.openxmlformats.org/officeDocument/2006/relationships/hyperlink" Target="http://www.phosphosite.org/proteinAction.do?id=5812&amp;showAllSites=true" TargetMode="External"/><Relationship Id="rId1875" Type="http://schemas.openxmlformats.org/officeDocument/2006/relationships/printerSettings" Target="../printerSettings/printerSettings1.bin"/><Relationship Id="rId165" Type="http://schemas.openxmlformats.org/officeDocument/2006/relationships/hyperlink" Target="http://www.phosphosite.org/proteinAction.do?id=2711&amp;showAllSites=true" TargetMode="External"/><Relationship Id="rId372" Type="http://schemas.openxmlformats.org/officeDocument/2006/relationships/hyperlink" Target="http://www.cellsignal.com/products/4558.html" TargetMode="External"/><Relationship Id="rId677" Type="http://schemas.openxmlformats.org/officeDocument/2006/relationships/hyperlink" Target="http://www.phosphosite.org/proteinAction.do?id=5812&amp;showAllSites=true" TargetMode="External"/><Relationship Id="rId800" Type="http://schemas.openxmlformats.org/officeDocument/2006/relationships/hyperlink" Target="http://www.phosphosite.org/proteinAction.do?id=3701941&amp;showAllSites=true" TargetMode="External"/><Relationship Id="rId1223" Type="http://schemas.openxmlformats.org/officeDocument/2006/relationships/hyperlink" Target="http://www.phosphosite.org/proteinAction.do?id=944&amp;showAllSites=true" TargetMode="External"/><Relationship Id="rId1430" Type="http://schemas.openxmlformats.org/officeDocument/2006/relationships/hyperlink" Target="http://www.phosphosite.org/proteinAction.do?id=1461&amp;showAllSites=true" TargetMode="External"/><Relationship Id="rId1528" Type="http://schemas.openxmlformats.org/officeDocument/2006/relationships/hyperlink" Target="http://www.phosphosite.org/proteinAction.do?id=1461&amp;showAllSites=true" TargetMode="External"/><Relationship Id="rId232" Type="http://schemas.openxmlformats.org/officeDocument/2006/relationships/hyperlink" Target="http://www.phosphosite.org/proteinAction.do?id=4119&amp;showAllSites=true" TargetMode="External"/><Relationship Id="rId884" Type="http://schemas.openxmlformats.org/officeDocument/2006/relationships/hyperlink" Target="http://www.phosphosite.org/proteinAction.do?id=3701941&amp;showAllSites=true" TargetMode="External"/><Relationship Id="rId1735" Type="http://schemas.openxmlformats.org/officeDocument/2006/relationships/hyperlink" Target="http://www.phosphosite.org/proteinAction.do?id=5812&amp;showAllSites=true" TargetMode="External"/><Relationship Id="rId27" Type="http://schemas.openxmlformats.org/officeDocument/2006/relationships/hyperlink" Target="http://www.cellsignal.com/products/5765.html" TargetMode="External"/><Relationship Id="rId537" Type="http://schemas.openxmlformats.org/officeDocument/2006/relationships/hyperlink" Target="http://www.phosphosite.org/proteinAction.do?id=4078&amp;showAllSites=true" TargetMode="External"/><Relationship Id="rId744" Type="http://schemas.openxmlformats.org/officeDocument/2006/relationships/hyperlink" Target="http://www.phosphosite.org/proteinAction.do?id=5812&amp;showAllSites=true" TargetMode="External"/><Relationship Id="rId951" Type="http://schemas.openxmlformats.org/officeDocument/2006/relationships/hyperlink" Target="http://www.phosphosite.org/proteinAction.do?id=9468&amp;showAllSites=true" TargetMode="External"/><Relationship Id="rId1167" Type="http://schemas.openxmlformats.org/officeDocument/2006/relationships/hyperlink" Target="http://www.phosphosite.org/proteinAction.do?id=3701941&amp;showAllSites=true" TargetMode="External"/><Relationship Id="rId1374" Type="http://schemas.openxmlformats.org/officeDocument/2006/relationships/hyperlink" Target="http://www.phosphosite.org/proteinAction.do?id=5812&amp;showAllSites=true" TargetMode="External"/><Relationship Id="rId1581" Type="http://schemas.openxmlformats.org/officeDocument/2006/relationships/hyperlink" Target="http://www.phosphosite.org/proteinAction.do?id=1461&amp;showAllSites=true" TargetMode="External"/><Relationship Id="rId1679" Type="http://schemas.openxmlformats.org/officeDocument/2006/relationships/hyperlink" Target="http://www.phosphosite.org/proteinAction.do?id=5812&amp;showAllSites=true" TargetMode="External"/><Relationship Id="rId1802" Type="http://schemas.openxmlformats.org/officeDocument/2006/relationships/hyperlink" Target="http://www.phosphosite.org/proteinAction.do?id=3658401&amp;showAllSites=true" TargetMode="External"/><Relationship Id="rId80" Type="http://schemas.openxmlformats.org/officeDocument/2006/relationships/hyperlink" Target="http://www.cellsignal.com/products/4885.html" TargetMode="External"/><Relationship Id="rId176" Type="http://schemas.openxmlformats.org/officeDocument/2006/relationships/hyperlink" Target="http://www.phosphosite.org/proteinAction.do?id=8386&amp;showAllSites=true" TargetMode="External"/><Relationship Id="rId383" Type="http://schemas.openxmlformats.org/officeDocument/2006/relationships/hyperlink" Target="http://www.phosphosite.org/proteinAction.do?id=3722&amp;showAllSites=true" TargetMode="External"/><Relationship Id="rId590" Type="http://schemas.openxmlformats.org/officeDocument/2006/relationships/hyperlink" Target="http://www.phosphosite.org/proteinAction.do?id=12577&amp;showAllSites=true" TargetMode="External"/><Relationship Id="rId604" Type="http://schemas.openxmlformats.org/officeDocument/2006/relationships/hyperlink" Target="http://www.phosphosite.org/proteinAction.do?id=3242&amp;showAllSites=true" TargetMode="External"/><Relationship Id="rId811" Type="http://schemas.openxmlformats.org/officeDocument/2006/relationships/hyperlink" Target="http://www.phosphosite.org/proteinAction.do?id=3701941&amp;showAllSites=true" TargetMode="External"/><Relationship Id="rId1027" Type="http://schemas.openxmlformats.org/officeDocument/2006/relationships/hyperlink" Target="http://www.cellsignal.com/products/4548.html" TargetMode="External"/><Relationship Id="rId1234" Type="http://schemas.openxmlformats.org/officeDocument/2006/relationships/hyperlink" Target="http://www.phosphosite.org/proteinAction.do?id=944&amp;showAllSites=true" TargetMode="External"/><Relationship Id="rId1441" Type="http://schemas.openxmlformats.org/officeDocument/2006/relationships/hyperlink" Target="http://www.phosphosite.org/proteinAction.do?id=1461&amp;showAllSites=true" TargetMode="External"/><Relationship Id="rId243" Type="http://schemas.openxmlformats.org/officeDocument/2006/relationships/hyperlink" Target="http://www.cellsignal.com/products/8444.html" TargetMode="External"/><Relationship Id="rId450" Type="http://schemas.openxmlformats.org/officeDocument/2006/relationships/hyperlink" Target="http://www.phosphosite.org/proteinAction.do?id=1461&amp;showAllSites=true" TargetMode="External"/><Relationship Id="rId688" Type="http://schemas.openxmlformats.org/officeDocument/2006/relationships/hyperlink" Target="http://www.phosphosite.org/proteinAction.do?id=5812&amp;showAllSites=true" TargetMode="External"/><Relationship Id="rId895" Type="http://schemas.openxmlformats.org/officeDocument/2006/relationships/hyperlink" Target="http://www.cellsignal.com/products/9081.html" TargetMode="External"/><Relationship Id="rId909" Type="http://schemas.openxmlformats.org/officeDocument/2006/relationships/hyperlink" Target="http://www.phosphosite.org/proteinAction.do?id=3642&amp;showAllSites=true" TargetMode="External"/><Relationship Id="rId1080" Type="http://schemas.openxmlformats.org/officeDocument/2006/relationships/hyperlink" Target="http://www.phosphosite.org/proteinAction.do?id=15331700&amp;showAllSites=true" TargetMode="External"/><Relationship Id="rId1301" Type="http://schemas.openxmlformats.org/officeDocument/2006/relationships/hyperlink" Target="http://www.phosphosite.org/proteinAction.do?id=1461&amp;showAllSites=true" TargetMode="External"/><Relationship Id="rId1539" Type="http://schemas.openxmlformats.org/officeDocument/2006/relationships/hyperlink" Target="http://www.phosphosite.org/proteinAction.do?id=1461&amp;showAllSites=true" TargetMode="External"/><Relationship Id="rId1746" Type="http://schemas.openxmlformats.org/officeDocument/2006/relationships/hyperlink" Target="http://www.phosphosite.org/proteinAction.do?id=5812&amp;showAllSites=true" TargetMode="External"/><Relationship Id="rId38" Type="http://schemas.openxmlformats.org/officeDocument/2006/relationships/hyperlink" Target="http://www.cellsignal.com/products/12317.html" TargetMode="External"/><Relationship Id="rId103" Type="http://schemas.openxmlformats.org/officeDocument/2006/relationships/hyperlink" Target="http://www.cellsignal.com/products/6359.html" TargetMode="External"/><Relationship Id="rId310" Type="http://schemas.openxmlformats.org/officeDocument/2006/relationships/hyperlink" Target="http://www.cellsignal.com/products/4548.html" TargetMode="External"/><Relationship Id="rId548" Type="http://schemas.openxmlformats.org/officeDocument/2006/relationships/hyperlink" Target="http://www.phosphosite.org/proteinAction.do?id=11957&amp;showAllSites=true" TargetMode="External"/><Relationship Id="rId755" Type="http://schemas.openxmlformats.org/officeDocument/2006/relationships/hyperlink" Target="http://www.phosphosite.org/proteinAction.do?id=5812&amp;showAllSites=true" TargetMode="External"/><Relationship Id="rId962" Type="http://schemas.openxmlformats.org/officeDocument/2006/relationships/hyperlink" Target="http://www.phosphosite.org/proteinAction.do?id=2653008&amp;showAllSites=true" TargetMode="External"/><Relationship Id="rId1178" Type="http://schemas.openxmlformats.org/officeDocument/2006/relationships/hyperlink" Target="http://www.phosphosite.org/proteinAction.do?id=6250&amp;showAllSites=true" TargetMode="External"/><Relationship Id="rId1385" Type="http://schemas.openxmlformats.org/officeDocument/2006/relationships/hyperlink" Target="http://www.phosphosite.org/proteinAction.do?id=5812&amp;showAllSites=true" TargetMode="External"/><Relationship Id="rId1592" Type="http://schemas.openxmlformats.org/officeDocument/2006/relationships/hyperlink" Target="http://www.phosphosite.org/proteinAction.do?id=1461&amp;showAllSites=true" TargetMode="External"/><Relationship Id="rId1606" Type="http://schemas.openxmlformats.org/officeDocument/2006/relationships/hyperlink" Target="http://www.phosphosite.org/proteinAction.do?id=1461&amp;showAllSites=true" TargetMode="External"/><Relationship Id="rId1813" Type="http://schemas.openxmlformats.org/officeDocument/2006/relationships/hyperlink" Target="http://www.cellsignal.com/products/4937.html" TargetMode="External"/><Relationship Id="rId91" Type="http://schemas.openxmlformats.org/officeDocument/2006/relationships/hyperlink" Target="http://www.cellsignal.com/products/6505.html" TargetMode="External"/><Relationship Id="rId187" Type="http://schemas.openxmlformats.org/officeDocument/2006/relationships/hyperlink" Target="http://www.cellsignal.com/products/5641.html" TargetMode="External"/><Relationship Id="rId394" Type="http://schemas.openxmlformats.org/officeDocument/2006/relationships/hyperlink" Target="http://www.phosphosite.org/proteinAction.do?id=8358&amp;showAllSites=true" TargetMode="External"/><Relationship Id="rId408" Type="http://schemas.openxmlformats.org/officeDocument/2006/relationships/hyperlink" Target="http://www.phosphosite.org/proteinAction.do?id=1461&amp;showAllSites=true" TargetMode="External"/><Relationship Id="rId615" Type="http://schemas.openxmlformats.org/officeDocument/2006/relationships/hyperlink" Target="http://www.phosphosite.org/proteinAction.do?id=22920001&amp;showAllSites=true" TargetMode="External"/><Relationship Id="rId822" Type="http://schemas.openxmlformats.org/officeDocument/2006/relationships/hyperlink" Target="http://www.phosphosite.org/proteinAction.do?id=3701941&amp;showAllSites=true" TargetMode="External"/><Relationship Id="rId1038" Type="http://schemas.openxmlformats.org/officeDocument/2006/relationships/hyperlink" Target="http://www.cellsignal.com/products/4558.html" TargetMode="External"/><Relationship Id="rId1245" Type="http://schemas.openxmlformats.org/officeDocument/2006/relationships/hyperlink" Target="http://www.phosphosite.org/proteinAction.do?id=944&amp;showAllSites=true" TargetMode="External"/><Relationship Id="rId1452" Type="http://schemas.openxmlformats.org/officeDocument/2006/relationships/hyperlink" Target="http://www.phosphosite.org/proteinAction.do?id=1461&amp;showAllSites=true" TargetMode="External"/><Relationship Id="rId254" Type="http://schemas.openxmlformats.org/officeDocument/2006/relationships/hyperlink" Target="http://www.phosphosite.org/proteinAction.do?id=3396&amp;showAllSites=true" TargetMode="External"/><Relationship Id="rId699" Type="http://schemas.openxmlformats.org/officeDocument/2006/relationships/hyperlink" Target="http://www.phosphosite.org/proteinAction.do?id=5812&amp;showAllSites=true" TargetMode="External"/><Relationship Id="rId1091" Type="http://schemas.openxmlformats.org/officeDocument/2006/relationships/hyperlink" Target="http://www.phosphosite.org/proteinAction.do?id=15245654&amp;showAllSites=true" TargetMode="External"/><Relationship Id="rId1105" Type="http://schemas.openxmlformats.org/officeDocument/2006/relationships/hyperlink" Target="http://www.cellsignal.com/products/7668.html" TargetMode="External"/><Relationship Id="rId1312" Type="http://schemas.openxmlformats.org/officeDocument/2006/relationships/hyperlink" Target="http://www.phosphosite.org/proteinAction.do?id=1461&amp;showAllSites=true" TargetMode="External"/><Relationship Id="rId1757" Type="http://schemas.openxmlformats.org/officeDocument/2006/relationships/hyperlink" Target="http://www.phosphosite.org/proteinAction.do?id=5812&amp;showAllSites=true" TargetMode="External"/><Relationship Id="rId49" Type="http://schemas.openxmlformats.org/officeDocument/2006/relationships/hyperlink" Target="http://www.cellsignal.com/products/4885.html" TargetMode="External"/><Relationship Id="rId114" Type="http://schemas.openxmlformats.org/officeDocument/2006/relationships/hyperlink" Target="http://www.cellsignal.com/products/4885.html" TargetMode="External"/><Relationship Id="rId461" Type="http://schemas.openxmlformats.org/officeDocument/2006/relationships/hyperlink" Target="http://www.phosphosite.org/proteinAction.do?id=1461&amp;showAllSites=true" TargetMode="External"/><Relationship Id="rId559" Type="http://schemas.openxmlformats.org/officeDocument/2006/relationships/hyperlink" Target="http://www.phosphosite.org/proteinAction.do?id=15331700&amp;showAllSites=true" TargetMode="External"/><Relationship Id="rId766" Type="http://schemas.openxmlformats.org/officeDocument/2006/relationships/hyperlink" Target="http://www.phosphosite.org/proteinAction.do?id=7056&amp;showAllSites=true" TargetMode="External"/><Relationship Id="rId1189" Type="http://schemas.openxmlformats.org/officeDocument/2006/relationships/hyperlink" Target="http://www.phosphosite.org/proteinAction.do?id=5895&amp;showAllSites=true" TargetMode="External"/><Relationship Id="rId1396" Type="http://schemas.openxmlformats.org/officeDocument/2006/relationships/hyperlink" Target="http://www.phosphosite.org/proteinAction.do?id=3701941&amp;showAllSites=true" TargetMode="External"/><Relationship Id="rId1617" Type="http://schemas.openxmlformats.org/officeDocument/2006/relationships/hyperlink" Target="http://www.phosphosite.org/proteinAction.do?id=4078&amp;showAllSites=true" TargetMode="External"/><Relationship Id="rId1824" Type="http://schemas.openxmlformats.org/officeDocument/2006/relationships/hyperlink" Target="http://www.cellsignal.com/products/3469.html" TargetMode="External"/><Relationship Id="rId198" Type="http://schemas.openxmlformats.org/officeDocument/2006/relationships/hyperlink" Target="http://www.phosphosite.org/proteinAction.do?id=25250672&amp;showAllSites=true" TargetMode="External"/><Relationship Id="rId321" Type="http://schemas.openxmlformats.org/officeDocument/2006/relationships/hyperlink" Target="http://www.cellsignal.com/products/4558.html" TargetMode="External"/><Relationship Id="rId419" Type="http://schemas.openxmlformats.org/officeDocument/2006/relationships/hyperlink" Target="http://www.phosphosite.org/proteinAction.do?id=1461&amp;showAllSites=true" TargetMode="External"/><Relationship Id="rId626" Type="http://schemas.openxmlformats.org/officeDocument/2006/relationships/hyperlink" Target="http://www.phosphosite.org/proteinAction.do?id=2612&amp;showAllSites=true" TargetMode="External"/><Relationship Id="rId973" Type="http://schemas.openxmlformats.org/officeDocument/2006/relationships/hyperlink" Target="http://www.phosphosite.org/proteinAction.do?id=3130&amp;showAllSites=true" TargetMode="External"/><Relationship Id="rId1049" Type="http://schemas.openxmlformats.org/officeDocument/2006/relationships/hyperlink" Target="http://www.phosphosite.org/proteinAction.do?id=1461&amp;showAllSites=true" TargetMode="External"/><Relationship Id="rId1256" Type="http://schemas.openxmlformats.org/officeDocument/2006/relationships/hyperlink" Target="http://www.phosphosite.org/proteinAction.do?id=944&amp;showAllSites=true" TargetMode="External"/><Relationship Id="rId833" Type="http://schemas.openxmlformats.org/officeDocument/2006/relationships/hyperlink" Target="http://www.phosphosite.org/proteinAction.do?id=3701941&amp;showAllSites=true" TargetMode="External"/><Relationship Id="rId1116" Type="http://schemas.openxmlformats.org/officeDocument/2006/relationships/hyperlink" Target="http://www.phosphosite.org/proteinAction.do?id=2612&amp;showAllSites=true" TargetMode="External"/><Relationship Id="rId1463" Type="http://schemas.openxmlformats.org/officeDocument/2006/relationships/hyperlink" Target="http://www.phosphosite.org/proteinAction.do?id=1461&amp;showAllSites=true" TargetMode="External"/><Relationship Id="rId1670" Type="http://schemas.openxmlformats.org/officeDocument/2006/relationships/hyperlink" Target="http://www.phosphosite.org/proteinAction.do?id=5812&amp;showAllSites=true" TargetMode="External"/><Relationship Id="rId1768" Type="http://schemas.openxmlformats.org/officeDocument/2006/relationships/hyperlink" Target="http://www.phosphosite.org/proteinAction.do?id=5812&amp;showAllSites=true" TargetMode="External"/><Relationship Id="rId265" Type="http://schemas.openxmlformats.org/officeDocument/2006/relationships/hyperlink" Target="http://www.cellsignal.com/products/4548.html" TargetMode="External"/><Relationship Id="rId472" Type="http://schemas.openxmlformats.org/officeDocument/2006/relationships/hyperlink" Target="http://www.phosphosite.org/proteinAction.do?id=1461&amp;showAllSites=true" TargetMode="External"/><Relationship Id="rId900" Type="http://schemas.openxmlformats.org/officeDocument/2006/relationships/hyperlink" Target="http://www.phosphosite.org/proteinAction.do?id=2890&amp;showAllSites=true" TargetMode="External"/><Relationship Id="rId1323" Type="http://schemas.openxmlformats.org/officeDocument/2006/relationships/hyperlink" Target="http://www.phosphosite.org/proteinAction.do?id=15331700&amp;showAllSites=true" TargetMode="External"/><Relationship Id="rId1530" Type="http://schemas.openxmlformats.org/officeDocument/2006/relationships/hyperlink" Target="http://www.phosphosite.org/proteinAction.do?id=1461&amp;showAllSites=true" TargetMode="External"/><Relationship Id="rId1628" Type="http://schemas.openxmlformats.org/officeDocument/2006/relationships/hyperlink" Target="http://www.phosphosite.org/proteinAction.do?id=22920001&amp;showAllSites=true" TargetMode="External"/><Relationship Id="rId125" Type="http://schemas.openxmlformats.org/officeDocument/2006/relationships/hyperlink" Target="http://www.cellsignal.com/products/4885.html" TargetMode="External"/><Relationship Id="rId332" Type="http://schemas.openxmlformats.org/officeDocument/2006/relationships/hyperlink" Target="http://www.cellsignal.com/products/4558.html" TargetMode="External"/><Relationship Id="rId777" Type="http://schemas.openxmlformats.org/officeDocument/2006/relationships/hyperlink" Target="http://www.phosphosite.org/proteinAction.do?id=5362100&amp;showAllSites=true" TargetMode="External"/><Relationship Id="rId984" Type="http://schemas.openxmlformats.org/officeDocument/2006/relationships/hyperlink" Target="http://www.phosphosite.org/proteinAction.do?id=27269108&amp;showAllSites=true" TargetMode="External"/><Relationship Id="rId1835" Type="http://schemas.openxmlformats.org/officeDocument/2006/relationships/hyperlink" Target="http://www.phosphosite.org/proteinAction.do?id=1461&amp;showAllSites=true" TargetMode="External"/><Relationship Id="rId637" Type="http://schemas.openxmlformats.org/officeDocument/2006/relationships/hyperlink" Target="http://www.cellsignal.com/products/8443.html" TargetMode="External"/><Relationship Id="rId844" Type="http://schemas.openxmlformats.org/officeDocument/2006/relationships/hyperlink" Target="http://www.phosphosite.org/proteinAction.do?id=3701941&amp;showAllSites=true" TargetMode="External"/><Relationship Id="rId1267" Type="http://schemas.openxmlformats.org/officeDocument/2006/relationships/hyperlink" Target="http://www.phosphosite.org/proteinAction.do?id=944&amp;showAllSites=true" TargetMode="External"/><Relationship Id="rId1474" Type="http://schemas.openxmlformats.org/officeDocument/2006/relationships/hyperlink" Target="http://www.phosphosite.org/proteinAction.do?id=1461&amp;showAllSites=true" TargetMode="External"/><Relationship Id="rId1681" Type="http://schemas.openxmlformats.org/officeDocument/2006/relationships/hyperlink" Target="http://www.phosphosite.org/proteinAction.do?id=5812&amp;showAllSites=true" TargetMode="External"/><Relationship Id="rId276" Type="http://schemas.openxmlformats.org/officeDocument/2006/relationships/hyperlink" Target="http://www.cellsignal.com/products/4548.html" TargetMode="External"/><Relationship Id="rId483" Type="http://schemas.openxmlformats.org/officeDocument/2006/relationships/hyperlink" Target="http://www.phosphosite.org/proteinAction.do?id=1461&amp;showAllSites=true" TargetMode="External"/><Relationship Id="rId690" Type="http://schemas.openxmlformats.org/officeDocument/2006/relationships/hyperlink" Target="http://www.phosphosite.org/proteinAction.do?id=5812&amp;showAllSites=true" TargetMode="External"/><Relationship Id="rId704" Type="http://schemas.openxmlformats.org/officeDocument/2006/relationships/hyperlink" Target="http://www.phosphosite.org/proteinAction.do?id=5812&amp;showAllSites=true" TargetMode="External"/><Relationship Id="rId911" Type="http://schemas.openxmlformats.org/officeDocument/2006/relationships/hyperlink" Target="http://www.phosphosite.org/proteinAction.do?id=3642&amp;showAllSites=true" TargetMode="External"/><Relationship Id="rId1127" Type="http://schemas.openxmlformats.org/officeDocument/2006/relationships/hyperlink" Target="http://www.phosphosite.org/proteinAction.do?id=5812&amp;showAllSites=true" TargetMode="External"/><Relationship Id="rId1334" Type="http://schemas.openxmlformats.org/officeDocument/2006/relationships/hyperlink" Target="http://www.phosphosite.org/proteinAction.do?id=15331700&amp;showAllSites=true" TargetMode="External"/><Relationship Id="rId1541" Type="http://schemas.openxmlformats.org/officeDocument/2006/relationships/hyperlink" Target="http://www.phosphosite.org/proteinAction.do?id=1461&amp;showAllSites=true" TargetMode="External"/><Relationship Id="rId1779" Type="http://schemas.openxmlformats.org/officeDocument/2006/relationships/hyperlink" Target="http://www.phosphosite.org/proteinAction.do?id=5812&amp;showAllSites=true" TargetMode="External"/><Relationship Id="rId40" Type="http://schemas.openxmlformats.org/officeDocument/2006/relationships/hyperlink" Target="http://www.cellsignal.com/products/4548.html" TargetMode="External"/><Relationship Id="rId136" Type="http://schemas.openxmlformats.org/officeDocument/2006/relationships/hyperlink" Target="http://www.phosphosite.org/proteinAction.do?id=5078704&amp;showAllSites=true" TargetMode="External"/><Relationship Id="rId343" Type="http://schemas.openxmlformats.org/officeDocument/2006/relationships/hyperlink" Target="http://www.cellsignal.com/products/4558.html" TargetMode="External"/><Relationship Id="rId550" Type="http://schemas.openxmlformats.org/officeDocument/2006/relationships/hyperlink" Target="http://www.phosphosite.org/proteinAction.do?id=10165240&amp;showAllSites=true" TargetMode="External"/><Relationship Id="rId788" Type="http://schemas.openxmlformats.org/officeDocument/2006/relationships/hyperlink" Target="http://www.phosphosite.org/proteinAction.do?id=3117&amp;showAllSites=true" TargetMode="External"/><Relationship Id="rId995" Type="http://schemas.openxmlformats.org/officeDocument/2006/relationships/hyperlink" Target="http://www.phosphosite.org/proteinAction.do?id=3649&amp;showAllSites=true" TargetMode="External"/><Relationship Id="rId1180" Type="http://schemas.openxmlformats.org/officeDocument/2006/relationships/hyperlink" Target="http://www.phosphosite.org/proteinAction.do?id=9462&amp;showAllSites=true" TargetMode="External"/><Relationship Id="rId1401" Type="http://schemas.openxmlformats.org/officeDocument/2006/relationships/hyperlink" Target="http://www.phosphosite.org/proteinAction.do?id=3701941&amp;showAllSites=true" TargetMode="External"/><Relationship Id="rId1639" Type="http://schemas.openxmlformats.org/officeDocument/2006/relationships/hyperlink" Target="http://www.phosphosite.org/proteinAction.do?id=2612&amp;showAllSites=true" TargetMode="External"/><Relationship Id="rId1846" Type="http://schemas.openxmlformats.org/officeDocument/2006/relationships/hyperlink" Target="http://www.phosphosite.org/proteinAction.do?id=1461&amp;showAllSites=true" TargetMode="External"/><Relationship Id="rId203" Type="http://schemas.openxmlformats.org/officeDocument/2006/relationships/hyperlink" Target="http://www.phosphosite.org/proteinAction.do?id=13284&amp;showAllSites=true" TargetMode="External"/><Relationship Id="rId648" Type="http://schemas.openxmlformats.org/officeDocument/2006/relationships/hyperlink" Target="http://www.phosphosite.org/proteinAction.do?id=2612&amp;showAllSites=true" TargetMode="External"/><Relationship Id="rId855" Type="http://schemas.openxmlformats.org/officeDocument/2006/relationships/hyperlink" Target="http://www.phosphosite.org/proteinAction.do?id=3701941&amp;showAllSites=true" TargetMode="External"/><Relationship Id="rId1040" Type="http://schemas.openxmlformats.org/officeDocument/2006/relationships/hyperlink" Target="http://www.cellsignal.com/products/4545.html" TargetMode="External"/><Relationship Id="rId1278" Type="http://schemas.openxmlformats.org/officeDocument/2006/relationships/hyperlink" Target="http://www.phosphosite.org/proteinAction.do?id=944&amp;showAllSites=true" TargetMode="External"/><Relationship Id="rId1485" Type="http://schemas.openxmlformats.org/officeDocument/2006/relationships/hyperlink" Target="http://www.phosphosite.org/proteinAction.do?id=1461&amp;showAllSites=true" TargetMode="External"/><Relationship Id="rId1692" Type="http://schemas.openxmlformats.org/officeDocument/2006/relationships/hyperlink" Target="http://www.phosphosite.org/proteinAction.do?id=5812&amp;showAllSites=true" TargetMode="External"/><Relationship Id="rId1706" Type="http://schemas.openxmlformats.org/officeDocument/2006/relationships/hyperlink" Target="http://www.phosphosite.org/proteinAction.do?id=5812&amp;showAllSites=true" TargetMode="External"/><Relationship Id="rId287" Type="http://schemas.openxmlformats.org/officeDocument/2006/relationships/hyperlink" Target="http://www.cellsignal.com/products/4548.html" TargetMode="External"/><Relationship Id="rId410" Type="http://schemas.openxmlformats.org/officeDocument/2006/relationships/hyperlink" Target="http://www.phosphosite.org/proteinAction.do?id=1461&amp;showAllSites=true" TargetMode="External"/><Relationship Id="rId494" Type="http://schemas.openxmlformats.org/officeDocument/2006/relationships/hyperlink" Target="http://www.phosphosite.org/proteinAction.do?id=1461&amp;showAllSites=true" TargetMode="External"/><Relationship Id="rId508" Type="http://schemas.openxmlformats.org/officeDocument/2006/relationships/hyperlink" Target="http://www.phosphosite.org/proteinAction.do?id=18381&amp;showAllSites=true" TargetMode="External"/><Relationship Id="rId715" Type="http://schemas.openxmlformats.org/officeDocument/2006/relationships/hyperlink" Target="http://www.phosphosite.org/proteinAction.do?id=5812&amp;showAllSites=true" TargetMode="External"/><Relationship Id="rId922" Type="http://schemas.openxmlformats.org/officeDocument/2006/relationships/hyperlink" Target="http://www.phosphosite.org/proteinAction.do?id=9462&amp;showAllSites=true" TargetMode="External"/><Relationship Id="rId1138" Type="http://schemas.openxmlformats.org/officeDocument/2006/relationships/hyperlink" Target="http://www.phosphosite.org/proteinAction.do?id=5812&amp;showAllSites=true" TargetMode="External"/><Relationship Id="rId1345" Type="http://schemas.openxmlformats.org/officeDocument/2006/relationships/hyperlink" Target="http://www.phosphosite.org/proteinAction.do?id=17074&amp;showAllSites=true" TargetMode="External"/><Relationship Id="rId1552" Type="http://schemas.openxmlformats.org/officeDocument/2006/relationships/hyperlink" Target="http://www.phosphosite.org/proteinAction.do?id=1461&amp;showAllSites=true" TargetMode="External"/><Relationship Id="rId147" Type="http://schemas.openxmlformats.org/officeDocument/2006/relationships/hyperlink" Target="http://www.phosphosite.org/proteinAction.do?id=5758&amp;showAllSites=true" TargetMode="External"/><Relationship Id="rId354" Type="http://schemas.openxmlformats.org/officeDocument/2006/relationships/hyperlink" Target="http://www.cellsignal.com/products/4558.html" TargetMode="External"/><Relationship Id="rId799" Type="http://schemas.openxmlformats.org/officeDocument/2006/relationships/hyperlink" Target="http://www.phosphosite.org/proteinAction.do?id=3701941&amp;showAllSites=true" TargetMode="External"/><Relationship Id="rId1191" Type="http://schemas.openxmlformats.org/officeDocument/2006/relationships/hyperlink" Target="http://www.phosphosite.org/proteinAction.do?id=3130&amp;showAllSites=true" TargetMode="External"/><Relationship Id="rId1205" Type="http://schemas.openxmlformats.org/officeDocument/2006/relationships/hyperlink" Target="http://www.phosphosite.org/proteinAction.do?id=944&amp;showAllSites=true" TargetMode="External"/><Relationship Id="rId1857" Type="http://schemas.openxmlformats.org/officeDocument/2006/relationships/hyperlink" Target="http://www.phosphosite.org/proteinAction.do?id=3701941&amp;showAllSites=true" TargetMode="External"/><Relationship Id="rId51" Type="http://schemas.openxmlformats.org/officeDocument/2006/relationships/hyperlink" Target="http://www.cellsignal.com/products/4885.html" TargetMode="External"/><Relationship Id="rId561" Type="http://schemas.openxmlformats.org/officeDocument/2006/relationships/hyperlink" Target="http://www.phosphosite.org/proteinAction.do?id=10686&amp;showAllSites=true" TargetMode="External"/><Relationship Id="rId659" Type="http://schemas.openxmlformats.org/officeDocument/2006/relationships/hyperlink" Target="http://www.phosphosite.org/proteinAction.do?id=5812&amp;showAllSites=true" TargetMode="External"/><Relationship Id="rId866" Type="http://schemas.openxmlformats.org/officeDocument/2006/relationships/hyperlink" Target="http://www.phosphosite.org/proteinAction.do?id=3701941&amp;showAllSites=true" TargetMode="External"/><Relationship Id="rId1289" Type="http://schemas.openxmlformats.org/officeDocument/2006/relationships/hyperlink" Target="http://www.phosphosite.org/proteinAction.do?id=944&amp;showAllSites=true" TargetMode="External"/><Relationship Id="rId1412" Type="http://schemas.openxmlformats.org/officeDocument/2006/relationships/hyperlink" Target="http://www.phosphosite.org/proteinAction.do?id=3130&amp;showAllSites=true" TargetMode="External"/><Relationship Id="rId1496" Type="http://schemas.openxmlformats.org/officeDocument/2006/relationships/hyperlink" Target="http://www.phosphosite.org/proteinAction.do?id=1461&amp;showAllSites=true" TargetMode="External"/><Relationship Id="rId1717" Type="http://schemas.openxmlformats.org/officeDocument/2006/relationships/hyperlink" Target="http://www.phosphosite.org/proteinAction.do?id=5812&amp;showAllSites=true" TargetMode="External"/><Relationship Id="rId214" Type="http://schemas.openxmlformats.org/officeDocument/2006/relationships/hyperlink" Target="http://www.phosphosite.org/proteinAction.do?id=10342600&amp;showAllSites=true" TargetMode="External"/><Relationship Id="rId298" Type="http://schemas.openxmlformats.org/officeDocument/2006/relationships/hyperlink" Target="http://www.cellsignal.com/products/4548.html" TargetMode="External"/><Relationship Id="rId421" Type="http://schemas.openxmlformats.org/officeDocument/2006/relationships/hyperlink" Target="http://www.phosphosite.org/proteinAction.do?id=1461&amp;showAllSites=true" TargetMode="External"/><Relationship Id="rId519" Type="http://schemas.openxmlformats.org/officeDocument/2006/relationships/hyperlink" Target="http://www.phosphosite.org/proteinAction.do?id=15242901&amp;showAllSites=true" TargetMode="External"/><Relationship Id="rId1051" Type="http://schemas.openxmlformats.org/officeDocument/2006/relationships/hyperlink" Target="http://www.phosphosite.org/proteinAction.do?id=1461&amp;showAllSites=true" TargetMode="External"/><Relationship Id="rId1149" Type="http://schemas.openxmlformats.org/officeDocument/2006/relationships/hyperlink" Target="http://www.phosphosite.org/proteinAction.do?id=3202&amp;showAllSites=true" TargetMode="External"/><Relationship Id="rId1356" Type="http://schemas.openxmlformats.org/officeDocument/2006/relationships/hyperlink" Target="http://www.phosphosite.org/proteinAction.do?id=5362100&amp;showAllSites=true" TargetMode="External"/><Relationship Id="rId158" Type="http://schemas.openxmlformats.org/officeDocument/2006/relationships/hyperlink" Target="http://www.phosphosite.org/proteinAction.do?id=2711&amp;showAllSites=true" TargetMode="External"/><Relationship Id="rId726" Type="http://schemas.openxmlformats.org/officeDocument/2006/relationships/hyperlink" Target="http://www.phosphosite.org/proteinAction.do?id=5812&amp;showAllSites=true" TargetMode="External"/><Relationship Id="rId933" Type="http://schemas.openxmlformats.org/officeDocument/2006/relationships/hyperlink" Target="http://www.cellsignal.com/products/5398.html" TargetMode="External"/><Relationship Id="rId1009" Type="http://schemas.openxmlformats.org/officeDocument/2006/relationships/hyperlink" Target="http://www.phosphosite.org/proteinAction.do?id=5020580&amp;showAllSites=true" TargetMode="External"/><Relationship Id="rId1563" Type="http://schemas.openxmlformats.org/officeDocument/2006/relationships/hyperlink" Target="http://www.phosphosite.org/proteinAction.do?id=1461&amp;showAllSites=true" TargetMode="External"/><Relationship Id="rId1770" Type="http://schemas.openxmlformats.org/officeDocument/2006/relationships/hyperlink" Target="http://www.phosphosite.org/proteinAction.do?id=5812&amp;showAllSites=true" TargetMode="External"/><Relationship Id="rId1868" Type="http://schemas.openxmlformats.org/officeDocument/2006/relationships/hyperlink" Target="http://www.phosphosite.org/proteinAction.do?id=1461&amp;showAllSites=true" TargetMode="External"/><Relationship Id="rId62" Type="http://schemas.openxmlformats.org/officeDocument/2006/relationships/hyperlink" Target="http://www.cellsignal.com/products/9053.html" TargetMode="External"/><Relationship Id="rId365" Type="http://schemas.openxmlformats.org/officeDocument/2006/relationships/hyperlink" Target="http://www.phosphosite.org/proteinAction.do?id=3722&amp;showAllSites=true" TargetMode="External"/><Relationship Id="rId572" Type="http://schemas.openxmlformats.org/officeDocument/2006/relationships/hyperlink" Target="http://www.phosphosite.org/proteinAction.do?id=3506811&amp;showAllSites=true" TargetMode="External"/><Relationship Id="rId1216" Type="http://schemas.openxmlformats.org/officeDocument/2006/relationships/hyperlink" Target="http://www.phosphosite.org/proteinAction.do?id=944&amp;showAllSites=true" TargetMode="External"/><Relationship Id="rId1423" Type="http://schemas.openxmlformats.org/officeDocument/2006/relationships/hyperlink" Target="http://www.phosphosite.org/proteinAction.do?id=4627&amp;showAllSites=true" TargetMode="External"/><Relationship Id="rId1630" Type="http://schemas.openxmlformats.org/officeDocument/2006/relationships/hyperlink" Target="http://www.phosphosite.org/proteinAction.do?id=22920001&amp;showAllSites=true" TargetMode="External"/><Relationship Id="rId225" Type="http://schemas.openxmlformats.org/officeDocument/2006/relationships/hyperlink" Target="http://www.phosphosite.org/proteinAction.do?id=4627&amp;showAllSites=true" TargetMode="External"/><Relationship Id="rId432" Type="http://schemas.openxmlformats.org/officeDocument/2006/relationships/hyperlink" Target="http://www.phosphosite.org/proteinAction.do?id=1461&amp;showAllSites=true" TargetMode="External"/><Relationship Id="rId877" Type="http://schemas.openxmlformats.org/officeDocument/2006/relationships/hyperlink" Target="http://www.phosphosite.org/proteinAction.do?id=3701941&amp;showAllSites=true" TargetMode="External"/><Relationship Id="rId1062" Type="http://schemas.openxmlformats.org/officeDocument/2006/relationships/hyperlink" Target="http://www.cellsignal.com/products/9087.html" TargetMode="External"/><Relationship Id="rId1728" Type="http://schemas.openxmlformats.org/officeDocument/2006/relationships/hyperlink" Target="http://www.phosphosite.org/proteinAction.do?id=5812&amp;showAllSites=true" TargetMode="External"/><Relationship Id="rId737" Type="http://schemas.openxmlformats.org/officeDocument/2006/relationships/hyperlink" Target="http://www.phosphosite.org/proteinAction.do?id=5812&amp;showAllSites=true" TargetMode="External"/><Relationship Id="rId944" Type="http://schemas.openxmlformats.org/officeDocument/2006/relationships/hyperlink" Target="http://www.phosphosite.org/proteinAction.do?id=9462&amp;showAllSites=true" TargetMode="External"/><Relationship Id="rId1367" Type="http://schemas.openxmlformats.org/officeDocument/2006/relationships/hyperlink" Target="http://www.phosphosite.org/proteinAction.do?id=5020686&amp;showAllSites=true" TargetMode="External"/><Relationship Id="rId1574" Type="http://schemas.openxmlformats.org/officeDocument/2006/relationships/hyperlink" Target="http://www.phosphosite.org/proteinAction.do?id=1461&amp;showAllSites=true" TargetMode="External"/><Relationship Id="rId1781" Type="http://schemas.openxmlformats.org/officeDocument/2006/relationships/hyperlink" Target="http://www.phosphosite.org/proteinAction.do?id=5812&amp;showAllSites=true" TargetMode="External"/><Relationship Id="rId73" Type="http://schemas.openxmlformats.org/officeDocument/2006/relationships/hyperlink" Target="http://www.cellsignal.com/products/11910.html" TargetMode="External"/><Relationship Id="rId169" Type="http://schemas.openxmlformats.org/officeDocument/2006/relationships/hyperlink" Target="http://www.phosphosite.org/proteinAction.do?id=2711&amp;showAllSites=true" TargetMode="External"/><Relationship Id="rId376" Type="http://schemas.openxmlformats.org/officeDocument/2006/relationships/hyperlink" Target="http://www.cellsignal.com/products/4558.html" TargetMode="External"/><Relationship Id="rId583" Type="http://schemas.openxmlformats.org/officeDocument/2006/relationships/hyperlink" Target="http://www.phosphosite.org/proteinAction.do?id=18221&amp;showAllSites=true" TargetMode="External"/><Relationship Id="rId790" Type="http://schemas.openxmlformats.org/officeDocument/2006/relationships/hyperlink" Target="http://www.phosphosite.org/proteinAction.do?id=3117&amp;showAllSites=true" TargetMode="External"/><Relationship Id="rId804" Type="http://schemas.openxmlformats.org/officeDocument/2006/relationships/hyperlink" Target="http://www.phosphosite.org/proteinAction.do?id=3701941&amp;showAllSites=true" TargetMode="External"/><Relationship Id="rId1227" Type="http://schemas.openxmlformats.org/officeDocument/2006/relationships/hyperlink" Target="http://www.phosphosite.org/proteinAction.do?id=944&amp;showAllSites=true" TargetMode="External"/><Relationship Id="rId1434" Type="http://schemas.openxmlformats.org/officeDocument/2006/relationships/hyperlink" Target="http://www.phosphosite.org/proteinAction.do?id=1461&amp;showAllSites=true" TargetMode="External"/><Relationship Id="rId1641" Type="http://schemas.openxmlformats.org/officeDocument/2006/relationships/hyperlink" Target="http://www.phosphosite.org/proteinAction.do?id=2612&amp;showAllSites=true" TargetMode="External"/><Relationship Id="rId4" Type="http://schemas.openxmlformats.org/officeDocument/2006/relationships/hyperlink" Target="http://www.cellsignal.com/products/12120.html" TargetMode="External"/><Relationship Id="rId236" Type="http://schemas.openxmlformats.org/officeDocument/2006/relationships/hyperlink" Target="http://www.phosphosite.org/proteinAction.do?id=4119&amp;showAllSites=true" TargetMode="External"/><Relationship Id="rId443" Type="http://schemas.openxmlformats.org/officeDocument/2006/relationships/hyperlink" Target="http://www.phosphosite.org/proteinAction.do?id=1461&amp;showAllSites=true" TargetMode="External"/><Relationship Id="rId650" Type="http://schemas.openxmlformats.org/officeDocument/2006/relationships/hyperlink" Target="http://www.phosphosite.org/proteinAction.do?id=2612&amp;showAllSites=true" TargetMode="External"/><Relationship Id="rId888" Type="http://schemas.openxmlformats.org/officeDocument/2006/relationships/hyperlink" Target="http://www.phosphosite.org/proteinAction.do?id=3701941&amp;showAllSites=true" TargetMode="External"/><Relationship Id="rId1073" Type="http://schemas.openxmlformats.org/officeDocument/2006/relationships/hyperlink" Target="http://www.phosphosite.org/proteinAction.do?id=4168&amp;showAllSites=true" TargetMode="External"/><Relationship Id="rId1280" Type="http://schemas.openxmlformats.org/officeDocument/2006/relationships/hyperlink" Target="http://www.phosphosite.org/proteinAction.do?id=944&amp;showAllSites=true" TargetMode="External"/><Relationship Id="rId1501" Type="http://schemas.openxmlformats.org/officeDocument/2006/relationships/hyperlink" Target="http://www.phosphosite.org/proteinAction.do?id=1461&amp;showAllSites=true" TargetMode="External"/><Relationship Id="rId1739" Type="http://schemas.openxmlformats.org/officeDocument/2006/relationships/hyperlink" Target="http://www.phosphosite.org/proteinAction.do?id=5812&amp;showAllSites=true" TargetMode="External"/><Relationship Id="rId303" Type="http://schemas.openxmlformats.org/officeDocument/2006/relationships/hyperlink" Target="http://www.cellsignal.com/products/4548.html" TargetMode="External"/><Relationship Id="rId748" Type="http://schemas.openxmlformats.org/officeDocument/2006/relationships/hyperlink" Target="http://www.phosphosite.org/proteinAction.do?id=5812&amp;showAllSites=true" TargetMode="External"/><Relationship Id="rId955" Type="http://schemas.openxmlformats.org/officeDocument/2006/relationships/hyperlink" Target="http://www.phosphosite.org/proteinAction.do?id=5926&amp;showAllSites=true" TargetMode="External"/><Relationship Id="rId1140" Type="http://schemas.openxmlformats.org/officeDocument/2006/relationships/hyperlink" Target="http://www.phosphosite.org/proteinAction.do?id=5812&amp;showAllSites=true" TargetMode="External"/><Relationship Id="rId1378" Type="http://schemas.openxmlformats.org/officeDocument/2006/relationships/hyperlink" Target="http://www.phosphosite.org/proteinAction.do?id=5812&amp;showAllSites=true" TargetMode="External"/><Relationship Id="rId1585" Type="http://schemas.openxmlformats.org/officeDocument/2006/relationships/hyperlink" Target="http://www.phosphosite.org/proteinAction.do?id=1461&amp;showAllSites=true" TargetMode="External"/><Relationship Id="rId1792" Type="http://schemas.openxmlformats.org/officeDocument/2006/relationships/hyperlink" Target="http://www.phosphosite.org/proteinAction.do?id=5812&amp;showAllSites=true" TargetMode="External"/><Relationship Id="rId1806" Type="http://schemas.openxmlformats.org/officeDocument/2006/relationships/hyperlink" Target="http://www.cellsignal.com/products/9744.html" TargetMode="External"/><Relationship Id="rId84" Type="http://schemas.openxmlformats.org/officeDocument/2006/relationships/hyperlink" Target="http://www.cellsignal.com/products/4885.html" TargetMode="External"/><Relationship Id="rId387" Type="http://schemas.openxmlformats.org/officeDocument/2006/relationships/hyperlink" Target="http://www.phosphosite.org/proteinAction.do?id=3722&amp;showAllSites=true" TargetMode="External"/><Relationship Id="rId510" Type="http://schemas.openxmlformats.org/officeDocument/2006/relationships/hyperlink" Target="http://www.phosphosite.org/proteinAction.do?id=2622&amp;showAllSites=true" TargetMode="External"/><Relationship Id="rId594" Type="http://schemas.openxmlformats.org/officeDocument/2006/relationships/hyperlink" Target="http://www.phosphosite.org/proteinAction.do?id=16019&amp;showAllSites=true" TargetMode="External"/><Relationship Id="rId608" Type="http://schemas.openxmlformats.org/officeDocument/2006/relationships/hyperlink" Target="http://www.phosphosite.org/proteinAction.do?id=8763&amp;showAllSites=true" TargetMode="External"/><Relationship Id="rId815" Type="http://schemas.openxmlformats.org/officeDocument/2006/relationships/hyperlink" Target="http://www.phosphosite.org/proteinAction.do?id=3701941&amp;showAllSites=true" TargetMode="External"/><Relationship Id="rId1238" Type="http://schemas.openxmlformats.org/officeDocument/2006/relationships/hyperlink" Target="http://www.phosphosite.org/proteinAction.do?id=944&amp;showAllSites=true" TargetMode="External"/><Relationship Id="rId1445" Type="http://schemas.openxmlformats.org/officeDocument/2006/relationships/hyperlink" Target="http://www.phosphosite.org/proteinAction.do?id=1461&amp;showAllSites=true" TargetMode="External"/><Relationship Id="rId1652" Type="http://schemas.openxmlformats.org/officeDocument/2006/relationships/hyperlink" Target="http://www.phosphosite.org/proteinAction.do?id=2612&amp;showAllSites=true" TargetMode="External"/><Relationship Id="rId247" Type="http://schemas.openxmlformats.org/officeDocument/2006/relationships/hyperlink" Target="http://www.phosphosite.org/proteinAction.do?id=989&amp;showAllSites=true" TargetMode="External"/><Relationship Id="rId899" Type="http://schemas.openxmlformats.org/officeDocument/2006/relationships/hyperlink" Target="http://www.phosphosite.org/proteinAction.do?id=2890&amp;showAllSites=true" TargetMode="External"/><Relationship Id="rId1000" Type="http://schemas.openxmlformats.org/officeDocument/2006/relationships/hyperlink" Target="http://www.phosphosite.org/proteinAction.do?id=6010&amp;showAllSites=true" TargetMode="External"/><Relationship Id="rId1084" Type="http://schemas.openxmlformats.org/officeDocument/2006/relationships/hyperlink" Target="http://www.phosphosite.org/proteinAction.do?id=3506811&amp;showAllSites=true" TargetMode="External"/><Relationship Id="rId1305" Type="http://schemas.openxmlformats.org/officeDocument/2006/relationships/hyperlink" Target="http://www.phosphosite.org/proteinAction.do?id=1461&amp;showAllSites=true" TargetMode="External"/><Relationship Id="rId107" Type="http://schemas.openxmlformats.org/officeDocument/2006/relationships/hyperlink" Target="http://www.cellsignal.com/products/3057.html" TargetMode="External"/><Relationship Id="rId454" Type="http://schemas.openxmlformats.org/officeDocument/2006/relationships/hyperlink" Target="http://www.phosphosite.org/proteinAction.do?id=1461&amp;showAllSites=true" TargetMode="External"/><Relationship Id="rId661" Type="http://schemas.openxmlformats.org/officeDocument/2006/relationships/hyperlink" Target="http://www.phosphosite.org/proteinAction.do?id=5812&amp;showAllSites=true" TargetMode="External"/><Relationship Id="rId759" Type="http://schemas.openxmlformats.org/officeDocument/2006/relationships/hyperlink" Target="http://www.phosphosite.org/proteinAction.do?id=5812&amp;showAllSites=true" TargetMode="External"/><Relationship Id="rId966" Type="http://schemas.openxmlformats.org/officeDocument/2006/relationships/hyperlink" Target="http://www.phosphosite.org/proteinAction.do?id=3130&amp;showAllSites=true" TargetMode="External"/><Relationship Id="rId1291" Type="http://schemas.openxmlformats.org/officeDocument/2006/relationships/hyperlink" Target="http://www.phosphosite.org/proteinAction.do?id=3722&amp;showAllSites=true" TargetMode="External"/><Relationship Id="rId1389" Type="http://schemas.openxmlformats.org/officeDocument/2006/relationships/hyperlink" Target="http://www.phosphosite.org/proteinAction.do?id=7056&amp;showAllSites=true" TargetMode="External"/><Relationship Id="rId1512" Type="http://schemas.openxmlformats.org/officeDocument/2006/relationships/hyperlink" Target="http://www.phosphosite.org/proteinAction.do?id=1461&amp;showAllSites=true" TargetMode="External"/><Relationship Id="rId1596" Type="http://schemas.openxmlformats.org/officeDocument/2006/relationships/hyperlink" Target="http://www.phosphosite.org/proteinAction.do?id=1461&amp;showAllSites=true" TargetMode="External"/><Relationship Id="rId1817" Type="http://schemas.openxmlformats.org/officeDocument/2006/relationships/hyperlink" Target="http://www.cellsignal.com/products/3469.html" TargetMode="External"/><Relationship Id="rId11" Type="http://schemas.openxmlformats.org/officeDocument/2006/relationships/hyperlink" Target="http://www.cellsignal.com/products/4529.html" TargetMode="External"/><Relationship Id="rId314" Type="http://schemas.openxmlformats.org/officeDocument/2006/relationships/hyperlink" Target="http://www.cellsignal.com/products/4558.html" TargetMode="External"/><Relationship Id="rId398" Type="http://schemas.openxmlformats.org/officeDocument/2006/relationships/hyperlink" Target="http://www.phosphosite.org/proteinAction.do?id=1461&amp;showAllSites=true" TargetMode="External"/><Relationship Id="rId521" Type="http://schemas.openxmlformats.org/officeDocument/2006/relationships/hyperlink" Target="http://www.phosphosite.org/proteinAction.do?id=14276&amp;showAllSites=true" TargetMode="External"/><Relationship Id="rId619" Type="http://schemas.openxmlformats.org/officeDocument/2006/relationships/hyperlink" Target="http://www.phosphosite.org/proteinAction.do?id=22920001&amp;showAllSites=true" TargetMode="External"/><Relationship Id="rId1151" Type="http://schemas.openxmlformats.org/officeDocument/2006/relationships/hyperlink" Target="http://www.phosphosite.org/proteinAction.do?id=3701941&amp;showAllSites=true" TargetMode="External"/><Relationship Id="rId1249" Type="http://schemas.openxmlformats.org/officeDocument/2006/relationships/hyperlink" Target="http://www.phosphosite.org/proteinAction.do?id=944&amp;showAllSites=true" TargetMode="External"/><Relationship Id="rId95" Type="http://schemas.openxmlformats.org/officeDocument/2006/relationships/hyperlink" Target="http://www.cellsignal.com/products/4548.html" TargetMode="External"/><Relationship Id="rId160" Type="http://schemas.openxmlformats.org/officeDocument/2006/relationships/hyperlink" Target="http://www.phosphosite.org/proteinAction.do?id=2711&amp;showAllSites=true" TargetMode="External"/><Relationship Id="rId826" Type="http://schemas.openxmlformats.org/officeDocument/2006/relationships/hyperlink" Target="http://www.phosphosite.org/proteinAction.do?id=3701941&amp;showAllSites=true" TargetMode="External"/><Relationship Id="rId1011" Type="http://schemas.openxmlformats.org/officeDocument/2006/relationships/hyperlink" Target="http://www.phosphosite.org/proteinAction.do?id=9591&amp;showAllSites=true" TargetMode="External"/><Relationship Id="rId1109" Type="http://schemas.openxmlformats.org/officeDocument/2006/relationships/hyperlink" Target="http://www.cellsignal.com/products/8443.html" TargetMode="External"/><Relationship Id="rId1456" Type="http://schemas.openxmlformats.org/officeDocument/2006/relationships/hyperlink" Target="http://www.phosphosite.org/proteinAction.do?id=1461&amp;showAllSites=true" TargetMode="External"/><Relationship Id="rId1663" Type="http://schemas.openxmlformats.org/officeDocument/2006/relationships/hyperlink" Target="http://www.phosphosite.org/proteinAction.do?id=5812&amp;showAllSites=true" TargetMode="External"/><Relationship Id="rId1870" Type="http://schemas.openxmlformats.org/officeDocument/2006/relationships/hyperlink" Target="http://www.phosphosite.org/proteinAction.do?id=1461&amp;showAllSites=true" TargetMode="External"/><Relationship Id="rId258" Type="http://schemas.openxmlformats.org/officeDocument/2006/relationships/hyperlink" Target="http://www.phosphosite.org/proteinAction.do?id=3396&amp;showAllSites=true" TargetMode="External"/><Relationship Id="rId465" Type="http://schemas.openxmlformats.org/officeDocument/2006/relationships/hyperlink" Target="http://www.phosphosite.org/proteinAction.do?id=1461&amp;showAllSites=true" TargetMode="External"/><Relationship Id="rId672" Type="http://schemas.openxmlformats.org/officeDocument/2006/relationships/hyperlink" Target="http://www.phosphosite.org/proteinAction.do?id=5812&amp;showAllSites=true" TargetMode="External"/><Relationship Id="rId1095" Type="http://schemas.openxmlformats.org/officeDocument/2006/relationships/hyperlink" Target="http://www.phosphosite.org/proteinAction.do?id=22920001&amp;showAllSites=true" TargetMode="External"/><Relationship Id="rId1316" Type="http://schemas.openxmlformats.org/officeDocument/2006/relationships/hyperlink" Target="http://www.phosphosite.org/proteinAction.do?id=1461&amp;showAllSites=true" TargetMode="External"/><Relationship Id="rId1523" Type="http://schemas.openxmlformats.org/officeDocument/2006/relationships/hyperlink" Target="http://www.phosphosite.org/proteinAction.do?id=1461&amp;showAllSites=true" TargetMode="External"/><Relationship Id="rId1730" Type="http://schemas.openxmlformats.org/officeDocument/2006/relationships/hyperlink" Target="http://www.phosphosite.org/proteinAction.do?id=5812&amp;showAllSites=true" TargetMode="External"/><Relationship Id="rId22" Type="http://schemas.openxmlformats.org/officeDocument/2006/relationships/hyperlink" Target="http://www.cellsignal.com/products/4529.html" TargetMode="External"/><Relationship Id="rId118" Type="http://schemas.openxmlformats.org/officeDocument/2006/relationships/hyperlink" Target="http://www.cellsignal.com/products/4885.html" TargetMode="External"/><Relationship Id="rId325" Type="http://schemas.openxmlformats.org/officeDocument/2006/relationships/hyperlink" Target="http://www.cellsignal.com/products/4558.html" TargetMode="External"/><Relationship Id="rId532" Type="http://schemas.openxmlformats.org/officeDocument/2006/relationships/hyperlink" Target="http://www.phosphosite.org/proteinAction.do?id=4078&amp;showAllSites=true" TargetMode="External"/><Relationship Id="rId977" Type="http://schemas.openxmlformats.org/officeDocument/2006/relationships/hyperlink" Target="http://www.phosphosite.org/proteinAction.do?id=3130&amp;showAllSites=true" TargetMode="External"/><Relationship Id="rId1162" Type="http://schemas.openxmlformats.org/officeDocument/2006/relationships/hyperlink" Target="http://www.phosphosite.org/proteinAction.do?id=3701941&amp;showAllSites=true" TargetMode="External"/><Relationship Id="rId1828" Type="http://schemas.openxmlformats.org/officeDocument/2006/relationships/hyperlink" Target="http://www.phosphosite.org/proteinAction.do?id=3649&amp;showAllSites=true" TargetMode="External"/><Relationship Id="rId171" Type="http://schemas.openxmlformats.org/officeDocument/2006/relationships/hyperlink" Target="http://www.phosphosite.org/proteinAction.do?id=4544&amp;showAllSites=true" TargetMode="External"/><Relationship Id="rId837" Type="http://schemas.openxmlformats.org/officeDocument/2006/relationships/hyperlink" Target="http://www.phosphosite.org/proteinAction.do?id=3701941&amp;showAllSites=true" TargetMode="External"/><Relationship Id="rId1022" Type="http://schemas.openxmlformats.org/officeDocument/2006/relationships/hyperlink" Target="http://www.phosphosite.org/proteinAction.do?id=989&amp;showAllSites=true" TargetMode="External"/><Relationship Id="rId1467" Type="http://schemas.openxmlformats.org/officeDocument/2006/relationships/hyperlink" Target="http://www.phosphosite.org/proteinAction.do?id=1461&amp;showAllSites=true" TargetMode="External"/><Relationship Id="rId1674" Type="http://schemas.openxmlformats.org/officeDocument/2006/relationships/hyperlink" Target="http://www.phosphosite.org/proteinAction.do?id=5812&amp;showAllSites=true" TargetMode="External"/><Relationship Id="rId269" Type="http://schemas.openxmlformats.org/officeDocument/2006/relationships/hyperlink" Target="http://www.cellsignal.com/products/4548.html" TargetMode="External"/><Relationship Id="rId476" Type="http://schemas.openxmlformats.org/officeDocument/2006/relationships/hyperlink" Target="http://www.phosphosite.org/proteinAction.do?id=1461&amp;showAllSites=true" TargetMode="External"/><Relationship Id="rId683" Type="http://schemas.openxmlformats.org/officeDocument/2006/relationships/hyperlink" Target="http://www.phosphosite.org/proteinAction.do?id=5812&amp;showAllSites=true" TargetMode="External"/><Relationship Id="rId890" Type="http://schemas.openxmlformats.org/officeDocument/2006/relationships/hyperlink" Target="http://www.phosphosite.org/proteinAction.do?id=3701941&amp;showAllSites=true" TargetMode="External"/><Relationship Id="rId904" Type="http://schemas.openxmlformats.org/officeDocument/2006/relationships/hyperlink" Target="http://www.phosphosite.org/proteinAction.do?id=6250&amp;showAllSites=true" TargetMode="External"/><Relationship Id="rId1327" Type="http://schemas.openxmlformats.org/officeDocument/2006/relationships/hyperlink" Target="http://www.phosphosite.org/proteinAction.do?id=15331700&amp;showAllSites=true" TargetMode="External"/><Relationship Id="rId1534" Type="http://schemas.openxmlformats.org/officeDocument/2006/relationships/hyperlink" Target="http://www.phosphosite.org/proteinAction.do?id=1461&amp;showAllSites=true" TargetMode="External"/><Relationship Id="rId1741" Type="http://schemas.openxmlformats.org/officeDocument/2006/relationships/hyperlink" Target="http://www.phosphosite.org/proteinAction.do?id=5812&amp;showAllSites=true" TargetMode="External"/><Relationship Id="rId33" Type="http://schemas.openxmlformats.org/officeDocument/2006/relationships/hyperlink" Target="http://www.cellsignal.com/products/3057.html" TargetMode="External"/><Relationship Id="rId129" Type="http://schemas.openxmlformats.org/officeDocument/2006/relationships/hyperlink" Target="http://www.cellsignal.com/products/4885.html" TargetMode="External"/><Relationship Id="rId336" Type="http://schemas.openxmlformats.org/officeDocument/2006/relationships/hyperlink" Target="http://www.cellsignal.com/products/4558.html" TargetMode="External"/><Relationship Id="rId543" Type="http://schemas.openxmlformats.org/officeDocument/2006/relationships/hyperlink" Target="http://www.phosphosite.org/proteinAction.do?id=10342615&amp;showAllSites=true" TargetMode="External"/><Relationship Id="rId988" Type="http://schemas.openxmlformats.org/officeDocument/2006/relationships/hyperlink" Target="http://www.cellsignal.com/products/3449.html" TargetMode="External"/><Relationship Id="rId1173" Type="http://schemas.openxmlformats.org/officeDocument/2006/relationships/hyperlink" Target="http://www.phosphosite.org/proteinAction.do?id=3701941&amp;showAllSites=true" TargetMode="External"/><Relationship Id="rId1380" Type="http://schemas.openxmlformats.org/officeDocument/2006/relationships/hyperlink" Target="http://www.phosphosite.org/proteinAction.do?id=5812&amp;showAllSites=true" TargetMode="External"/><Relationship Id="rId1601" Type="http://schemas.openxmlformats.org/officeDocument/2006/relationships/hyperlink" Target="http://www.phosphosite.org/proteinAction.do?id=1461&amp;showAllSites=true" TargetMode="External"/><Relationship Id="rId1839" Type="http://schemas.openxmlformats.org/officeDocument/2006/relationships/hyperlink" Target="http://www.cellsignal.com/products/9877.html" TargetMode="External"/><Relationship Id="rId182" Type="http://schemas.openxmlformats.org/officeDocument/2006/relationships/hyperlink" Target="http://www.phosphosite.org/proteinAction.do?id=3276&amp;showAllSites=true" TargetMode="External"/><Relationship Id="rId403" Type="http://schemas.openxmlformats.org/officeDocument/2006/relationships/hyperlink" Target="http://www.phosphosite.org/proteinAction.do?id=1461&amp;showAllSites=true" TargetMode="External"/><Relationship Id="rId750" Type="http://schemas.openxmlformats.org/officeDocument/2006/relationships/hyperlink" Target="http://www.phosphosite.org/proteinAction.do?id=5812&amp;showAllSites=true" TargetMode="External"/><Relationship Id="rId848" Type="http://schemas.openxmlformats.org/officeDocument/2006/relationships/hyperlink" Target="http://www.phosphosite.org/proteinAction.do?id=3701941&amp;showAllSites=true" TargetMode="External"/><Relationship Id="rId1033" Type="http://schemas.openxmlformats.org/officeDocument/2006/relationships/hyperlink" Target="http://www.cellsignal.com/products/4558.html" TargetMode="External"/><Relationship Id="rId1478" Type="http://schemas.openxmlformats.org/officeDocument/2006/relationships/hyperlink" Target="http://www.phosphosite.org/proteinAction.do?id=1461&amp;showAllSites=true" TargetMode="External"/><Relationship Id="rId1685" Type="http://schemas.openxmlformats.org/officeDocument/2006/relationships/hyperlink" Target="http://www.phosphosite.org/proteinAction.do?id=5812&amp;showAllSites=true" TargetMode="External"/><Relationship Id="rId487" Type="http://schemas.openxmlformats.org/officeDocument/2006/relationships/hyperlink" Target="http://www.phosphosite.org/proteinAction.do?id=1461&amp;showAllSites=true" TargetMode="External"/><Relationship Id="rId610" Type="http://schemas.openxmlformats.org/officeDocument/2006/relationships/hyperlink" Target="http://www.cellsignal.com/products/11910.html" TargetMode="External"/><Relationship Id="rId694" Type="http://schemas.openxmlformats.org/officeDocument/2006/relationships/hyperlink" Target="http://www.phosphosite.org/proteinAction.do?id=5812&amp;showAllSites=true" TargetMode="External"/><Relationship Id="rId708" Type="http://schemas.openxmlformats.org/officeDocument/2006/relationships/hyperlink" Target="http://www.phosphosite.org/proteinAction.do?id=5812&amp;showAllSites=true" TargetMode="External"/><Relationship Id="rId915" Type="http://schemas.openxmlformats.org/officeDocument/2006/relationships/hyperlink" Target="http://www.phosphosite.org/proteinAction.do?id=9462&amp;showAllSites=true" TargetMode="External"/><Relationship Id="rId1240" Type="http://schemas.openxmlformats.org/officeDocument/2006/relationships/hyperlink" Target="http://www.phosphosite.org/proteinAction.do?id=944&amp;showAllSites=true" TargetMode="External"/><Relationship Id="rId1338" Type="http://schemas.openxmlformats.org/officeDocument/2006/relationships/hyperlink" Target="http://www.phosphosite.org/proteinAction.do?id=15331700&amp;showAllSites=true" TargetMode="External"/><Relationship Id="rId1545" Type="http://schemas.openxmlformats.org/officeDocument/2006/relationships/hyperlink" Target="http://www.phosphosite.org/proteinAction.do?id=1461&amp;showAllSites=true" TargetMode="External"/><Relationship Id="rId347" Type="http://schemas.openxmlformats.org/officeDocument/2006/relationships/hyperlink" Target="http://www.cellsignal.com/products/4558.html" TargetMode="External"/><Relationship Id="rId999" Type="http://schemas.openxmlformats.org/officeDocument/2006/relationships/hyperlink" Target="http://www.phosphosite.org/proteinAction.do?id=5758&amp;showAllSites=true" TargetMode="External"/><Relationship Id="rId1100" Type="http://schemas.openxmlformats.org/officeDocument/2006/relationships/hyperlink" Target="http://www.cellsignal.com/products/8443.html" TargetMode="External"/><Relationship Id="rId1184" Type="http://schemas.openxmlformats.org/officeDocument/2006/relationships/hyperlink" Target="http://www.phosphosite.org/proteinAction.do?id=9462&amp;showAllSites=true" TargetMode="External"/><Relationship Id="rId1405" Type="http://schemas.openxmlformats.org/officeDocument/2006/relationships/hyperlink" Target="http://www.phosphosite.org/proteinAction.do?id=3701941&amp;showAllSites=true" TargetMode="External"/><Relationship Id="rId1752" Type="http://schemas.openxmlformats.org/officeDocument/2006/relationships/hyperlink" Target="http://www.phosphosite.org/proteinAction.do?id=5812&amp;showAllSites=true" TargetMode="External"/><Relationship Id="rId44" Type="http://schemas.openxmlformats.org/officeDocument/2006/relationships/hyperlink" Target="http://www.cellsignal.com/products/6505.html" TargetMode="External"/><Relationship Id="rId554" Type="http://schemas.openxmlformats.org/officeDocument/2006/relationships/hyperlink" Target="http://www.phosphosite.org/proteinAction.do?id=15331700&amp;showAllSites=true" TargetMode="External"/><Relationship Id="rId761" Type="http://schemas.openxmlformats.org/officeDocument/2006/relationships/hyperlink" Target="http://www.phosphosite.org/proteinAction.do?id=7056&amp;showAllSites=true" TargetMode="External"/><Relationship Id="rId859" Type="http://schemas.openxmlformats.org/officeDocument/2006/relationships/hyperlink" Target="http://www.phosphosite.org/proteinAction.do?id=3701941&amp;showAllSites=true" TargetMode="External"/><Relationship Id="rId1391" Type="http://schemas.openxmlformats.org/officeDocument/2006/relationships/hyperlink" Target="http://www.phosphosite.org/proteinAction.do?id=3701941&amp;showAllSites=true" TargetMode="External"/><Relationship Id="rId1489" Type="http://schemas.openxmlformats.org/officeDocument/2006/relationships/hyperlink" Target="http://www.phosphosite.org/proteinAction.do?id=1461&amp;showAllSites=true" TargetMode="External"/><Relationship Id="rId1612" Type="http://schemas.openxmlformats.org/officeDocument/2006/relationships/hyperlink" Target="http://www.phosphosite.org/proteinAction.do?id=1461&amp;showAllSites=true" TargetMode="External"/><Relationship Id="rId1696" Type="http://schemas.openxmlformats.org/officeDocument/2006/relationships/hyperlink" Target="http://www.phosphosite.org/proteinAction.do?id=5812&amp;showAllSites=true" TargetMode="External"/><Relationship Id="rId193" Type="http://schemas.openxmlformats.org/officeDocument/2006/relationships/hyperlink" Target="http://www.cellsignal.com/products/4860.html" TargetMode="External"/><Relationship Id="rId207" Type="http://schemas.openxmlformats.org/officeDocument/2006/relationships/hyperlink" Target="http://www.phosphosite.org/proteinAction.do?id=5020580&amp;showAllSites=true" TargetMode="External"/><Relationship Id="rId414" Type="http://schemas.openxmlformats.org/officeDocument/2006/relationships/hyperlink" Target="http://www.phosphosite.org/proteinAction.do?id=1461&amp;showAllSites=true" TargetMode="External"/><Relationship Id="rId498" Type="http://schemas.openxmlformats.org/officeDocument/2006/relationships/hyperlink" Target="http://www.phosphosite.org/proteinAction.do?id=1461&amp;showAllSites=true" TargetMode="External"/><Relationship Id="rId621" Type="http://schemas.openxmlformats.org/officeDocument/2006/relationships/hyperlink" Target="http://www.phosphosite.org/proteinAction.do?id=22920001&amp;showAllSites=true" TargetMode="External"/><Relationship Id="rId1044" Type="http://schemas.openxmlformats.org/officeDocument/2006/relationships/hyperlink" Target="http://www.phosphosite.org/proteinAction.do?id=1461&amp;showAllSites=true" TargetMode="External"/><Relationship Id="rId1251" Type="http://schemas.openxmlformats.org/officeDocument/2006/relationships/hyperlink" Target="http://www.phosphosite.org/proteinAction.do?id=944&amp;showAllSites=true" TargetMode="External"/><Relationship Id="rId1349" Type="http://schemas.openxmlformats.org/officeDocument/2006/relationships/hyperlink" Target="http://www.phosphosite.org/proteinAction.do?id=17074&amp;showAllSites=true" TargetMode="External"/><Relationship Id="rId260" Type="http://schemas.openxmlformats.org/officeDocument/2006/relationships/hyperlink" Target="http://www.phosphosite.org/proteinAction.do?id=3396&amp;showAllSites=true" TargetMode="External"/><Relationship Id="rId719" Type="http://schemas.openxmlformats.org/officeDocument/2006/relationships/hyperlink" Target="http://www.phosphosite.org/proteinAction.do?id=5812&amp;showAllSites=true" TargetMode="External"/><Relationship Id="rId926" Type="http://schemas.openxmlformats.org/officeDocument/2006/relationships/hyperlink" Target="http://www.phosphosite.org/proteinAction.do?id=9462&amp;showAllSites=true" TargetMode="External"/><Relationship Id="rId1111" Type="http://schemas.openxmlformats.org/officeDocument/2006/relationships/hyperlink" Target="http://www.cellsignal.com/products/7668.html" TargetMode="External"/><Relationship Id="rId1556" Type="http://schemas.openxmlformats.org/officeDocument/2006/relationships/hyperlink" Target="http://www.phosphosite.org/proteinAction.do?id=1461&amp;showAllSites=true" TargetMode="External"/><Relationship Id="rId1763" Type="http://schemas.openxmlformats.org/officeDocument/2006/relationships/hyperlink" Target="http://www.phosphosite.org/proteinAction.do?id=5812&amp;showAllSites=true" TargetMode="External"/><Relationship Id="rId55" Type="http://schemas.openxmlformats.org/officeDocument/2006/relationships/hyperlink" Target="http://www.cellsignal.com/products/9053.html" TargetMode="External"/><Relationship Id="rId120" Type="http://schemas.openxmlformats.org/officeDocument/2006/relationships/hyperlink" Target="http://www.cellsignal.com/products/4885.html" TargetMode="External"/><Relationship Id="rId358" Type="http://schemas.openxmlformats.org/officeDocument/2006/relationships/hyperlink" Target="http://www.cellsignal.com/products/4558.html" TargetMode="External"/><Relationship Id="rId565" Type="http://schemas.openxmlformats.org/officeDocument/2006/relationships/hyperlink" Target="http://www.phosphosite.org/proteinAction.do?id=6225&amp;showAllSites=true" TargetMode="External"/><Relationship Id="rId772" Type="http://schemas.openxmlformats.org/officeDocument/2006/relationships/hyperlink" Target="http://www.phosphosite.org/proteinAction.do?id=5362100&amp;showAllSites=true" TargetMode="External"/><Relationship Id="rId1195" Type="http://schemas.openxmlformats.org/officeDocument/2006/relationships/hyperlink" Target="http://www.phosphosite.org/proteinAction.do?id=3130&amp;showAllSites=true" TargetMode="External"/><Relationship Id="rId1209" Type="http://schemas.openxmlformats.org/officeDocument/2006/relationships/hyperlink" Target="http://www.phosphosite.org/proteinAction.do?id=944&amp;showAllSites=true" TargetMode="External"/><Relationship Id="rId1416" Type="http://schemas.openxmlformats.org/officeDocument/2006/relationships/hyperlink" Target="http://www.cellsignal.com/products/8192.html" TargetMode="External"/><Relationship Id="rId1623" Type="http://schemas.openxmlformats.org/officeDocument/2006/relationships/hyperlink" Target="http://www.phosphosite.org/proteinAction.do?id=22920001&amp;showAllSites=true" TargetMode="External"/><Relationship Id="rId1830" Type="http://schemas.openxmlformats.org/officeDocument/2006/relationships/hyperlink" Target="http://www.phosphosite.org/proteinAction.do?id=1461&amp;showAllSites=true" TargetMode="External"/><Relationship Id="rId218" Type="http://schemas.openxmlformats.org/officeDocument/2006/relationships/hyperlink" Target="http://www.phosphosite.org/proteinAction.do?id=9134&amp;showAllSites=true" TargetMode="External"/><Relationship Id="rId425" Type="http://schemas.openxmlformats.org/officeDocument/2006/relationships/hyperlink" Target="http://www.phosphosite.org/proteinAction.do?id=1461&amp;showAllSites=true" TargetMode="External"/><Relationship Id="rId632" Type="http://schemas.openxmlformats.org/officeDocument/2006/relationships/hyperlink" Target="http://www.phosphosite.org/proteinAction.do?id=2612&amp;showAllSites=true" TargetMode="External"/><Relationship Id="rId1055" Type="http://schemas.openxmlformats.org/officeDocument/2006/relationships/hyperlink" Target="http://www.phosphosite.org/proteinAction.do?id=1461&amp;showAllSites=true" TargetMode="External"/><Relationship Id="rId1262" Type="http://schemas.openxmlformats.org/officeDocument/2006/relationships/hyperlink" Target="http://www.phosphosite.org/proteinAction.do?id=944&amp;showAllSites=true" TargetMode="External"/><Relationship Id="rId271" Type="http://schemas.openxmlformats.org/officeDocument/2006/relationships/hyperlink" Target="http://www.cellsignal.com/products/4548.html" TargetMode="External"/><Relationship Id="rId937" Type="http://schemas.openxmlformats.org/officeDocument/2006/relationships/hyperlink" Target="http://www.cellsignal.com/products/5398.html" TargetMode="External"/><Relationship Id="rId1122" Type="http://schemas.openxmlformats.org/officeDocument/2006/relationships/hyperlink" Target="http://www.phosphosite.org/proteinAction.do?id=5812&amp;showAllSites=true" TargetMode="External"/><Relationship Id="rId1567" Type="http://schemas.openxmlformats.org/officeDocument/2006/relationships/hyperlink" Target="http://www.phosphosite.org/proteinAction.do?id=1461&amp;showAllSites=true" TargetMode="External"/><Relationship Id="rId1774" Type="http://schemas.openxmlformats.org/officeDocument/2006/relationships/hyperlink" Target="http://www.phosphosite.org/proteinAction.do?id=5812&amp;showAllSites=true" TargetMode="External"/><Relationship Id="rId66" Type="http://schemas.openxmlformats.org/officeDocument/2006/relationships/hyperlink" Target="http://www.cellsignal.com/products/6505.html" TargetMode="External"/><Relationship Id="rId131" Type="http://schemas.openxmlformats.org/officeDocument/2006/relationships/hyperlink" Target="http://www.cellsignal.com/products/4885.html" TargetMode="External"/><Relationship Id="rId369" Type="http://schemas.openxmlformats.org/officeDocument/2006/relationships/hyperlink" Target="http://www.phosphosite.org/proteinAction.do?id=3722&amp;showAllSites=true" TargetMode="External"/><Relationship Id="rId576" Type="http://schemas.openxmlformats.org/officeDocument/2006/relationships/hyperlink" Target="http://www.phosphosite.org/proteinAction.do?id=24738&amp;showAllSites=true" TargetMode="External"/><Relationship Id="rId783" Type="http://schemas.openxmlformats.org/officeDocument/2006/relationships/hyperlink" Target="http://www.phosphosite.org/proteinAction.do?id=3117&amp;showAllSites=true" TargetMode="External"/><Relationship Id="rId990" Type="http://schemas.openxmlformats.org/officeDocument/2006/relationships/hyperlink" Target="http://www.cellsignal.com/products/9033.html" TargetMode="External"/><Relationship Id="rId1427" Type="http://schemas.openxmlformats.org/officeDocument/2006/relationships/hyperlink" Target="http://www.phosphosite.org/proteinAction.do?id=1461&amp;showAllSites=true" TargetMode="External"/><Relationship Id="rId1634" Type="http://schemas.openxmlformats.org/officeDocument/2006/relationships/hyperlink" Target="http://www.phosphosite.org/proteinAction.do?id=22920001&amp;showAllSites=true" TargetMode="External"/><Relationship Id="rId1841" Type="http://schemas.openxmlformats.org/officeDocument/2006/relationships/hyperlink" Target="http://www.phosphosite.org/proteinAction.do?id=1461&amp;showAllSites=true" TargetMode="External"/><Relationship Id="rId229" Type="http://schemas.openxmlformats.org/officeDocument/2006/relationships/hyperlink" Target="http://www.phosphosite.org/proteinAction.do?id=4627&amp;showAllSites=true" TargetMode="External"/><Relationship Id="rId436" Type="http://schemas.openxmlformats.org/officeDocument/2006/relationships/hyperlink" Target="http://www.phosphosite.org/proteinAction.do?id=1461&amp;showAllSites=true" TargetMode="External"/><Relationship Id="rId643" Type="http://schemas.openxmlformats.org/officeDocument/2006/relationships/hyperlink" Target="http://www.cellsignal.com/products/8443.html" TargetMode="External"/><Relationship Id="rId1066" Type="http://schemas.openxmlformats.org/officeDocument/2006/relationships/hyperlink" Target="http://www.cellsignal.com/products/7425.html" TargetMode="External"/><Relationship Id="rId1273" Type="http://schemas.openxmlformats.org/officeDocument/2006/relationships/hyperlink" Target="http://www.phosphosite.org/proteinAction.do?id=944&amp;showAllSites=true" TargetMode="External"/><Relationship Id="rId1480" Type="http://schemas.openxmlformats.org/officeDocument/2006/relationships/hyperlink" Target="http://www.phosphosite.org/proteinAction.do?id=1461&amp;showAllSites=true" TargetMode="External"/><Relationship Id="rId850" Type="http://schemas.openxmlformats.org/officeDocument/2006/relationships/hyperlink" Target="http://www.phosphosite.org/proteinAction.do?id=3701941&amp;showAllSites=true" TargetMode="External"/><Relationship Id="rId948" Type="http://schemas.openxmlformats.org/officeDocument/2006/relationships/hyperlink" Target="http://www.phosphosite.org/proteinAction.do?id=9052&amp;showAllSites=true" TargetMode="External"/><Relationship Id="rId1133" Type="http://schemas.openxmlformats.org/officeDocument/2006/relationships/hyperlink" Target="http://www.phosphosite.org/proteinAction.do?id=5812&amp;showAllSites=true" TargetMode="External"/><Relationship Id="rId1578" Type="http://schemas.openxmlformats.org/officeDocument/2006/relationships/hyperlink" Target="http://www.phosphosite.org/proteinAction.do?id=1461&amp;showAllSites=true" TargetMode="External"/><Relationship Id="rId1701" Type="http://schemas.openxmlformats.org/officeDocument/2006/relationships/hyperlink" Target="http://www.phosphosite.org/proteinAction.do?id=5812&amp;showAllSites=true" TargetMode="External"/><Relationship Id="rId1785" Type="http://schemas.openxmlformats.org/officeDocument/2006/relationships/hyperlink" Target="http://www.phosphosite.org/proteinAction.do?id=5812&amp;showAllSites=true" TargetMode="External"/><Relationship Id="rId77" Type="http://schemas.openxmlformats.org/officeDocument/2006/relationships/hyperlink" Target="http://www.cellsignal.com/products/7668.html" TargetMode="External"/><Relationship Id="rId282" Type="http://schemas.openxmlformats.org/officeDocument/2006/relationships/hyperlink" Target="http://www.cellsignal.com/products/4548.html" TargetMode="External"/><Relationship Id="rId503" Type="http://schemas.openxmlformats.org/officeDocument/2006/relationships/hyperlink" Target="http://www.phosphosite.org/proteinAction.do?id=22467386&amp;showAllSites=true" TargetMode="External"/><Relationship Id="rId587" Type="http://schemas.openxmlformats.org/officeDocument/2006/relationships/hyperlink" Target="http://www.phosphosite.org/proteinAction.do?id=15245654&amp;showAllSites=true" TargetMode="External"/><Relationship Id="rId710" Type="http://schemas.openxmlformats.org/officeDocument/2006/relationships/hyperlink" Target="http://www.phosphosite.org/proteinAction.do?id=5812&amp;showAllSites=true" TargetMode="External"/><Relationship Id="rId808" Type="http://schemas.openxmlformats.org/officeDocument/2006/relationships/hyperlink" Target="http://www.phosphosite.org/proteinAction.do?id=3701941&amp;showAllSites=true" TargetMode="External"/><Relationship Id="rId1340" Type="http://schemas.openxmlformats.org/officeDocument/2006/relationships/hyperlink" Target="http://www.phosphosite.org/proteinAction.do?id=17074&amp;showAllSites=true" TargetMode="External"/><Relationship Id="rId1438" Type="http://schemas.openxmlformats.org/officeDocument/2006/relationships/hyperlink" Target="http://www.phosphosite.org/proteinAction.do?id=1461&amp;showAllSites=true" TargetMode="External"/><Relationship Id="rId1645" Type="http://schemas.openxmlformats.org/officeDocument/2006/relationships/hyperlink" Target="http://www.phosphosite.org/proteinAction.do?id=2612&amp;showAllSites=true" TargetMode="External"/><Relationship Id="rId8" Type="http://schemas.openxmlformats.org/officeDocument/2006/relationships/hyperlink" Target="http://www.cellsignal.com/products/4529.html" TargetMode="External"/><Relationship Id="rId142" Type="http://schemas.openxmlformats.org/officeDocument/2006/relationships/hyperlink" Target="http://www.phosphosite.org/proteinAction.do?id=5758&amp;showAllSites=true" TargetMode="External"/><Relationship Id="rId447" Type="http://schemas.openxmlformats.org/officeDocument/2006/relationships/hyperlink" Target="http://www.phosphosite.org/proteinAction.do?id=1461&amp;showAllSites=true" TargetMode="External"/><Relationship Id="rId794" Type="http://schemas.openxmlformats.org/officeDocument/2006/relationships/hyperlink" Target="http://www.phosphosite.org/proteinAction.do?id=4147&amp;showAllSites=true" TargetMode="External"/><Relationship Id="rId1077" Type="http://schemas.openxmlformats.org/officeDocument/2006/relationships/hyperlink" Target="http://www.phosphosite.org/proteinAction.do?id=10165240&amp;showAllSites=true" TargetMode="External"/><Relationship Id="rId1200" Type="http://schemas.openxmlformats.org/officeDocument/2006/relationships/hyperlink" Target="http://www.cellsignal.com/products/9744.html" TargetMode="External"/><Relationship Id="rId1852" Type="http://schemas.openxmlformats.org/officeDocument/2006/relationships/hyperlink" Target="http://www.phosphosite.org/proteinAction.do?id=3701941&amp;showAllSites=true" TargetMode="External"/><Relationship Id="rId654" Type="http://schemas.openxmlformats.org/officeDocument/2006/relationships/hyperlink" Target="http://www.phosphosite.org/proteinAction.do?id=5812&amp;showAllSites=true" TargetMode="External"/><Relationship Id="rId861" Type="http://schemas.openxmlformats.org/officeDocument/2006/relationships/hyperlink" Target="http://www.phosphosite.org/proteinAction.do?id=3701941&amp;showAllSites=true" TargetMode="External"/><Relationship Id="rId959" Type="http://schemas.openxmlformats.org/officeDocument/2006/relationships/hyperlink" Target="http://www.phosphosite.org/proteinAction.do?id=2653008&amp;showAllSites=true" TargetMode="External"/><Relationship Id="rId1284" Type="http://schemas.openxmlformats.org/officeDocument/2006/relationships/hyperlink" Target="http://www.phosphosite.org/proteinAction.do?id=944&amp;showAllSites=true" TargetMode="External"/><Relationship Id="rId1491" Type="http://schemas.openxmlformats.org/officeDocument/2006/relationships/hyperlink" Target="http://www.phosphosite.org/proteinAction.do?id=1461&amp;showAllSites=true" TargetMode="External"/><Relationship Id="rId1505" Type="http://schemas.openxmlformats.org/officeDocument/2006/relationships/hyperlink" Target="http://www.phosphosite.org/proteinAction.do?id=1461&amp;showAllSites=true" TargetMode="External"/><Relationship Id="rId1589" Type="http://schemas.openxmlformats.org/officeDocument/2006/relationships/hyperlink" Target="http://www.phosphosite.org/proteinAction.do?id=1461&amp;showAllSites=true" TargetMode="External"/><Relationship Id="rId1712" Type="http://schemas.openxmlformats.org/officeDocument/2006/relationships/hyperlink" Target="http://www.phosphosite.org/proteinAction.do?id=5812&amp;showAllSites=true" TargetMode="External"/><Relationship Id="rId293" Type="http://schemas.openxmlformats.org/officeDocument/2006/relationships/hyperlink" Target="http://www.cellsignal.com/products/4548.html" TargetMode="External"/><Relationship Id="rId307" Type="http://schemas.openxmlformats.org/officeDocument/2006/relationships/hyperlink" Target="http://www.cellsignal.com/products/4548.html" TargetMode="External"/><Relationship Id="rId514" Type="http://schemas.openxmlformats.org/officeDocument/2006/relationships/hyperlink" Target="http://www.phosphosite.org/proteinAction.do?id=2622&amp;showAllSites=true" TargetMode="External"/><Relationship Id="rId721" Type="http://schemas.openxmlformats.org/officeDocument/2006/relationships/hyperlink" Target="http://www.phosphosite.org/proteinAction.do?id=5812&amp;showAllSites=true" TargetMode="External"/><Relationship Id="rId1144" Type="http://schemas.openxmlformats.org/officeDocument/2006/relationships/hyperlink" Target="http://www.phosphosite.org/proteinAction.do?id=5812&amp;showAllSites=true" TargetMode="External"/><Relationship Id="rId1351" Type="http://schemas.openxmlformats.org/officeDocument/2006/relationships/hyperlink" Target="http://www.phosphosite.org/proteinAction.do?id=17074&amp;showAllSites=true" TargetMode="External"/><Relationship Id="rId1449" Type="http://schemas.openxmlformats.org/officeDocument/2006/relationships/hyperlink" Target="http://www.phosphosite.org/proteinAction.do?id=1461&amp;showAllSites=true" TargetMode="External"/><Relationship Id="rId1796" Type="http://schemas.openxmlformats.org/officeDocument/2006/relationships/hyperlink" Target="http://www.phosphosite.org/proteinAction.do?id=5812&amp;showAllSites=true" TargetMode="External"/><Relationship Id="rId88" Type="http://schemas.openxmlformats.org/officeDocument/2006/relationships/hyperlink" Target="http://www.cellsignal.com/products/4885.html" TargetMode="External"/><Relationship Id="rId153" Type="http://schemas.openxmlformats.org/officeDocument/2006/relationships/hyperlink" Target="http://www.phosphosite.org/proteinAction.do?id=5758&amp;showAllSites=true" TargetMode="External"/><Relationship Id="rId360" Type="http://schemas.openxmlformats.org/officeDocument/2006/relationships/hyperlink" Target="http://www.cellsignal.com/products/4558.html" TargetMode="External"/><Relationship Id="rId598" Type="http://schemas.openxmlformats.org/officeDocument/2006/relationships/hyperlink" Target="http://www.phosphosite.org/proteinAction.do?id=16019&amp;showAllSites=true" TargetMode="External"/><Relationship Id="rId819" Type="http://schemas.openxmlformats.org/officeDocument/2006/relationships/hyperlink" Target="http://www.phosphosite.org/proteinAction.do?id=3701941&amp;showAllSites=true" TargetMode="External"/><Relationship Id="rId1004" Type="http://schemas.openxmlformats.org/officeDocument/2006/relationships/hyperlink" Target="http://www.phosphosite.org/proteinAction.do?id=13284&amp;showAllSites=true" TargetMode="External"/><Relationship Id="rId1211" Type="http://schemas.openxmlformats.org/officeDocument/2006/relationships/hyperlink" Target="http://www.phosphosite.org/proteinAction.do?id=944&amp;showAllSites=true" TargetMode="External"/><Relationship Id="rId1656" Type="http://schemas.openxmlformats.org/officeDocument/2006/relationships/hyperlink" Target="http://www.phosphosite.org/proteinAction.do?id=2612&amp;showAllSites=true" TargetMode="External"/><Relationship Id="rId1863" Type="http://schemas.openxmlformats.org/officeDocument/2006/relationships/hyperlink" Target="http://www.phosphosite.org/proteinAction.do?id=1461&amp;showAllSites=true" TargetMode="External"/><Relationship Id="rId220" Type="http://schemas.openxmlformats.org/officeDocument/2006/relationships/hyperlink" Target="http://www.phosphosite.org/proteinAction.do?id=9134&amp;showAllSites=true" TargetMode="External"/><Relationship Id="rId458" Type="http://schemas.openxmlformats.org/officeDocument/2006/relationships/hyperlink" Target="http://www.phosphosite.org/proteinAction.do?id=1461&amp;showAllSites=true" TargetMode="External"/><Relationship Id="rId665" Type="http://schemas.openxmlformats.org/officeDocument/2006/relationships/hyperlink" Target="http://www.phosphosite.org/proteinAction.do?id=5812&amp;showAllSites=true" TargetMode="External"/><Relationship Id="rId872" Type="http://schemas.openxmlformats.org/officeDocument/2006/relationships/hyperlink" Target="http://www.phosphosite.org/proteinAction.do?id=3701941&amp;showAllSites=true" TargetMode="External"/><Relationship Id="rId1088" Type="http://schemas.openxmlformats.org/officeDocument/2006/relationships/hyperlink" Target="http://www.phosphosite.org/proteinAction.do?id=21217&amp;showAllSites=true" TargetMode="External"/><Relationship Id="rId1295" Type="http://schemas.openxmlformats.org/officeDocument/2006/relationships/hyperlink" Target="http://www.phosphosite.org/proteinAction.do?id=8358&amp;showAllSites=true" TargetMode="External"/><Relationship Id="rId1309" Type="http://schemas.openxmlformats.org/officeDocument/2006/relationships/hyperlink" Target="http://www.phosphosite.org/proteinAction.do?id=1461&amp;showAllSites=true" TargetMode="External"/><Relationship Id="rId1516" Type="http://schemas.openxmlformats.org/officeDocument/2006/relationships/hyperlink" Target="http://www.phosphosite.org/proteinAction.do?id=1461&amp;showAllSites=true" TargetMode="External"/><Relationship Id="rId1723" Type="http://schemas.openxmlformats.org/officeDocument/2006/relationships/hyperlink" Target="http://www.phosphosite.org/proteinAction.do?id=5812&amp;showAllSites=true" TargetMode="External"/><Relationship Id="rId15" Type="http://schemas.openxmlformats.org/officeDocument/2006/relationships/hyperlink" Target="http://www.cellsignal.com/products/5765.html" TargetMode="External"/><Relationship Id="rId318" Type="http://schemas.openxmlformats.org/officeDocument/2006/relationships/hyperlink" Target="http://www.cellsignal.com/products/4558.html" TargetMode="External"/><Relationship Id="rId525" Type="http://schemas.openxmlformats.org/officeDocument/2006/relationships/hyperlink" Target="http://www.phosphosite.org/proteinAction.do?id=14276&amp;showAllSites=true" TargetMode="External"/><Relationship Id="rId732" Type="http://schemas.openxmlformats.org/officeDocument/2006/relationships/hyperlink" Target="http://www.phosphosite.org/proteinAction.do?id=5812&amp;showAllSites=true" TargetMode="External"/><Relationship Id="rId1155" Type="http://schemas.openxmlformats.org/officeDocument/2006/relationships/hyperlink" Target="http://www.phosphosite.org/proteinAction.do?id=3701941&amp;showAllSites=true" TargetMode="External"/><Relationship Id="rId1362" Type="http://schemas.openxmlformats.org/officeDocument/2006/relationships/hyperlink" Target="http://www.phosphosite.org/proteinAction.do?id=14151000&amp;showAllSites=true" TargetMode="External"/><Relationship Id="rId99" Type="http://schemas.openxmlformats.org/officeDocument/2006/relationships/hyperlink" Target="http://www.cellsignal.com/products/12317.html" TargetMode="External"/><Relationship Id="rId164" Type="http://schemas.openxmlformats.org/officeDocument/2006/relationships/hyperlink" Target="http://www.phosphosite.org/proteinAction.do?id=2711&amp;showAllSites=true" TargetMode="External"/><Relationship Id="rId371" Type="http://schemas.openxmlformats.org/officeDocument/2006/relationships/hyperlink" Target="http://www.phosphosite.org/proteinAction.do?id=3722&amp;showAllSites=true" TargetMode="External"/><Relationship Id="rId1015" Type="http://schemas.openxmlformats.org/officeDocument/2006/relationships/hyperlink" Target="http://www.phosphosite.org/proteinAction.do?id=9134&amp;showAllSites=true" TargetMode="External"/><Relationship Id="rId1222" Type="http://schemas.openxmlformats.org/officeDocument/2006/relationships/hyperlink" Target="http://www.phosphosite.org/proteinAction.do?id=944&amp;showAllSites=true" TargetMode="External"/><Relationship Id="rId1667" Type="http://schemas.openxmlformats.org/officeDocument/2006/relationships/hyperlink" Target="http://www.phosphosite.org/proteinAction.do?id=5812&amp;showAllSites=true" TargetMode="External"/><Relationship Id="rId1874" Type="http://schemas.openxmlformats.org/officeDocument/2006/relationships/hyperlink" Target="http://www.phosphosite.org/proteinAction.do?id=1461&amp;showAllSites=true" TargetMode="External"/><Relationship Id="rId469" Type="http://schemas.openxmlformats.org/officeDocument/2006/relationships/hyperlink" Target="http://www.phosphosite.org/proteinAction.do?id=1461&amp;showAllSites=true" TargetMode="External"/><Relationship Id="rId676" Type="http://schemas.openxmlformats.org/officeDocument/2006/relationships/hyperlink" Target="http://www.phosphosite.org/proteinAction.do?id=5812&amp;showAllSites=true" TargetMode="External"/><Relationship Id="rId883" Type="http://schemas.openxmlformats.org/officeDocument/2006/relationships/hyperlink" Target="http://www.phosphosite.org/proteinAction.do?id=3701941&amp;showAllSites=true" TargetMode="External"/><Relationship Id="rId1099" Type="http://schemas.openxmlformats.org/officeDocument/2006/relationships/hyperlink" Target="http://www.cellsignal.com/products/7668.html" TargetMode="External"/><Relationship Id="rId1527" Type="http://schemas.openxmlformats.org/officeDocument/2006/relationships/hyperlink" Target="http://www.phosphosite.org/proteinAction.do?id=1461&amp;showAllSites=true" TargetMode="External"/><Relationship Id="rId1734" Type="http://schemas.openxmlformats.org/officeDocument/2006/relationships/hyperlink" Target="http://www.phosphosite.org/proteinAction.do?id=5812&amp;showAllSites=true" TargetMode="External"/><Relationship Id="rId26" Type="http://schemas.openxmlformats.org/officeDocument/2006/relationships/hyperlink" Target="http://www.cellsignal.com/products/5765.html" TargetMode="External"/><Relationship Id="rId231" Type="http://schemas.openxmlformats.org/officeDocument/2006/relationships/hyperlink" Target="http://www.cellsignal.com/products/8444.html" TargetMode="External"/><Relationship Id="rId329" Type="http://schemas.openxmlformats.org/officeDocument/2006/relationships/hyperlink" Target="http://www.cellsignal.com/products/4558.html" TargetMode="External"/><Relationship Id="rId536" Type="http://schemas.openxmlformats.org/officeDocument/2006/relationships/hyperlink" Target="http://www.phosphosite.org/proteinAction.do?id=4078&amp;showAllSites=true" TargetMode="External"/><Relationship Id="rId1166" Type="http://schemas.openxmlformats.org/officeDocument/2006/relationships/hyperlink" Target="http://www.phosphosite.org/proteinAction.do?id=3701941&amp;showAllSites=true" TargetMode="External"/><Relationship Id="rId1373" Type="http://schemas.openxmlformats.org/officeDocument/2006/relationships/hyperlink" Target="http://www.phosphosite.org/proteinAction.do?id=5812&amp;showAllSites=true" TargetMode="External"/><Relationship Id="rId175" Type="http://schemas.openxmlformats.org/officeDocument/2006/relationships/hyperlink" Target="http://www.phosphosite.org/proteinAction.do?id=8386&amp;showAllSites=true" TargetMode="External"/><Relationship Id="rId743" Type="http://schemas.openxmlformats.org/officeDocument/2006/relationships/hyperlink" Target="http://www.phosphosite.org/proteinAction.do?id=5812&amp;showAllSites=true" TargetMode="External"/><Relationship Id="rId950" Type="http://schemas.openxmlformats.org/officeDocument/2006/relationships/hyperlink" Target="http://www.phosphosite.org/proteinAction.do?id=9468&amp;showAllSites=true" TargetMode="External"/><Relationship Id="rId1026" Type="http://schemas.openxmlformats.org/officeDocument/2006/relationships/hyperlink" Target="http://www.cellsignal.com/products/4548.html" TargetMode="External"/><Relationship Id="rId1580" Type="http://schemas.openxmlformats.org/officeDocument/2006/relationships/hyperlink" Target="http://www.phosphosite.org/proteinAction.do?id=1461&amp;showAllSites=true" TargetMode="External"/><Relationship Id="rId1678" Type="http://schemas.openxmlformats.org/officeDocument/2006/relationships/hyperlink" Target="http://www.phosphosite.org/proteinAction.do?id=5812&amp;showAllSites=true" TargetMode="External"/><Relationship Id="rId1801" Type="http://schemas.openxmlformats.org/officeDocument/2006/relationships/hyperlink" Target="http://www.phosphosite.org/proteinAction.do?id=3658401&amp;showAllSites=true" TargetMode="External"/><Relationship Id="rId382" Type="http://schemas.openxmlformats.org/officeDocument/2006/relationships/hyperlink" Target="http://www.cellsignal.com/products/4558.html" TargetMode="External"/><Relationship Id="rId603" Type="http://schemas.openxmlformats.org/officeDocument/2006/relationships/hyperlink" Target="http://www.phosphosite.org/proteinAction.do?id=3242&amp;showAllSites=true" TargetMode="External"/><Relationship Id="rId687" Type="http://schemas.openxmlformats.org/officeDocument/2006/relationships/hyperlink" Target="http://www.phosphosite.org/proteinAction.do?id=5812&amp;showAllSites=true" TargetMode="External"/><Relationship Id="rId810" Type="http://schemas.openxmlformats.org/officeDocument/2006/relationships/hyperlink" Target="http://www.phosphosite.org/proteinAction.do?id=3701941&amp;showAllSites=true" TargetMode="External"/><Relationship Id="rId908" Type="http://schemas.openxmlformats.org/officeDocument/2006/relationships/hyperlink" Target="http://www.phosphosite.org/proteinAction.do?id=3642&amp;showAllSites=true" TargetMode="External"/><Relationship Id="rId1233" Type="http://schemas.openxmlformats.org/officeDocument/2006/relationships/hyperlink" Target="http://www.phosphosite.org/proteinAction.do?id=944&amp;showAllSites=true" TargetMode="External"/><Relationship Id="rId1440" Type="http://schemas.openxmlformats.org/officeDocument/2006/relationships/hyperlink" Target="http://www.phosphosite.org/proteinAction.do?id=1461&amp;showAllSites=true" TargetMode="External"/><Relationship Id="rId1538" Type="http://schemas.openxmlformats.org/officeDocument/2006/relationships/hyperlink" Target="http://www.phosphosite.org/proteinAction.do?id=1461&amp;showAllSites=true" TargetMode="External"/><Relationship Id="rId242" Type="http://schemas.openxmlformats.org/officeDocument/2006/relationships/hyperlink" Target="http://www.phosphosite.org/proteinAction.do?id=4119&amp;showAllSites=true" TargetMode="External"/><Relationship Id="rId894" Type="http://schemas.openxmlformats.org/officeDocument/2006/relationships/hyperlink" Target="http://www.phosphosite.org/proteinAction.do?id=3701941&amp;showAllSites=true" TargetMode="External"/><Relationship Id="rId1177" Type="http://schemas.openxmlformats.org/officeDocument/2006/relationships/hyperlink" Target="http://www.phosphosite.org/proteinAction.do?id=6250&amp;showAllSites=true" TargetMode="External"/><Relationship Id="rId1300" Type="http://schemas.openxmlformats.org/officeDocument/2006/relationships/hyperlink" Target="http://www.phosphosite.org/proteinAction.do?id=1461&amp;showAllSites=true" TargetMode="External"/><Relationship Id="rId1745" Type="http://schemas.openxmlformats.org/officeDocument/2006/relationships/hyperlink" Target="http://www.phosphosite.org/proteinAction.do?id=5812&amp;showAllSites=true" TargetMode="External"/><Relationship Id="rId37" Type="http://schemas.openxmlformats.org/officeDocument/2006/relationships/hyperlink" Target="http://www.cellsignal.com/products/4565.html" TargetMode="External"/><Relationship Id="rId102" Type="http://schemas.openxmlformats.org/officeDocument/2006/relationships/hyperlink" Target="http://www.cellsignal.com/products/12317.html" TargetMode="External"/><Relationship Id="rId547" Type="http://schemas.openxmlformats.org/officeDocument/2006/relationships/hyperlink" Target="http://www.phosphosite.org/proteinAction.do?id=6330&amp;showAllSites=true" TargetMode="External"/><Relationship Id="rId754" Type="http://schemas.openxmlformats.org/officeDocument/2006/relationships/hyperlink" Target="http://www.phosphosite.org/proteinAction.do?id=5812&amp;showAllSites=true" TargetMode="External"/><Relationship Id="rId961" Type="http://schemas.openxmlformats.org/officeDocument/2006/relationships/hyperlink" Target="http://www.phosphosite.org/proteinAction.do?id=2653008&amp;showAllSites=true" TargetMode="External"/><Relationship Id="rId1384" Type="http://schemas.openxmlformats.org/officeDocument/2006/relationships/hyperlink" Target="http://www.phosphosite.org/proteinAction.do?id=5812&amp;showAllSites=true" TargetMode="External"/><Relationship Id="rId1591" Type="http://schemas.openxmlformats.org/officeDocument/2006/relationships/hyperlink" Target="http://www.phosphosite.org/proteinAction.do?id=1461&amp;showAllSites=true" TargetMode="External"/><Relationship Id="rId1605" Type="http://schemas.openxmlformats.org/officeDocument/2006/relationships/hyperlink" Target="http://www.phosphosite.org/proteinAction.do?id=1461&amp;showAllSites=true" TargetMode="External"/><Relationship Id="rId1689" Type="http://schemas.openxmlformats.org/officeDocument/2006/relationships/hyperlink" Target="http://www.phosphosite.org/proteinAction.do?id=5812&amp;showAllSites=true" TargetMode="External"/><Relationship Id="rId1812" Type="http://schemas.openxmlformats.org/officeDocument/2006/relationships/hyperlink" Target="http://www.cellsignal.com/products/9033.html" TargetMode="External"/><Relationship Id="rId90" Type="http://schemas.openxmlformats.org/officeDocument/2006/relationships/hyperlink" Target="http://www.cellsignal.com/products/6505.html" TargetMode="External"/><Relationship Id="rId186" Type="http://schemas.openxmlformats.org/officeDocument/2006/relationships/hyperlink" Target="http://www.phosphosite.org/proteinAction.do?id=8230&amp;showAllSites=true" TargetMode="External"/><Relationship Id="rId393" Type="http://schemas.openxmlformats.org/officeDocument/2006/relationships/hyperlink" Target="http://www.phosphosite.org/proteinAction.do?id=3722&amp;showAllSites=true" TargetMode="External"/><Relationship Id="rId407" Type="http://schemas.openxmlformats.org/officeDocument/2006/relationships/hyperlink" Target="http://www.phosphosite.org/proteinAction.do?id=1461&amp;showAllSites=true" TargetMode="External"/><Relationship Id="rId614" Type="http://schemas.openxmlformats.org/officeDocument/2006/relationships/hyperlink" Target="http://www.phosphosite.org/proteinAction.do?id=22920001&amp;showAllSites=true" TargetMode="External"/><Relationship Id="rId821" Type="http://schemas.openxmlformats.org/officeDocument/2006/relationships/hyperlink" Target="http://www.phosphosite.org/proteinAction.do?id=3701941&amp;showAllSites=true" TargetMode="External"/><Relationship Id="rId1037" Type="http://schemas.openxmlformats.org/officeDocument/2006/relationships/hyperlink" Target="http://www.phosphosite.org/proteinAction.do?id=3722&amp;showAllSites=true" TargetMode="External"/><Relationship Id="rId1244" Type="http://schemas.openxmlformats.org/officeDocument/2006/relationships/hyperlink" Target="http://www.phosphosite.org/proteinAction.do?id=944&amp;showAllSites=true" TargetMode="External"/><Relationship Id="rId1451" Type="http://schemas.openxmlformats.org/officeDocument/2006/relationships/hyperlink" Target="http://www.phosphosite.org/proteinAction.do?id=1461&amp;showAllSites=true" TargetMode="External"/><Relationship Id="rId253" Type="http://schemas.openxmlformats.org/officeDocument/2006/relationships/hyperlink" Target="http://www.cellsignal.com/products/5332.html" TargetMode="External"/><Relationship Id="rId460" Type="http://schemas.openxmlformats.org/officeDocument/2006/relationships/hyperlink" Target="http://www.phosphosite.org/proteinAction.do?id=1461&amp;showAllSites=true" TargetMode="External"/><Relationship Id="rId698" Type="http://schemas.openxmlformats.org/officeDocument/2006/relationships/hyperlink" Target="http://www.phosphosite.org/proteinAction.do?id=5812&amp;showAllSites=true" TargetMode="External"/><Relationship Id="rId919" Type="http://schemas.openxmlformats.org/officeDocument/2006/relationships/hyperlink" Target="http://www.cellsignal.com/products/5398.html" TargetMode="External"/><Relationship Id="rId1090" Type="http://schemas.openxmlformats.org/officeDocument/2006/relationships/hyperlink" Target="http://www.phosphosite.org/proteinAction.do?id=11888&amp;showAllSites=true" TargetMode="External"/><Relationship Id="rId1104" Type="http://schemas.openxmlformats.org/officeDocument/2006/relationships/hyperlink" Target="http://www.phosphosite.org/proteinAction.do?id=2612&amp;showAllSites=true" TargetMode="External"/><Relationship Id="rId1311" Type="http://schemas.openxmlformats.org/officeDocument/2006/relationships/hyperlink" Target="http://www.phosphosite.org/proteinAction.do?id=1461&amp;showAllSites=true" TargetMode="External"/><Relationship Id="rId1549" Type="http://schemas.openxmlformats.org/officeDocument/2006/relationships/hyperlink" Target="http://www.phosphosite.org/proteinAction.do?id=1461&amp;showAllSites=true" TargetMode="External"/><Relationship Id="rId1756" Type="http://schemas.openxmlformats.org/officeDocument/2006/relationships/hyperlink" Target="http://www.phosphosite.org/proteinAction.do?id=5812&amp;showAllSites=true" TargetMode="External"/><Relationship Id="rId48" Type="http://schemas.openxmlformats.org/officeDocument/2006/relationships/hyperlink" Target="http://www.cellsignal.com/products/4885.html" TargetMode="External"/><Relationship Id="rId113" Type="http://schemas.openxmlformats.org/officeDocument/2006/relationships/hyperlink" Target="http://www.cellsignal.com/products/4885.html" TargetMode="External"/><Relationship Id="rId320" Type="http://schemas.openxmlformats.org/officeDocument/2006/relationships/hyperlink" Target="http://www.cellsignal.com/products/4558.html" TargetMode="External"/><Relationship Id="rId558" Type="http://schemas.openxmlformats.org/officeDocument/2006/relationships/hyperlink" Target="http://www.phosphosite.org/proteinAction.do?id=15331700&amp;showAllSites=true" TargetMode="External"/><Relationship Id="rId765" Type="http://schemas.openxmlformats.org/officeDocument/2006/relationships/hyperlink" Target="http://www.phosphosite.org/proteinAction.do?id=7056&amp;showAllSites=true" TargetMode="External"/><Relationship Id="rId972" Type="http://schemas.openxmlformats.org/officeDocument/2006/relationships/hyperlink" Target="http://www.phosphosite.org/proteinAction.do?id=3130&amp;showAllSites=true" TargetMode="External"/><Relationship Id="rId1188" Type="http://schemas.openxmlformats.org/officeDocument/2006/relationships/hyperlink" Target="http://www.phosphosite.org/proteinAction.do?id=5895&amp;showAllSites=true" TargetMode="External"/><Relationship Id="rId1395" Type="http://schemas.openxmlformats.org/officeDocument/2006/relationships/hyperlink" Target="http://www.phosphosite.org/proteinAction.do?id=3701941&amp;showAllSites=true" TargetMode="External"/><Relationship Id="rId1409" Type="http://schemas.openxmlformats.org/officeDocument/2006/relationships/hyperlink" Target="http://www.phosphosite.org/proteinAction.do?id=9462&amp;showAllSites=true" TargetMode="External"/><Relationship Id="rId1616" Type="http://schemas.openxmlformats.org/officeDocument/2006/relationships/hyperlink" Target="http://www.phosphosite.org/proteinAction.do?id=4078&amp;showAllSites=true" TargetMode="External"/><Relationship Id="rId1823" Type="http://schemas.openxmlformats.org/officeDocument/2006/relationships/hyperlink" Target="http://www.cellsignal.com/products/3469.html" TargetMode="External"/><Relationship Id="rId197" Type="http://schemas.openxmlformats.org/officeDocument/2006/relationships/hyperlink" Target="http://www.phosphosite.org/proteinAction.do?id=25250672&amp;showAllSites=true" TargetMode="External"/><Relationship Id="rId418" Type="http://schemas.openxmlformats.org/officeDocument/2006/relationships/hyperlink" Target="http://www.phosphosite.org/proteinAction.do?id=1461&amp;showAllSites=true" TargetMode="External"/><Relationship Id="rId625" Type="http://schemas.openxmlformats.org/officeDocument/2006/relationships/hyperlink" Target="http://www.phosphosite.org/proteinAction.do?id=2637&amp;showAllSites=true" TargetMode="External"/><Relationship Id="rId832" Type="http://schemas.openxmlformats.org/officeDocument/2006/relationships/hyperlink" Target="http://www.phosphosite.org/proteinAction.do?id=3701941&amp;showAllSites=true" TargetMode="External"/><Relationship Id="rId1048" Type="http://schemas.openxmlformats.org/officeDocument/2006/relationships/hyperlink" Target="http://www.phosphosite.org/proteinAction.do?id=1461&amp;showAllSites=true" TargetMode="External"/><Relationship Id="rId1255" Type="http://schemas.openxmlformats.org/officeDocument/2006/relationships/hyperlink" Target="http://www.phosphosite.org/proteinAction.do?id=944&amp;showAllSites=true" TargetMode="External"/><Relationship Id="rId1462" Type="http://schemas.openxmlformats.org/officeDocument/2006/relationships/hyperlink" Target="http://www.phosphosite.org/proteinAction.do?id=1461&amp;showAllSites=true" TargetMode="External"/><Relationship Id="rId264" Type="http://schemas.openxmlformats.org/officeDocument/2006/relationships/hyperlink" Target="http://www.cellsignal.com/products/4548.html" TargetMode="External"/><Relationship Id="rId471" Type="http://schemas.openxmlformats.org/officeDocument/2006/relationships/hyperlink" Target="http://www.phosphosite.org/proteinAction.do?id=1461&amp;showAllSites=true" TargetMode="External"/><Relationship Id="rId1115" Type="http://schemas.openxmlformats.org/officeDocument/2006/relationships/hyperlink" Target="http://www.cellsignal.com/products/8443.html" TargetMode="External"/><Relationship Id="rId1322" Type="http://schemas.openxmlformats.org/officeDocument/2006/relationships/hyperlink" Target="http://www.phosphosite.org/proteinAction.do?id=11778&amp;showAllSites=true" TargetMode="External"/><Relationship Id="rId1767" Type="http://schemas.openxmlformats.org/officeDocument/2006/relationships/hyperlink" Target="http://www.phosphosite.org/proteinAction.do?id=5812&amp;showAllSites=true" TargetMode="External"/><Relationship Id="rId59" Type="http://schemas.openxmlformats.org/officeDocument/2006/relationships/hyperlink" Target="http://www.cellsignal.com/products/9053.html" TargetMode="External"/><Relationship Id="rId124" Type="http://schemas.openxmlformats.org/officeDocument/2006/relationships/hyperlink" Target="http://www.cellsignal.com/products/4885.html" TargetMode="External"/><Relationship Id="rId569" Type="http://schemas.openxmlformats.org/officeDocument/2006/relationships/hyperlink" Target="http://www.cellsignal.com/products/4994.html" TargetMode="External"/><Relationship Id="rId776" Type="http://schemas.openxmlformats.org/officeDocument/2006/relationships/hyperlink" Target="http://www.phosphosite.org/proteinAction.do?id=5362100&amp;showAllSites=true" TargetMode="External"/><Relationship Id="rId983" Type="http://schemas.openxmlformats.org/officeDocument/2006/relationships/hyperlink" Target="http://www.phosphosite.org/proteinAction.do?id=27269108&amp;showAllSites=true" TargetMode="External"/><Relationship Id="rId1199" Type="http://schemas.openxmlformats.org/officeDocument/2006/relationships/hyperlink" Target="http://www.cellsignal.com/products/3449.html" TargetMode="External"/><Relationship Id="rId1627" Type="http://schemas.openxmlformats.org/officeDocument/2006/relationships/hyperlink" Target="http://www.phosphosite.org/proteinAction.do?id=22920001&amp;showAllSites=true" TargetMode="External"/><Relationship Id="rId1834" Type="http://schemas.openxmlformats.org/officeDocument/2006/relationships/hyperlink" Target="http://www.phosphosite.org/proteinAction.do?id=1461&amp;showAllSites=true" TargetMode="External"/><Relationship Id="rId331" Type="http://schemas.openxmlformats.org/officeDocument/2006/relationships/hyperlink" Target="http://www.cellsignal.com/products/4558.html" TargetMode="External"/><Relationship Id="rId429" Type="http://schemas.openxmlformats.org/officeDocument/2006/relationships/hyperlink" Target="http://www.phosphosite.org/proteinAction.do?id=1461&amp;showAllSites=true" TargetMode="External"/><Relationship Id="rId636" Type="http://schemas.openxmlformats.org/officeDocument/2006/relationships/hyperlink" Target="http://www.cellsignal.com/products/7668.html" TargetMode="External"/><Relationship Id="rId1059" Type="http://schemas.openxmlformats.org/officeDocument/2006/relationships/hyperlink" Target="http://www.phosphosite.org/proteinAction.do?id=1461&amp;showAllSites=true" TargetMode="External"/><Relationship Id="rId1266" Type="http://schemas.openxmlformats.org/officeDocument/2006/relationships/hyperlink" Target="http://www.phosphosite.org/proteinAction.do?id=944&amp;showAllSites=true" TargetMode="External"/><Relationship Id="rId1473" Type="http://schemas.openxmlformats.org/officeDocument/2006/relationships/hyperlink" Target="http://www.phosphosite.org/proteinAction.do?id=1461&amp;showAllSites=true" TargetMode="External"/><Relationship Id="rId843" Type="http://schemas.openxmlformats.org/officeDocument/2006/relationships/hyperlink" Target="http://www.phosphosite.org/proteinAction.do?id=3701941&amp;showAllSites=true" TargetMode="External"/><Relationship Id="rId1126" Type="http://schemas.openxmlformats.org/officeDocument/2006/relationships/hyperlink" Target="http://www.phosphosite.org/proteinAction.do?id=5812&amp;showAllSites=true" TargetMode="External"/><Relationship Id="rId1680" Type="http://schemas.openxmlformats.org/officeDocument/2006/relationships/hyperlink" Target="http://www.phosphosite.org/proteinAction.do?id=5812&amp;showAllSites=true" TargetMode="External"/><Relationship Id="rId1778" Type="http://schemas.openxmlformats.org/officeDocument/2006/relationships/hyperlink" Target="http://www.phosphosite.org/proteinAction.do?id=5812&amp;showAllSites=true" TargetMode="External"/><Relationship Id="rId275" Type="http://schemas.openxmlformats.org/officeDocument/2006/relationships/hyperlink" Target="http://www.cellsignal.com/products/4548.html" TargetMode="External"/><Relationship Id="rId482" Type="http://schemas.openxmlformats.org/officeDocument/2006/relationships/hyperlink" Target="http://www.phosphosite.org/proteinAction.do?id=1461&amp;showAllSites=true" TargetMode="External"/><Relationship Id="rId703" Type="http://schemas.openxmlformats.org/officeDocument/2006/relationships/hyperlink" Target="http://www.phosphosite.org/proteinAction.do?id=5812&amp;showAllSites=true" TargetMode="External"/><Relationship Id="rId910" Type="http://schemas.openxmlformats.org/officeDocument/2006/relationships/hyperlink" Target="http://www.phosphosite.org/proteinAction.do?id=3642&amp;showAllSites=true" TargetMode="External"/><Relationship Id="rId1333" Type="http://schemas.openxmlformats.org/officeDocument/2006/relationships/hyperlink" Target="http://www.phosphosite.org/proteinAction.do?id=15331700&amp;showAllSites=true" TargetMode="External"/><Relationship Id="rId1540" Type="http://schemas.openxmlformats.org/officeDocument/2006/relationships/hyperlink" Target="http://www.phosphosite.org/proteinAction.do?id=1461&amp;showAllSites=true" TargetMode="External"/><Relationship Id="rId1638" Type="http://schemas.openxmlformats.org/officeDocument/2006/relationships/hyperlink" Target="http://www.phosphosite.org/proteinAction.do?id=2612&amp;showAllSites=true" TargetMode="External"/><Relationship Id="rId135" Type="http://schemas.openxmlformats.org/officeDocument/2006/relationships/hyperlink" Target="http://www.phosphosite.org/proteinAction.do?id=22872603&amp;showAllSites=true" TargetMode="External"/><Relationship Id="rId342" Type="http://schemas.openxmlformats.org/officeDocument/2006/relationships/hyperlink" Target="http://www.cellsignal.com/products/4558.html" TargetMode="External"/><Relationship Id="rId787" Type="http://schemas.openxmlformats.org/officeDocument/2006/relationships/hyperlink" Target="http://www.phosphosite.org/proteinAction.do?id=3117&amp;showAllSites=true" TargetMode="External"/><Relationship Id="rId994" Type="http://schemas.openxmlformats.org/officeDocument/2006/relationships/hyperlink" Target="http://www.phosphosite.org/proteinAction.do?id=12369&amp;showAllSites=true" TargetMode="External"/><Relationship Id="rId1400" Type="http://schemas.openxmlformats.org/officeDocument/2006/relationships/hyperlink" Target="http://www.phosphosite.org/proteinAction.do?id=3701941&amp;showAllSites=true" TargetMode="External"/><Relationship Id="rId1845" Type="http://schemas.openxmlformats.org/officeDocument/2006/relationships/hyperlink" Target="http://www.phosphosite.org/proteinAction.do?id=22920001&amp;showAllSites=true" TargetMode="External"/><Relationship Id="rId202" Type="http://schemas.openxmlformats.org/officeDocument/2006/relationships/hyperlink" Target="http://www.phosphosite.org/proteinAction.do?id=5130516&amp;showAllSites=true" TargetMode="External"/><Relationship Id="rId647" Type="http://schemas.openxmlformats.org/officeDocument/2006/relationships/hyperlink" Target="http://www.phosphosite.org/proteinAction.do?id=2612&amp;showAllSites=true" TargetMode="External"/><Relationship Id="rId854" Type="http://schemas.openxmlformats.org/officeDocument/2006/relationships/hyperlink" Target="http://www.phosphosite.org/proteinAction.do?id=3701941&amp;showAllSites=true" TargetMode="External"/><Relationship Id="rId1277" Type="http://schemas.openxmlformats.org/officeDocument/2006/relationships/hyperlink" Target="http://www.phosphosite.org/proteinAction.do?id=944&amp;showAllSites=true" TargetMode="External"/><Relationship Id="rId1484" Type="http://schemas.openxmlformats.org/officeDocument/2006/relationships/hyperlink" Target="http://www.phosphosite.org/proteinAction.do?id=1461&amp;showAllSites=true" TargetMode="External"/><Relationship Id="rId1691" Type="http://schemas.openxmlformats.org/officeDocument/2006/relationships/hyperlink" Target="http://www.phosphosite.org/proteinAction.do?id=5812&amp;showAllSites=true" TargetMode="External"/><Relationship Id="rId1705" Type="http://schemas.openxmlformats.org/officeDocument/2006/relationships/hyperlink" Target="http://www.phosphosite.org/proteinAction.do?id=5812&amp;showAllSites=true" TargetMode="External"/><Relationship Id="rId286" Type="http://schemas.openxmlformats.org/officeDocument/2006/relationships/hyperlink" Target="http://www.cellsignal.com/products/4548.html" TargetMode="External"/><Relationship Id="rId493" Type="http://schemas.openxmlformats.org/officeDocument/2006/relationships/hyperlink" Target="http://www.phosphosite.org/proteinAction.do?id=1461&amp;showAllSites=true" TargetMode="External"/><Relationship Id="rId507" Type="http://schemas.openxmlformats.org/officeDocument/2006/relationships/hyperlink" Target="http://www.phosphosite.org/proteinAction.do?id=2618&amp;showAllSites=true" TargetMode="External"/><Relationship Id="rId714" Type="http://schemas.openxmlformats.org/officeDocument/2006/relationships/hyperlink" Target="http://www.phosphosite.org/proteinAction.do?id=5812&amp;showAllSites=true" TargetMode="External"/><Relationship Id="rId921" Type="http://schemas.openxmlformats.org/officeDocument/2006/relationships/hyperlink" Target="http://www.cellsignal.com/products/5398.html" TargetMode="External"/><Relationship Id="rId1137" Type="http://schemas.openxmlformats.org/officeDocument/2006/relationships/hyperlink" Target="http://www.phosphosite.org/proteinAction.do?id=5812&amp;showAllSites=true" TargetMode="External"/><Relationship Id="rId1344" Type="http://schemas.openxmlformats.org/officeDocument/2006/relationships/hyperlink" Target="http://www.phosphosite.org/proteinAction.do?id=17074&amp;showAllSites=true" TargetMode="External"/><Relationship Id="rId1551" Type="http://schemas.openxmlformats.org/officeDocument/2006/relationships/hyperlink" Target="http://www.phosphosite.org/proteinAction.do?id=1461&amp;showAllSites=true" TargetMode="External"/><Relationship Id="rId1789" Type="http://schemas.openxmlformats.org/officeDocument/2006/relationships/hyperlink" Target="http://www.phosphosite.org/proteinAction.do?id=5812&amp;showAllSites=true" TargetMode="External"/><Relationship Id="rId50" Type="http://schemas.openxmlformats.org/officeDocument/2006/relationships/hyperlink" Target="http://www.cellsignal.com/products/4885.html" TargetMode="External"/><Relationship Id="rId146" Type="http://schemas.openxmlformats.org/officeDocument/2006/relationships/hyperlink" Target="http://www.phosphosite.org/proteinAction.do?id=5758&amp;showAllSites=true" TargetMode="External"/><Relationship Id="rId353" Type="http://schemas.openxmlformats.org/officeDocument/2006/relationships/hyperlink" Target="http://www.phosphosite.org/proteinAction.do?id=3722&amp;showAllSites=true" TargetMode="External"/><Relationship Id="rId560" Type="http://schemas.openxmlformats.org/officeDocument/2006/relationships/hyperlink" Target="http://www.phosphosite.org/proteinAction.do?id=11778&amp;showAllSites=true" TargetMode="External"/><Relationship Id="rId798" Type="http://schemas.openxmlformats.org/officeDocument/2006/relationships/hyperlink" Target="http://www.phosphosite.org/proteinAction.do?id=3701941&amp;showAllSites=true" TargetMode="External"/><Relationship Id="rId1190" Type="http://schemas.openxmlformats.org/officeDocument/2006/relationships/hyperlink" Target="http://www.phosphosite.org/proteinAction.do?id=2653008&amp;showAllSites=true" TargetMode="External"/><Relationship Id="rId1204" Type="http://schemas.openxmlformats.org/officeDocument/2006/relationships/hyperlink" Target="http://www.phosphosite.org/proteinAction.do?id=944&amp;showAllSites=true" TargetMode="External"/><Relationship Id="rId1411" Type="http://schemas.openxmlformats.org/officeDocument/2006/relationships/hyperlink" Target="http://www.phosphosite.org/proteinAction.do?id=3130&amp;showAllSites=true" TargetMode="External"/><Relationship Id="rId1649" Type="http://schemas.openxmlformats.org/officeDocument/2006/relationships/hyperlink" Target="http://www.phosphosite.org/proteinAction.do?id=2612&amp;showAllSites=true" TargetMode="External"/><Relationship Id="rId1856" Type="http://schemas.openxmlformats.org/officeDocument/2006/relationships/hyperlink" Target="http://www.phosphosite.org/proteinAction.do?id=3701941&amp;showAllSites=true" TargetMode="External"/><Relationship Id="rId213" Type="http://schemas.openxmlformats.org/officeDocument/2006/relationships/hyperlink" Target="http://www.phosphosite.org/proteinAction.do?id=10342600&amp;showAllSites=true" TargetMode="External"/><Relationship Id="rId420" Type="http://schemas.openxmlformats.org/officeDocument/2006/relationships/hyperlink" Target="http://www.phosphosite.org/proteinAction.do?id=1461&amp;showAllSites=true" TargetMode="External"/><Relationship Id="rId658" Type="http://schemas.openxmlformats.org/officeDocument/2006/relationships/hyperlink" Target="http://www.phosphosite.org/proteinAction.do?id=5812&amp;showAllSites=true" TargetMode="External"/><Relationship Id="rId865" Type="http://schemas.openxmlformats.org/officeDocument/2006/relationships/hyperlink" Target="http://www.phosphosite.org/proteinAction.do?id=3701941&amp;showAllSites=true" TargetMode="External"/><Relationship Id="rId1050" Type="http://schemas.openxmlformats.org/officeDocument/2006/relationships/hyperlink" Target="http://www.phosphosite.org/proteinAction.do?id=1461&amp;showAllSites=true" TargetMode="External"/><Relationship Id="rId1288" Type="http://schemas.openxmlformats.org/officeDocument/2006/relationships/hyperlink" Target="http://www.phosphosite.org/proteinAction.do?id=944&amp;showAllSites=true" TargetMode="External"/><Relationship Id="rId1495" Type="http://schemas.openxmlformats.org/officeDocument/2006/relationships/hyperlink" Target="http://www.phosphosite.org/proteinAction.do?id=1461&amp;showAllSites=true" TargetMode="External"/><Relationship Id="rId1509" Type="http://schemas.openxmlformats.org/officeDocument/2006/relationships/hyperlink" Target="http://www.phosphosite.org/proteinAction.do?id=1461&amp;showAllSites=true" TargetMode="External"/><Relationship Id="rId1716" Type="http://schemas.openxmlformats.org/officeDocument/2006/relationships/hyperlink" Target="http://www.phosphosite.org/proteinAction.do?id=5812&amp;showAllSites=true" TargetMode="External"/><Relationship Id="rId297" Type="http://schemas.openxmlformats.org/officeDocument/2006/relationships/hyperlink" Target="http://www.cellsignal.com/products/4548.html" TargetMode="External"/><Relationship Id="rId518" Type="http://schemas.openxmlformats.org/officeDocument/2006/relationships/hyperlink" Target="http://www.phosphosite.org/proteinAction.do?id=15242901&amp;showAllSites=true" TargetMode="External"/><Relationship Id="rId725" Type="http://schemas.openxmlformats.org/officeDocument/2006/relationships/hyperlink" Target="http://www.phosphosite.org/proteinAction.do?id=5812&amp;showAllSites=true" TargetMode="External"/><Relationship Id="rId932" Type="http://schemas.openxmlformats.org/officeDocument/2006/relationships/hyperlink" Target="http://www.phosphosite.org/proteinAction.do?id=9462&amp;showAllSites=true" TargetMode="External"/><Relationship Id="rId1148" Type="http://schemas.openxmlformats.org/officeDocument/2006/relationships/hyperlink" Target="http://www.phosphosite.org/proteinAction.do?id=4147&amp;showAllSites=true" TargetMode="External"/><Relationship Id="rId1355" Type="http://schemas.openxmlformats.org/officeDocument/2006/relationships/hyperlink" Target="http://www.phosphosite.org/proteinAction.do?id=3225402&amp;showAllSites=true" TargetMode="External"/><Relationship Id="rId1562" Type="http://schemas.openxmlformats.org/officeDocument/2006/relationships/hyperlink" Target="http://www.phosphosite.org/proteinAction.do?id=1461&amp;showAllSites=true" TargetMode="External"/><Relationship Id="rId157" Type="http://schemas.openxmlformats.org/officeDocument/2006/relationships/hyperlink" Target="http://www.phosphosite.org/proteinAction.do?id=2711&amp;showAllSites=true" TargetMode="External"/><Relationship Id="rId364" Type="http://schemas.openxmlformats.org/officeDocument/2006/relationships/hyperlink" Target="http://www.cellsignal.com/products/4558.html" TargetMode="External"/><Relationship Id="rId1008" Type="http://schemas.openxmlformats.org/officeDocument/2006/relationships/hyperlink" Target="http://www.phosphosite.org/proteinAction.do?id=22736621&amp;showAllSites=true" TargetMode="External"/><Relationship Id="rId1215" Type="http://schemas.openxmlformats.org/officeDocument/2006/relationships/hyperlink" Target="http://www.phosphosite.org/proteinAction.do?id=944&amp;showAllSites=true" TargetMode="External"/><Relationship Id="rId1422" Type="http://schemas.openxmlformats.org/officeDocument/2006/relationships/hyperlink" Target="http://www.phosphosite.org/proteinAction.do?id=4627&amp;showAllSites=true" TargetMode="External"/><Relationship Id="rId1867" Type="http://schemas.openxmlformats.org/officeDocument/2006/relationships/hyperlink" Target="http://www.phosphosite.org/proteinAction.do?id=1461&amp;showAllSites=true" TargetMode="External"/><Relationship Id="rId61" Type="http://schemas.openxmlformats.org/officeDocument/2006/relationships/hyperlink" Target="http://www.cellsignal.com/products/9053.html" TargetMode="External"/><Relationship Id="rId571" Type="http://schemas.openxmlformats.org/officeDocument/2006/relationships/hyperlink" Target="http://www.phosphosite.org/proteinAction.do?id=3225402&amp;showAllSites=true" TargetMode="External"/><Relationship Id="rId669" Type="http://schemas.openxmlformats.org/officeDocument/2006/relationships/hyperlink" Target="http://www.phosphosite.org/proteinAction.do?id=5812&amp;showAllSites=true" TargetMode="External"/><Relationship Id="rId876" Type="http://schemas.openxmlformats.org/officeDocument/2006/relationships/hyperlink" Target="http://www.phosphosite.org/proteinAction.do?id=3701941&amp;showAllSites=true" TargetMode="External"/><Relationship Id="rId1299" Type="http://schemas.openxmlformats.org/officeDocument/2006/relationships/hyperlink" Target="http://www.phosphosite.org/proteinAction.do?id=1461&amp;showAllSites=true" TargetMode="External"/><Relationship Id="rId1727" Type="http://schemas.openxmlformats.org/officeDocument/2006/relationships/hyperlink" Target="http://www.phosphosite.org/proteinAction.do?id=5812&amp;showAllSites=true" TargetMode="External"/><Relationship Id="rId19" Type="http://schemas.openxmlformats.org/officeDocument/2006/relationships/hyperlink" Target="http://www.cellsignal.com/products/5765.html" TargetMode="External"/><Relationship Id="rId224" Type="http://schemas.openxmlformats.org/officeDocument/2006/relationships/hyperlink" Target="http://www.phosphosite.org/proteinAction.do?id=4627&amp;showAllSites=true" TargetMode="External"/><Relationship Id="rId431" Type="http://schemas.openxmlformats.org/officeDocument/2006/relationships/hyperlink" Target="http://www.phosphosite.org/proteinAction.do?id=1461&amp;showAllSites=true" TargetMode="External"/><Relationship Id="rId529" Type="http://schemas.openxmlformats.org/officeDocument/2006/relationships/hyperlink" Target="http://www.phosphosite.org/proteinAction.do?id=15756956&amp;showAllSites=true" TargetMode="External"/><Relationship Id="rId736" Type="http://schemas.openxmlformats.org/officeDocument/2006/relationships/hyperlink" Target="http://www.phosphosite.org/proteinAction.do?id=5812&amp;showAllSites=true" TargetMode="External"/><Relationship Id="rId1061" Type="http://schemas.openxmlformats.org/officeDocument/2006/relationships/hyperlink" Target="http://www.phosphosite.org/proteinAction.do?id=1461&amp;showAllSites=true" TargetMode="External"/><Relationship Id="rId1159" Type="http://schemas.openxmlformats.org/officeDocument/2006/relationships/hyperlink" Target="http://www.phosphosite.org/proteinAction.do?id=3701941&amp;showAllSites=true" TargetMode="External"/><Relationship Id="rId1366" Type="http://schemas.openxmlformats.org/officeDocument/2006/relationships/hyperlink" Target="http://www.phosphosite.org/proteinAction.do?id=5020686&amp;showAllSites=true" TargetMode="External"/><Relationship Id="rId168" Type="http://schemas.openxmlformats.org/officeDocument/2006/relationships/hyperlink" Target="http://www.phosphosite.org/proteinAction.do?id=2711&amp;showAllSites=true" TargetMode="External"/><Relationship Id="rId943" Type="http://schemas.openxmlformats.org/officeDocument/2006/relationships/hyperlink" Target="http://www.cellsignal.com/products/5398.html" TargetMode="External"/><Relationship Id="rId1019" Type="http://schemas.openxmlformats.org/officeDocument/2006/relationships/hyperlink" Target="http://www.phosphosite.org/proteinAction.do?id=9134&amp;showAllSites=true" TargetMode="External"/><Relationship Id="rId1573" Type="http://schemas.openxmlformats.org/officeDocument/2006/relationships/hyperlink" Target="http://www.phosphosite.org/proteinAction.do?id=1461&amp;showAllSites=true" TargetMode="External"/><Relationship Id="rId1780" Type="http://schemas.openxmlformats.org/officeDocument/2006/relationships/hyperlink" Target="http://www.phosphosite.org/proteinAction.do?id=5812&amp;showAllSites=true" TargetMode="External"/><Relationship Id="rId72" Type="http://schemas.openxmlformats.org/officeDocument/2006/relationships/hyperlink" Target="http://www.cellsignal.com/products/11910.html" TargetMode="External"/><Relationship Id="rId375" Type="http://schemas.openxmlformats.org/officeDocument/2006/relationships/hyperlink" Target="http://www.phosphosite.org/proteinAction.do?id=3722&amp;showAllSites=true" TargetMode="External"/><Relationship Id="rId582" Type="http://schemas.openxmlformats.org/officeDocument/2006/relationships/hyperlink" Target="http://www.phosphosite.org/proteinAction.do?id=3591500&amp;showAllSites=true" TargetMode="External"/><Relationship Id="rId803" Type="http://schemas.openxmlformats.org/officeDocument/2006/relationships/hyperlink" Target="http://www.phosphosite.org/proteinAction.do?id=3701941&amp;showAllSites=true" TargetMode="External"/><Relationship Id="rId1226" Type="http://schemas.openxmlformats.org/officeDocument/2006/relationships/hyperlink" Target="http://www.phosphosite.org/proteinAction.do?id=944&amp;showAllSites=true" TargetMode="External"/><Relationship Id="rId1433" Type="http://schemas.openxmlformats.org/officeDocument/2006/relationships/hyperlink" Target="http://www.phosphosite.org/proteinAction.do?id=1461&amp;showAllSites=true" TargetMode="External"/><Relationship Id="rId1640" Type="http://schemas.openxmlformats.org/officeDocument/2006/relationships/hyperlink" Target="http://www.phosphosite.org/proteinAction.do?id=2612&amp;showAllSites=true" TargetMode="External"/><Relationship Id="rId1738" Type="http://schemas.openxmlformats.org/officeDocument/2006/relationships/hyperlink" Target="http://www.phosphosite.org/proteinAction.do?id=5812&amp;showAllSites=true" TargetMode="External"/><Relationship Id="rId3" Type="http://schemas.openxmlformats.org/officeDocument/2006/relationships/hyperlink" Target="http://www.cellsignal.com/products/2663.html" TargetMode="External"/><Relationship Id="rId235" Type="http://schemas.openxmlformats.org/officeDocument/2006/relationships/hyperlink" Target="http://www.cellsignal.com/products/8444.html" TargetMode="External"/><Relationship Id="rId442" Type="http://schemas.openxmlformats.org/officeDocument/2006/relationships/hyperlink" Target="http://www.phosphosite.org/proteinAction.do?id=1461&amp;showAllSites=true" TargetMode="External"/><Relationship Id="rId887" Type="http://schemas.openxmlformats.org/officeDocument/2006/relationships/hyperlink" Target="http://www.phosphosite.org/proteinAction.do?id=3701941&amp;showAllSites=true" TargetMode="External"/><Relationship Id="rId1072" Type="http://schemas.openxmlformats.org/officeDocument/2006/relationships/hyperlink" Target="http://www.phosphosite.org/proteinAction.do?id=4078&amp;showAllSites=true" TargetMode="External"/><Relationship Id="rId1500" Type="http://schemas.openxmlformats.org/officeDocument/2006/relationships/hyperlink" Target="http://www.phosphosite.org/proteinAction.do?id=1461&amp;showAllSites=true" TargetMode="External"/><Relationship Id="rId302" Type="http://schemas.openxmlformats.org/officeDocument/2006/relationships/hyperlink" Target="http://www.cellsignal.com/products/4548.html" TargetMode="External"/><Relationship Id="rId747" Type="http://schemas.openxmlformats.org/officeDocument/2006/relationships/hyperlink" Target="http://www.phosphosite.org/proteinAction.do?id=5812&amp;showAllSites=true" TargetMode="External"/><Relationship Id="rId954" Type="http://schemas.openxmlformats.org/officeDocument/2006/relationships/hyperlink" Target="http://www.cellsignal.com/products/12323.html" TargetMode="External"/><Relationship Id="rId1377" Type="http://schemas.openxmlformats.org/officeDocument/2006/relationships/hyperlink" Target="http://www.phosphosite.org/proteinAction.do?id=5812&amp;showAllSites=true" TargetMode="External"/><Relationship Id="rId1584" Type="http://schemas.openxmlformats.org/officeDocument/2006/relationships/hyperlink" Target="http://www.phosphosite.org/proteinAction.do?id=1461&amp;showAllSites=true" TargetMode="External"/><Relationship Id="rId1791" Type="http://schemas.openxmlformats.org/officeDocument/2006/relationships/hyperlink" Target="http://www.phosphosite.org/proteinAction.do?id=5812&amp;showAllSites=true" TargetMode="External"/><Relationship Id="rId1805" Type="http://schemas.openxmlformats.org/officeDocument/2006/relationships/hyperlink" Target="http://www.cellsignal.com/products/9744.html" TargetMode="External"/><Relationship Id="rId83" Type="http://schemas.openxmlformats.org/officeDocument/2006/relationships/hyperlink" Target="http://www.cellsignal.com/products/4885.html" TargetMode="External"/><Relationship Id="rId179" Type="http://schemas.openxmlformats.org/officeDocument/2006/relationships/hyperlink" Target="http://www.phosphosite.org/proteinAction.do?id=3276&amp;showAllSites=true" TargetMode="External"/><Relationship Id="rId386" Type="http://schemas.openxmlformats.org/officeDocument/2006/relationships/hyperlink" Target="http://www.cellsignal.com/products/4558.html" TargetMode="External"/><Relationship Id="rId593" Type="http://schemas.openxmlformats.org/officeDocument/2006/relationships/hyperlink" Target="http://www.phosphosite.org/proteinAction.do?id=16019&amp;showAllSites=true" TargetMode="External"/><Relationship Id="rId607" Type="http://schemas.openxmlformats.org/officeDocument/2006/relationships/hyperlink" Target="http://www.phosphosite.org/proteinAction.do?id=4468&amp;showAllSites=true" TargetMode="External"/><Relationship Id="rId814" Type="http://schemas.openxmlformats.org/officeDocument/2006/relationships/hyperlink" Target="http://www.phosphosite.org/proteinAction.do?id=3701941&amp;showAllSites=true" TargetMode="External"/><Relationship Id="rId1237" Type="http://schemas.openxmlformats.org/officeDocument/2006/relationships/hyperlink" Target="http://www.phosphosite.org/proteinAction.do?id=944&amp;showAllSites=true" TargetMode="External"/><Relationship Id="rId1444" Type="http://schemas.openxmlformats.org/officeDocument/2006/relationships/hyperlink" Target="http://www.phosphosite.org/proteinAction.do?id=1461&amp;showAllSites=true" TargetMode="External"/><Relationship Id="rId1651" Type="http://schemas.openxmlformats.org/officeDocument/2006/relationships/hyperlink" Target="http://www.phosphosite.org/proteinAction.do?id=2612&amp;showAllSites=true" TargetMode="External"/><Relationship Id="rId246" Type="http://schemas.openxmlformats.org/officeDocument/2006/relationships/hyperlink" Target="http://www.cellsignal.com/products/2402.html" TargetMode="External"/><Relationship Id="rId453" Type="http://schemas.openxmlformats.org/officeDocument/2006/relationships/hyperlink" Target="http://www.phosphosite.org/proteinAction.do?id=1461&amp;showAllSites=true" TargetMode="External"/><Relationship Id="rId660" Type="http://schemas.openxmlformats.org/officeDocument/2006/relationships/hyperlink" Target="http://www.phosphosite.org/proteinAction.do?id=5812&amp;showAllSites=true" TargetMode="External"/><Relationship Id="rId898" Type="http://schemas.openxmlformats.org/officeDocument/2006/relationships/hyperlink" Target="http://www.phosphosite.org/proteinAction.do?id=3658401&amp;showAllSites=true" TargetMode="External"/><Relationship Id="rId1083" Type="http://schemas.openxmlformats.org/officeDocument/2006/relationships/hyperlink" Target="http://www.phosphosite.org/proteinAction.do?id=3641403&amp;showAllSites=true" TargetMode="External"/><Relationship Id="rId1290" Type="http://schemas.openxmlformats.org/officeDocument/2006/relationships/hyperlink" Target="http://www.phosphosite.org/proteinAction.do?id=3722&amp;showAllSites=true" TargetMode="External"/><Relationship Id="rId1304" Type="http://schemas.openxmlformats.org/officeDocument/2006/relationships/hyperlink" Target="http://www.phosphosite.org/proteinAction.do?id=1461&amp;showAllSites=true" TargetMode="External"/><Relationship Id="rId1511" Type="http://schemas.openxmlformats.org/officeDocument/2006/relationships/hyperlink" Target="http://www.phosphosite.org/proteinAction.do?id=1461&amp;showAllSites=true" TargetMode="External"/><Relationship Id="rId1749" Type="http://schemas.openxmlformats.org/officeDocument/2006/relationships/hyperlink" Target="http://www.phosphosite.org/proteinAction.do?id=5812&amp;showAllSites=true" TargetMode="External"/><Relationship Id="rId106" Type="http://schemas.openxmlformats.org/officeDocument/2006/relationships/hyperlink" Target="http://www.cellsignal.com/products/3057.html" TargetMode="External"/><Relationship Id="rId313" Type="http://schemas.openxmlformats.org/officeDocument/2006/relationships/hyperlink" Target="http://www.cellsignal.com/products/4558.html" TargetMode="External"/><Relationship Id="rId758" Type="http://schemas.openxmlformats.org/officeDocument/2006/relationships/hyperlink" Target="http://www.phosphosite.org/proteinAction.do?id=5812&amp;showAllSites=true" TargetMode="External"/><Relationship Id="rId965" Type="http://schemas.openxmlformats.org/officeDocument/2006/relationships/hyperlink" Target="http://www.phosphosite.org/proteinAction.do?id=3130&amp;showAllSites=true" TargetMode="External"/><Relationship Id="rId1150" Type="http://schemas.openxmlformats.org/officeDocument/2006/relationships/hyperlink" Target="http://www.phosphosite.org/proteinAction.do?id=3701941&amp;showAllSites=true" TargetMode="External"/><Relationship Id="rId1388" Type="http://schemas.openxmlformats.org/officeDocument/2006/relationships/hyperlink" Target="http://www.phosphosite.org/proteinAction.do?id=5812&amp;showAllSites=true" TargetMode="External"/><Relationship Id="rId1595" Type="http://schemas.openxmlformats.org/officeDocument/2006/relationships/hyperlink" Target="http://www.phosphosite.org/proteinAction.do?id=1461&amp;showAllSites=true" TargetMode="External"/><Relationship Id="rId1609" Type="http://schemas.openxmlformats.org/officeDocument/2006/relationships/hyperlink" Target="http://www.phosphosite.org/proteinAction.do?id=1461&amp;showAllSites=true" TargetMode="External"/><Relationship Id="rId1816" Type="http://schemas.openxmlformats.org/officeDocument/2006/relationships/hyperlink" Target="http://www.cellsignal.com/products/3469.html" TargetMode="External"/><Relationship Id="rId10" Type="http://schemas.openxmlformats.org/officeDocument/2006/relationships/hyperlink" Target="http://www.cellsignal.com/products/4529.html" TargetMode="External"/><Relationship Id="rId94" Type="http://schemas.openxmlformats.org/officeDocument/2006/relationships/hyperlink" Target="http://www.cellsignal.com/products/4548.html" TargetMode="External"/><Relationship Id="rId397" Type="http://schemas.openxmlformats.org/officeDocument/2006/relationships/hyperlink" Target="http://www.phosphosite.org/proteinAction.do?id=1461&amp;showAllSites=true" TargetMode="External"/><Relationship Id="rId520" Type="http://schemas.openxmlformats.org/officeDocument/2006/relationships/hyperlink" Target="http://www.phosphosite.org/proteinAction.do?id=27269101&amp;showAllSites=true" TargetMode="External"/><Relationship Id="rId618" Type="http://schemas.openxmlformats.org/officeDocument/2006/relationships/hyperlink" Target="http://www.phosphosite.org/proteinAction.do?id=22920001&amp;showAllSites=true" TargetMode="External"/><Relationship Id="rId825" Type="http://schemas.openxmlformats.org/officeDocument/2006/relationships/hyperlink" Target="http://www.phosphosite.org/proteinAction.do?id=3701941&amp;showAllSites=true" TargetMode="External"/><Relationship Id="rId1248" Type="http://schemas.openxmlformats.org/officeDocument/2006/relationships/hyperlink" Target="http://www.phosphosite.org/proteinAction.do?id=944&amp;showAllSites=true" TargetMode="External"/><Relationship Id="rId1455" Type="http://schemas.openxmlformats.org/officeDocument/2006/relationships/hyperlink" Target="http://www.phosphosite.org/proteinAction.do?id=1461&amp;showAllSites=true" TargetMode="External"/><Relationship Id="rId1662" Type="http://schemas.openxmlformats.org/officeDocument/2006/relationships/hyperlink" Target="http://www.phosphosite.org/proteinAction.do?id=5812&amp;showAllSites=true" TargetMode="External"/><Relationship Id="rId257" Type="http://schemas.openxmlformats.org/officeDocument/2006/relationships/hyperlink" Target="http://www.cellsignal.com/products/5332.html" TargetMode="External"/><Relationship Id="rId464" Type="http://schemas.openxmlformats.org/officeDocument/2006/relationships/hyperlink" Target="http://www.phosphosite.org/proteinAction.do?id=1461&amp;showAllSites=true" TargetMode="External"/><Relationship Id="rId1010" Type="http://schemas.openxmlformats.org/officeDocument/2006/relationships/hyperlink" Target="http://www.cellsignal.com/products/4995.html" TargetMode="External"/><Relationship Id="rId1094" Type="http://schemas.openxmlformats.org/officeDocument/2006/relationships/hyperlink" Target="http://www.phosphosite.org/proteinAction.do?id=22920001&amp;showAllSites=true" TargetMode="External"/><Relationship Id="rId1108" Type="http://schemas.openxmlformats.org/officeDocument/2006/relationships/hyperlink" Target="http://www.cellsignal.com/products/7668.html" TargetMode="External"/><Relationship Id="rId1315" Type="http://schemas.openxmlformats.org/officeDocument/2006/relationships/hyperlink" Target="http://www.phosphosite.org/proteinAction.do?id=1461&amp;showAllSites=true" TargetMode="External"/><Relationship Id="rId117" Type="http://schemas.openxmlformats.org/officeDocument/2006/relationships/hyperlink" Target="http://www.cellsignal.com/products/4885.html" TargetMode="External"/><Relationship Id="rId671" Type="http://schemas.openxmlformats.org/officeDocument/2006/relationships/hyperlink" Target="http://www.phosphosite.org/proteinAction.do?id=5812&amp;showAllSites=true" TargetMode="External"/><Relationship Id="rId769" Type="http://schemas.openxmlformats.org/officeDocument/2006/relationships/hyperlink" Target="http://www.phosphosite.org/proteinAction.do?id=5362100&amp;showAllSites=true" TargetMode="External"/><Relationship Id="rId976" Type="http://schemas.openxmlformats.org/officeDocument/2006/relationships/hyperlink" Target="http://www.phosphosite.org/proteinAction.do?id=3130&amp;showAllSites=true" TargetMode="External"/><Relationship Id="rId1399" Type="http://schemas.openxmlformats.org/officeDocument/2006/relationships/hyperlink" Target="http://www.phosphosite.org/proteinAction.do?id=3701941&amp;showAllSites=true" TargetMode="External"/><Relationship Id="rId324" Type="http://schemas.openxmlformats.org/officeDocument/2006/relationships/hyperlink" Target="http://www.cellsignal.com/products/4558.html" TargetMode="External"/><Relationship Id="rId531" Type="http://schemas.openxmlformats.org/officeDocument/2006/relationships/hyperlink" Target="http://www.phosphosite.org/proteinAction.do?id=4078&amp;showAllSites=true" TargetMode="External"/><Relationship Id="rId629" Type="http://schemas.openxmlformats.org/officeDocument/2006/relationships/hyperlink" Target="http://www.phosphosite.org/proteinAction.do?id=2612&amp;showAllSites=true" TargetMode="External"/><Relationship Id="rId1161" Type="http://schemas.openxmlformats.org/officeDocument/2006/relationships/hyperlink" Target="http://www.phosphosite.org/proteinAction.do?id=3701941&amp;showAllSites=true" TargetMode="External"/><Relationship Id="rId1259" Type="http://schemas.openxmlformats.org/officeDocument/2006/relationships/hyperlink" Target="http://www.phosphosite.org/proteinAction.do?id=944&amp;showAllSites=true" TargetMode="External"/><Relationship Id="rId1466" Type="http://schemas.openxmlformats.org/officeDocument/2006/relationships/hyperlink" Target="http://www.phosphosite.org/proteinAction.do?id=1461&amp;showAllSites=true" TargetMode="External"/><Relationship Id="rId836" Type="http://schemas.openxmlformats.org/officeDocument/2006/relationships/hyperlink" Target="http://www.phosphosite.org/proteinAction.do?id=3701941&amp;showAllSites=true" TargetMode="External"/><Relationship Id="rId1021" Type="http://schemas.openxmlformats.org/officeDocument/2006/relationships/hyperlink" Target="http://www.cellsignal.com/products/2402.html" TargetMode="External"/><Relationship Id="rId1119" Type="http://schemas.openxmlformats.org/officeDocument/2006/relationships/hyperlink" Target="http://www.phosphosite.org/proteinAction.do?id=5812&amp;showAllSites=true" TargetMode="External"/><Relationship Id="rId1673" Type="http://schemas.openxmlformats.org/officeDocument/2006/relationships/hyperlink" Target="http://www.phosphosite.org/proteinAction.do?id=5812&amp;showAllSites=true" TargetMode="External"/><Relationship Id="rId903" Type="http://schemas.openxmlformats.org/officeDocument/2006/relationships/hyperlink" Target="http://www.phosphosite.org/proteinAction.do?id=6250&amp;showAllSites=true" TargetMode="External"/><Relationship Id="rId1326" Type="http://schemas.openxmlformats.org/officeDocument/2006/relationships/hyperlink" Target="http://www.phosphosite.org/proteinAction.do?id=15331700&amp;showAllSites=true" TargetMode="External"/><Relationship Id="rId1533" Type="http://schemas.openxmlformats.org/officeDocument/2006/relationships/hyperlink" Target="http://www.phosphosite.org/proteinAction.do?id=1461&amp;showAllSites=true" TargetMode="External"/><Relationship Id="rId1740" Type="http://schemas.openxmlformats.org/officeDocument/2006/relationships/hyperlink" Target="http://www.phosphosite.org/proteinAction.do?id=5812&amp;showAllSites=true" TargetMode="External"/><Relationship Id="rId32" Type="http://schemas.openxmlformats.org/officeDocument/2006/relationships/hyperlink" Target="http://www.cellsignal.com/products/9152.html" TargetMode="External"/><Relationship Id="rId1600" Type="http://schemas.openxmlformats.org/officeDocument/2006/relationships/hyperlink" Target="http://www.phosphosite.org/proteinAction.do?id=1461&amp;showAllSites=true" TargetMode="External"/><Relationship Id="rId1838" Type="http://schemas.openxmlformats.org/officeDocument/2006/relationships/hyperlink" Target="http://www.phosphosite.org/proteinAction.do?id=1461&amp;showAllSites=true" TargetMode="External"/><Relationship Id="rId181" Type="http://schemas.openxmlformats.org/officeDocument/2006/relationships/hyperlink" Target="http://www.phosphosite.org/proteinAction.do?id=3276&amp;showAllSites=true" TargetMode="External"/><Relationship Id="rId279" Type="http://schemas.openxmlformats.org/officeDocument/2006/relationships/hyperlink" Target="http://www.cellsignal.com/products/4548.html" TargetMode="External"/><Relationship Id="rId486" Type="http://schemas.openxmlformats.org/officeDocument/2006/relationships/hyperlink" Target="http://www.phosphosite.org/proteinAction.do?id=1461&amp;showAllSites=true" TargetMode="External"/><Relationship Id="rId693" Type="http://schemas.openxmlformats.org/officeDocument/2006/relationships/hyperlink" Target="http://www.phosphosite.org/proteinAction.do?id=5812&amp;showAllSites=true" TargetMode="External"/><Relationship Id="rId139" Type="http://schemas.openxmlformats.org/officeDocument/2006/relationships/hyperlink" Target="http://www.phosphosite.org/proteinAction.do?id=12369&amp;showAllSites=true" TargetMode="External"/><Relationship Id="rId346" Type="http://schemas.openxmlformats.org/officeDocument/2006/relationships/hyperlink" Target="http://www.cellsignal.com/products/4558.html" TargetMode="External"/><Relationship Id="rId553" Type="http://schemas.openxmlformats.org/officeDocument/2006/relationships/hyperlink" Target="http://www.phosphosite.org/proteinAction.do?id=15331700&amp;showAllSites=true" TargetMode="External"/><Relationship Id="rId760" Type="http://schemas.openxmlformats.org/officeDocument/2006/relationships/hyperlink" Target="http://www.phosphosite.org/proteinAction.do?id=7056&amp;showAllSites=true" TargetMode="External"/><Relationship Id="rId998" Type="http://schemas.openxmlformats.org/officeDocument/2006/relationships/hyperlink" Target="http://www.phosphosite.org/proteinAction.do?id=5758&amp;showAllSites=true" TargetMode="External"/><Relationship Id="rId1183" Type="http://schemas.openxmlformats.org/officeDocument/2006/relationships/hyperlink" Target="http://www.cellsignal.com/products/5398.html" TargetMode="External"/><Relationship Id="rId1390" Type="http://schemas.openxmlformats.org/officeDocument/2006/relationships/hyperlink" Target="http://www.phosphosite.org/proteinAction.do?id=3701941&amp;showAllSites=true" TargetMode="External"/><Relationship Id="rId206" Type="http://schemas.openxmlformats.org/officeDocument/2006/relationships/hyperlink" Target="http://www.phosphosite.org/proteinAction.do?id=22736621&amp;showAllSites=true" TargetMode="External"/><Relationship Id="rId413" Type="http://schemas.openxmlformats.org/officeDocument/2006/relationships/hyperlink" Target="http://www.phosphosite.org/proteinAction.do?id=1461&amp;showAllSites=true" TargetMode="External"/><Relationship Id="rId858" Type="http://schemas.openxmlformats.org/officeDocument/2006/relationships/hyperlink" Target="http://www.phosphosite.org/proteinAction.do?id=3701941&amp;showAllSites=true" TargetMode="External"/><Relationship Id="rId1043" Type="http://schemas.openxmlformats.org/officeDocument/2006/relationships/hyperlink" Target="http://www.phosphosite.org/proteinAction.do?id=1461&amp;showAllSites=true" TargetMode="External"/><Relationship Id="rId1488" Type="http://schemas.openxmlformats.org/officeDocument/2006/relationships/hyperlink" Target="http://www.phosphosite.org/proteinAction.do?id=1461&amp;showAllSites=true" TargetMode="External"/><Relationship Id="rId1695" Type="http://schemas.openxmlformats.org/officeDocument/2006/relationships/hyperlink" Target="http://www.phosphosite.org/proteinAction.do?id=5812&amp;showAllSites=true" TargetMode="External"/><Relationship Id="rId620" Type="http://schemas.openxmlformats.org/officeDocument/2006/relationships/hyperlink" Target="http://www.phosphosite.org/proteinAction.do?id=22920001&amp;showAllSites=true" TargetMode="External"/><Relationship Id="rId718" Type="http://schemas.openxmlformats.org/officeDocument/2006/relationships/hyperlink" Target="http://www.phosphosite.org/proteinAction.do?id=5812&amp;showAllSites=true" TargetMode="External"/><Relationship Id="rId925" Type="http://schemas.openxmlformats.org/officeDocument/2006/relationships/hyperlink" Target="http://www.cellsignal.com/products/5398.html" TargetMode="External"/><Relationship Id="rId1250" Type="http://schemas.openxmlformats.org/officeDocument/2006/relationships/hyperlink" Target="http://www.phosphosite.org/proteinAction.do?id=944&amp;showAllSites=true" TargetMode="External"/><Relationship Id="rId1348" Type="http://schemas.openxmlformats.org/officeDocument/2006/relationships/hyperlink" Target="http://www.phosphosite.org/proteinAction.do?id=17074&amp;showAllSites=true" TargetMode="External"/><Relationship Id="rId1555" Type="http://schemas.openxmlformats.org/officeDocument/2006/relationships/hyperlink" Target="http://www.phosphosite.org/proteinAction.do?id=1461&amp;showAllSites=true" TargetMode="External"/><Relationship Id="rId1762" Type="http://schemas.openxmlformats.org/officeDocument/2006/relationships/hyperlink" Target="http://www.phosphosite.org/proteinAction.do?id=5812&amp;showAllSites=true" TargetMode="External"/><Relationship Id="rId1110" Type="http://schemas.openxmlformats.org/officeDocument/2006/relationships/hyperlink" Target="http://www.phosphosite.org/proteinAction.do?id=2612&amp;showAllSites=true" TargetMode="External"/><Relationship Id="rId1208" Type="http://schemas.openxmlformats.org/officeDocument/2006/relationships/hyperlink" Target="http://www.phosphosite.org/proteinAction.do?id=944&amp;showAllSites=true" TargetMode="External"/><Relationship Id="rId1415" Type="http://schemas.openxmlformats.org/officeDocument/2006/relationships/hyperlink" Target="http://www.cellsignal.com/products/8192.html" TargetMode="External"/><Relationship Id="rId54" Type="http://schemas.openxmlformats.org/officeDocument/2006/relationships/hyperlink" Target="http://www.cellsignal.com/products/9053.html" TargetMode="External"/><Relationship Id="rId1622" Type="http://schemas.openxmlformats.org/officeDocument/2006/relationships/hyperlink" Target="http://www.phosphosite.org/proteinAction.do?id=22920001&amp;showAllSites=true" TargetMode="External"/><Relationship Id="rId270" Type="http://schemas.openxmlformats.org/officeDocument/2006/relationships/hyperlink" Target="http://www.cellsignal.com/products/4548.html" TargetMode="External"/><Relationship Id="rId130" Type="http://schemas.openxmlformats.org/officeDocument/2006/relationships/hyperlink" Target="http://www.cellsignal.com/products/4885.html" TargetMode="External"/><Relationship Id="rId368" Type="http://schemas.openxmlformats.org/officeDocument/2006/relationships/hyperlink" Target="http://www.cellsignal.com/products/4558.html" TargetMode="External"/><Relationship Id="rId575" Type="http://schemas.openxmlformats.org/officeDocument/2006/relationships/hyperlink" Target="http://www.phosphosite.org/proteinAction.do?id=24738&amp;showAllSites=true" TargetMode="External"/><Relationship Id="rId782" Type="http://schemas.openxmlformats.org/officeDocument/2006/relationships/hyperlink" Target="http://www.phosphosite.org/proteinAction.do?id=3117&amp;showAllSites=true" TargetMode="External"/><Relationship Id="rId228" Type="http://schemas.openxmlformats.org/officeDocument/2006/relationships/hyperlink" Target="http://www.phosphosite.org/proteinAction.do?id=4627&amp;showAllSites=true" TargetMode="External"/><Relationship Id="rId435" Type="http://schemas.openxmlformats.org/officeDocument/2006/relationships/hyperlink" Target="http://www.phosphosite.org/proteinAction.do?id=1461&amp;showAllSites=true" TargetMode="External"/><Relationship Id="rId642" Type="http://schemas.openxmlformats.org/officeDocument/2006/relationships/hyperlink" Target="http://www.cellsignal.com/products/7668.html" TargetMode="External"/><Relationship Id="rId1065" Type="http://schemas.openxmlformats.org/officeDocument/2006/relationships/hyperlink" Target="http://www.phosphosite.org/proteinAction.do?id=2618&amp;showAllSites=true" TargetMode="External"/><Relationship Id="rId1272" Type="http://schemas.openxmlformats.org/officeDocument/2006/relationships/hyperlink" Target="http://www.phosphosite.org/proteinAction.do?id=944&amp;showAllSites=true" TargetMode="External"/><Relationship Id="rId502" Type="http://schemas.openxmlformats.org/officeDocument/2006/relationships/hyperlink" Target="http://www.phosphosite.org/proteinAction.do?id=25269601&amp;showAllSites=true" TargetMode="External"/><Relationship Id="rId947" Type="http://schemas.openxmlformats.org/officeDocument/2006/relationships/hyperlink" Target="http://www.phosphosite.org/proteinAction.do?id=22960601&amp;showAllSites=true" TargetMode="External"/><Relationship Id="rId1132" Type="http://schemas.openxmlformats.org/officeDocument/2006/relationships/hyperlink" Target="http://www.phosphosite.org/proteinAction.do?id=5812&amp;showAllSites=true" TargetMode="External"/><Relationship Id="rId1577" Type="http://schemas.openxmlformats.org/officeDocument/2006/relationships/hyperlink" Target="http://www.phosphosite.org/proteinAction.do?id=1461&amp;showAllSites=true" TargetMode="External"/><Relationship Id="rId1784" Type="http://schemas.openxmlformats.org/officeDocument/2006/relationships/hyperlink" Target="http://www.phosphosite.org/proteinAction.do?id=5812&amp;showAllSites=true" TargetMode="External"/><Relationship Id="rId76" Type="http://schemas.openxmlformats.org/officeDocument/2006/relationships/hyperlink" Target="http://www.cellsignal.com/products/11910.html" TargetMode="External"/><Relationship Id="rId807" Type="http://schemas.openxmlformats.org/officeDocument/2006/relationships/hyperlink" Target="http://www.phosphosite.org/proteinAction.do?id=3701941&amp;showAllSites=true" TargetMode="External"/><Relationship Id="rId1437" Type="http://schemas.openxmlformats.org/officeDocument/2006/relationships/hyperlink" Target="http://www.phosphosite.org/proteinAction.do?id=1461&amp;showAllSites=true" TargetMode="External"/><Relationship Id="rId1644" Type="http://schemas.openxmlformats.org/officeDocument/2006/relationships/hyperlink" Target="http://www.phosphosite.org/proteinAction.do?id=2612&amp;showAllSites=true" TargetMode="External"/><Relationship Id="rId1851" Type="http://schemas.openxmlformats.org/officeDocument/2006/relationships/hyperlink" Target="http://www.phosphosite.org/proteinAction.do?id=3701941&amp;showAllSites=true" TargetMode="External"/><Relationship Id="rId1504" Type="http://schemas.openxmlformats.org/officeDocument/2006/relationships/hyperlink" Target="http://www.phosphosite.org/proteinAction.do?id=1461&amp;showAllSites=true" TargetMode="External"/><Relationship Id="rId1711" Type="http://schemas.openxmlformats.org/officeDocument/2006/relationships/hyperlink" Target="http://www.phosphosite.org/proteinAction.do?id=5812&amp;showAllSites=true" TargetMode="External"/><Relationship Id="rId292" Type="http://schemas.openxmlformats.org/officeDocument/2006/relationships/hyperlink" Target="http://www.cellsignal.com/products/4548.html" TargetMode="External"/><Relationship Id="rId1809" Type="http://schemas.openxmlformats.org/officeDocument/2006/relationships/hyperlink" Target="http://www.cellsignal.com/products/9744.html" TargetMode="External"/><Relationship Id="rId597" Type="http://schemas.openxmlformats.org/officeDocument/2006/relationships/hyperlink" Target="http://www.phosphosite.org/proteinAction.do?id=16019&amp;showAllSites=true" TargetMode="External"/><Relationship Id="rId152" Type="http://schemas.openxmlformats.org/officeDocument/2006/relationships/hyperlink" Target="http://www.phosphosite.org/proteinAction.do?id=5758&amp;showAllSites=true" TargetMode="External"/><Relationship Id="rId457" Type="http://schemas.openxmlformats.org/officeDocument/2006/relationships/hyperlink" Target="http://www.phosphosite.org/proteinAction.do?id=1461&amp;showAllSites=true" TargetMode="External"/><Relationship Id="rId1087" Type="http://schemas.openxmlformats.org/officeDocument/2006/relationships/hyperlink" Target="http://www.phosphosite.org/proteinAction.do?id=24738&amp;showAllSites=true" TargetMode="External"/><Relationship Id="rId1294" Type="http://schemas.openxmlformats.org/officeDocument/2006/relationships/hyperlink" Target="http://www.phosphosite.org/proteinAction.do?id=3722&amp;showAllSites=true" TargetMode="External"/><Relationship Id="rId664" Type="http://schemas.openxmlformats.org/officeDocument/2006/relationships/hyperlink" Target="http://www.phosphosite.org/proteinAction.do?id=5812&amp;showAllSites=true" TargetMode="External"/><Relationship Id="rId871" Type="http://schemas.openxmlformats.org/officeDocument/2006/relationships/hyperlink" Target="http://www.phosphosite.org/proteinAction.do?id=3701941&amp;showAllSites=true" TargetMode="External"/><Relationship Id="rId969" Type="http://schemas.openxmlformats.org/officeDocument/2006/relationships/hyperlink" Target="http://www.phosphosite.org/proteinAction.do?id=3130&amp;showAllSites=true" TargetMode="External"/><Relationship Id="rId1599" Type="http://schemas.openxmlformats.org/officeDocument/2006/relationships/hyperlink" Target="http://www.phosphosite.org/proteinAction.do?id=1461&amp;showAllSites=true" TargetMode="External"/><Relationship Id="rId317" Type="http://schemas.openxmlformats.org/officeDocument/2006/relationships/hyperlink" Target="http://www.cellsignal.com/products/4558.html" TargetMode="External"/><Relationship Id="rId524" Type="http://schemas.openxmlformats.org/officeDocument/2006/relationships/hyperlink" Target="http://www.phosphosite.org/proteinAction.do?id=14276&amp;showAllSites=true" TargetMode="External"/><Relationship Id="rId731" Type="http://schemas.openxmlformats.org/officeDocument/2006/relationships/hyperlink" Target="http://www.phosphosite.org/proteinAction.do?id=5812&amp;showAllSites=true" TargetMode="External"/><Relationship Id="rId1154" Type="http://schemas.openxmlformats.org/officeDocument/2006/relationships/hyperlink" Target="http://www.phosphosite.org/proteinAction.do?id=3701941&amp;showAllSites=true" TargetMode="External"/><Relationship Id="rId1361" Type="http://schemas.openxmlformats.org/officeDocument/2006/relationships/hyperlink" Target="http://www.phosphosite.org/proteinAction.do?id=14151000&amp;showAllSites=true" TargetMode="External"/><Relationship Id="rId1459" Type="http://schemas.openxmlformats.org/officeDocument/2006/relationships/hyperlink" Target="http://www.phosphosite.org/proteinAction.do?id=1461&amp;showAllSites=true" TargetMode="External"/><Relationship Id="rId98" Type="http://schemas.openxmlformats.org/officeDocument/2006/relationships/hyperlink" Target="http://www.cellsignal.com/products/12317.html" TargetMode="External"/><Relationship Id="rId829" Type="http://schemas.openxmlformats.org/officeDocument/2006/relationships/hyperlink" Target="http://www.phosphosite.org/proteinAction.do?id=3701941&amp;showAllSites=true" TargetMode="External"/><Relationship Id="rId1014" Type="http://schemas.openxmlformats.org/officeDocument/2006/relationships/hyperlink" Target="http://www.phosphosite.org/proteinAction.do?id=9134&amp;showAllSites=true" TargetMode="External"/><Relationship Id="rId1221" Type="http://schemas.openxmlformats.org/officeDocument/2006/relationships/hyperlink" Target="http://www.phosphosite.org/proteinAction.do?id=944&amp;showAllSites=true" TargetMode="External"/><Relationship Id="rId1666" Type="http://schemas.openxmlformats.org/officeDocument/2006/relationships/hyperlink" Target="http://www.phosphosite.org/proteinAction.do?id=5812&amp;showAllSites=true" TargetMode="External"/><Relationship Id="rId1873" Type="http://schemas.openxmlformats.org/officeDocument/2006/relationships/hyperlink" Target="http://www.phosphosite.org/proteinAction.do?id=1461&amp;showAllSites=true" TargetMode="External"/><Relationship Id="rId1319" Type="http://schemas.openxmlformats.org/officeDocument/2006/relationships/hyperlink" Target="http://www.phosphosite.org/proteinAction.do?id=15331700&amp;showAllSites=true" TargetMode="External"/><Relationship Id="rId1526" Type="http://schemas.openxmlformats.org/officeDocument/2006/relationships/hyperlink" Target="http://www.phosphosite.org/proteinAction.do?id=1461&amp;showAllSites=true" TargetMode="External"/><Relationship Id="rId1733" Type="http://schemas.openxmlformats.org/officeDocument/2006/relationships/hyperlink" Target="http://www.phosphosite.org/proteinAction.do?id=5812&amp;showAllSites=true" TargetMode="External"/><Relationship Id="rId25" Type="http://schemas.openxmlformats.org/officeDocument/2006/relationships/hyperlink" Target="http://www.cellsignal.com/products/5765.html" TargetMode="External"/><Relationship Id="rId1800" Type="http://schemas.openxmlformats.org/officeDocument/2006/relationships/hyperlink" Target="http://www.phosphosite.org/proteinAction.do?id=3658401&amp;showAllSites=true" TargetMode="External"/><Relationship Id="rId174" Type="http://schemas.openxmlformats.org/officeDocument/2006/relationships/hyperlink" Target="http://www.phosphosite.org/proteinAction.do?id=8386&amp;showAllSites=true" TargetMode="External"/><Relationship Id="rId381" Type="http://schemas.openxmlformats.org/officeDocument/2006/relationships/hyperlink" Target="http://www.phosphosite.org/proteinAction.do?id=3722&amp;showAllSites=true" TargetMode="External"/><Relationship Id="rId241" Type="http://schemas.openxmlformats.org/officeDocument/2006/relationships/hyperlink" Target="http://www.cellsignal.com/products/8444.html" TargetMode="External"/><Relationship Id="rId479" Type="http://schemas.openxmlformats.org/officeDocument/2006/relationships/hyperlink" Target="http://www.phosphosite.org/proteinAction.do?id=1461&amp;showAllSites=true" TargetMode="External"/><Relationship Id="rId686" Type="http://schemas.openxmlformats.org/officeDocument/2006/relationships/hyperlink" Target="http://www.phosphosite.org/proteinAction.do?id=5812&amp;showAllSites=true" TargetMode="External"/><Relationship Id="rId893" Type="http://schemas.openxmlformats.org/officeDocument/2006/relationships/hyperlink" Target="http://www.phosphosite.org/proteinAction.do?id=3701941&amp;showAllSites=true" TargetMode="External"/><Relationship Id="rId339" Type="http://schemas.openxmlformats.org/officeDocument/2006/relationships/hyperlink" Target="http://www.cellsignal.com/products/4558.html" TargetMode="External"/><Relationship Id="rId546" Type="http://schemas.openxmlformats.org/officeDocument/2006/relationships/hyperlink" Target="http://www.phosphosite.org/proteinAction.do?id=6330&amp;showAllSites=true" TargetMode="External"/><Relationship Id="rId753" Type="http://schemas.openxmlformats.org/officeDocument/2006/relationships/hyperlink" Target="http://www.phosphosite.org/proteinAction.do?id=5812&amp;showAllSites=true" TargetMode="External"/><Relationship Id="rId1176" Type="http://schemas.openxmlformats.org/officeDocument/2006/relationships/hyperlink" Target="http://www.phosphosite.org/proteinAction.do?id=3658401&amp;showAllSites=true" TargetMode="External"/><Relationship Id="rId1383" Type="http://schemas.openxmlformats.org/officeDocument/2006/relationships/hyperlink" Target="http://www.phosphosite.org/proteinAction.do?id=5812&amp;showAllSites=true" TargetMode="External"/><Relationship Id="rId101" Type="http://schemas.openxmlformats.org/officeDocument/2006/relationships/hyperlink" Target="http://www.cellsignal.com/products/12317.html" TargetMode="External"/><Relationship Id="rId406" Type="http://schemas.openxmlformats.org/officeDocument/2006/relationships/hyperlink" Target="http://www.phosphosite.org/proteinAction.do?id=1461&amp;showAllSites=true" TargetMode="External"/><Relationship Id="rId960" Type="http://schemas.openxmlformats.org/officeDocument/2006/relationships/hyperlink" Target="http://www.phosphosite.org/proteinAction.do?id=2653008&amp;showAllSites=true" TargetMode="External"/><Relationship Id="rId1036" Type="http://schemas.openxmlformats.org/officeDocument/2006/relationships/hyperlink" Target="http://www.cellsignal.com/products/4558.html" TargetMode="External"/><Relationship Id="rId1243" Type="http://schemas.openxmlformats.org/officeDocument/2006/relationships/hyperlink" Target="http://www.phosphosite.org/proteinAction.do?id=944&amp;showAllSites=true" TargetMode="External"/><Relationship Id="rId1590" Type="http://schemas.openxmlformats.org/officeDocument/2006/relationships/hyperlink" Target="http://www.phosphosite.org/proteinAction.do?id=1461&amp;showAllSites=true" TargetMode="External"/><Relationship Id="rId1688" Type="http://schemas.openxmlformats.org/officeDocument/2006/relationships/hyperlink" Target="http://www.phosphosite.org/proteinAction.do?id=5812&amp;showAllSites=true" TargetMode="External"/><Relationship Id="rId613" Type="http://schemas.openxmlformats.org/officeDocument/2006/relationships/hyperlink" Target="http://www.phosphosite.org/proteinAction.do?id=22920001&amp;showAllSites=true" TargetMode="External"/><Relationship Id="rId820" Type="http://schemas.openxmlformats.org/officeDocument/2006/relationships/hyperlink" Target="http://www.phosphosite.org/proteinAction.do?id=3701941&amp;showAllSites=true" TargetMode="External"/><Relationship Id="rId918" Type="http://schemas.openxmlformats.org/officeDocument/2006/relationships/hyperlink" Target="http://www.phosphosite.org/proteinAction.do?id=9462&amp;showAllSites=true" TargetMode="External"/><Relationship Id="rId1450" Type="http://schemas.openxmlformats.org/officeDocument/2006/relationships/hyperlink" Target="http://www.phosphosite.org/proteinAction.do?id=1461&amp;showAllSites=true" TargetMode="External"/><Relationship Id="rId1548" Type="http://schemas.openxmlformats.org/officeDocument/2006/relationships/hyperlink" Target="http://www.phosphosite.org/proteinAction.do?id=1461&amp;showAllSites=true" TargetMode="External"/><Relationship Id="rId1755" Type="http://schemas.openxmlformats.org/officeDocument/2006/relationships/hyperlink" Target="http://www.phosphosite.org/proteinAction.do?id=5812&amp;showAllSites=true" TargetMode="External"/><Relationship Id="rId1103" Type="http://schemas.openxmlformats.org/officeDocument/2006/relationships/hyperlink" Target="http://www.cellsignal.com/products/8443.html" TargetMode="External"/><Relationship Id="rId1310" Type="http://schemas.openxmlformats.org/officeDocument/2006/relationships/hyperlink" Target="http://www.phosphosite.org/proteinAction.do?id=1461&amp;showAllSites=true" TargetMode="External"/><Relationship Id="rId1408" Type="http://schemas.openxmlformats.org/officeDocument/2006/relationships/hyperlink" Target="http://www.phosphosite.org/proteinAction.do?id=9462&amp;showAllSites=true" TargetMode="External"/><Relationship Id="rId47" Type="http://schemas.openxmlformats.org/officeDocument/2006/relationships/hyperlink" Target="http://www.cellsignal.com/products/4885.html" TargetMode="External"/><Relationship Id="rId1615" Type="http://schemas.openxmlformats.org/officeDocument/2006/relationships/hyperlink" Target="http://www.phosphosite.org/proteinAction.do?id=4078&amp;showAllSites=true" TargetMode="External"/><Relationship Id="rId1822" Type="http://schemas.openxmlformats.org/officeDocument/2006/relationships/hyperlink" Target="http://www.cellsignal.com/products/3469.html" TargetMode="External"/><Relationship Id="rId196" Type="http://schemas.openxmlformats.org/officeDocument/2006/relationships/hyperlink" Target="http://www.phosphosite.org/proteinAction.do?id=1066&amp;showAllSites=true" TargetMode="External"/><Relationship Id="rId263" Type="http://schemas.openxmlformats.org/officeDocument/2006/relationships/hyperlink" Target="http://www.cellsignal.com/products/4548.html" TargetMode="External"/><Relationship Id="rId470" Type="http://schemas.openxmlformats.org/officeDocument/2006/relationships/hyperlink" Target="http://www.phosphosite.org/proteinAction.do?id=1461&amp;showAllSites=true" TargetMode="External"/><Relationship Id="rId123" Type="http://schemas.openxmlformats.org/officeDocument/2006/relationships/hyperlink" Target="http://www.cellsignal.com/products/4885.html" TargetMode="External"/><Relationship Id="rId330" Type="http://schemas.openxmlformats.org/officeDocument/2006/relationships/hyperlink" Target="http://www.cellsignal.com/products/4558.html" TargetMode="External"/><Relationship Id="rId568" Type="http://schemas.openxmlformats.org/officeDocument/2006/relationships/hyperlink" Target="http://www.phosphosite.org/proteinAction.do?id=17074&amp;showAllSites=true" TargetMode="External"/><Relationship Id="rId775" Type="http://schemas.openxmlformats.org/officeDocument/2006/relationships/hyperlink" Target="http://www.phosphosite.org/proteinAction.do?id=5362100&amp;showAllSites=true" TargetMode="External"/><Relationship Id="rId982" Type="http://schemas.openxmlformats.org/officeDocument/2006/relationships/hyperlink" Target="http://www.phosphosite.org/proteinAction.do?id=27269108&amp;showAllSites=true" TargetMode="External"/><Relationship Id="rId1198" Type="http://schemas.openxmlformats.org/officeDocument/2006/relationships/hyperlink" Target="http://www.phosphosite.org/proteinAction.do?id=3130&amp;showAllSites=true" TargetMode="External"/><Relationship Id="rId428" Type="http://schemas.openxmlformats.org/officeDocument/2006/relationships/hyperlink" Target="http://www.phosphosite.org/proteinAction.do?id=1461&amp;showAllSites=true" TargetMode="External"/><Relationship Id="rId635" Type="http://schemas.openxmlformats.org/officeDocument/2006/relationships/hyperlink" Target="http://www.phosphosite.org/proteinAction.do?id=2612&amp;showAllSites=true" TargetMode="External"/><Relationship Id="rId842" Type="http://schemas.openxmlformats.org/officeDocument/2006/relationships/hyperlink" Target="http://www.phosphosite.org/proteinAction.do?id=3701941&amp;showAllSites=true" TargetMode="External"/><Relationship Id="rId1058" Type="http://schemas.openxmlformats.org/officeDocument/2006/relationships/hyperlink" Target="http://www.phosphosite.org/proteinAction.do?id=1461&amp;showAllSites=true" TargetMode="External"/><Relationship Id="rId1265" Type="http://schemas.openxmlformats.org/officeDocument/2006/relationships/hyperlink" Target="http://www.phosphosite.org/proteinAction.do?id=944&amp;showAllSites=true" TargetMode="External"/><Relationship Id="rId1472" Type="http://schemas.openxmlformats.org/officeDocument/2006/relationships/hyperlink" Target="http://www.phosphosite.org/proteinAction.do?id=1461&amp;showAllSites=true" TargetMode="External"/><Relationship Id="rId702" Type="http://schemas.openxmlformats.org/officeDocument/2006/relationships/hyperlink" Target="http://www.phosphosite.org/proteinAction.do?id=5812&amp;showAllSites=true" TargetMode="External"/><Relationship Id="rId1125" Type="http://schemas.openxmlformats.org/officeDocument/2006/relationships/hyperlink" Target="http://www.phosphosite.org/proteinAction.do?id=5812&amp;showAllSites=true" TargetMode="External"/><Relationship Id="rId1332" Type="http://schemas.openxmlformats.org/officeDocument/2006/relationships/hyperlink" Target="http://www.phosphosite.org/proteinAction.do?id=15331700&amp;showAllSites=true" TargetMode="External"/><Relationship Id="rId1777" Type="http://schemas.openxmlformats.org/officeDocument/2006/relationships/hyperlink" Target="http://www.phosphosite.org/proteinAction.do?id=5812&amp;showAllSites=true" TargetMode="External"/><Relationship Id="rId69" Type="http://schemas.openxmlformats.org/officeDocument/2006/relationships/hyperlink" Target="http://www.cellsignal.com/products/11910.html" TargetMode="External"/><Relationship Id="rId1637" Type="http://schemas.openxmlformats.org/officeDocument/2006/relationships/hyperlink" Target="http://www.phosphosite.org/proteinAction.do?id=2612&amp;showAllSites=true" TargetMode="External"/><Relationship Id="rId1844" Type="http://schemas.openxmlformats.org/officeDocument/2006/relationships/hyperlink" Target="http://www.phosphosite.org/proteinAction.do?id=1461&amp;showAllSites=true" TargetMode="External"/><Relationship Id="rId1704" Type="http://schemas.openxmlformats.org/officeDocument/2006/relationships/hyperlink" Target="http://www.phosphosite.org/proteinAction.do?id=5812&amp;showAllSites=true" TargetMode="External"/><Relationship Id="rId285" Type="http://schemas.openxmlformats.org/officeDocument/2006/relationships/hyperlink" Target="http://www.cellsignal.com/products/4548.html" TargetMode="External"/><Relationship Id="rId492" Type="http://schemas.openxmlformats.org/officeDocument/2006/relationships/hyperlink" Target="http://www.phosphosite.org/proteinAction.do?id=1461&amp;showAllSites=true" TargetMode="External"/><Relationship Id="rId797" Type="http://schemas.openxmlformats.org/officeDocument/2006/relationships/hyperlink" Target="http://www.phosphosite.org/proteinAction.do?id=3701941&amp;showAllSites=true" TargetMode="External"/><Relationship Id="rId145" Type="http://schemas.openxmlformats.org/officeDocument/2006/relationships/hyperlink" Target="http://www.phosphosite.org/proteinAction.do?id=5758&amp;showAllSites=true" TargetMode="External"/><Relationship Id="rId352" Type="http://schemas.openxmlformats.org/officeDocument/2006/relationships/hyperlink" Target="http://www.cellsignal.com/products/4558.html" TargetMode="External"/><Relationship Id="rId1287" Type="http://schemas.openxmlformats.org/officeDocument/2006/relationships/hyperlink" Target="http://www.phosphosite.org/proteinAction.do?id=944&amp;showAllSites=true" TargetMode="External"/><Relationship Id="rId212" Type="http://schemas.openxmlformats.org/officeDocument/2006/relationships/hyperlink" Target="http://www.phosphosite.org/proteinAction.do?id=2659&amp;showAllSites=true" TargetMode="External"/><Relationship Id="rId657" Type="http://schemas.openxmlformats.org/officeDocument/2006/relationships/hyperlink" Target="http://www.phosphosite.org/proteinAction.do?id=5812&amp;showAllSites=true" TargetMode="External"/><Relationship Id="rId864" Type="http://schemas.openxmlformats.org/officeDocument/2006/relationships/hyperlink" Target="http://www.phosphosite.org/proteinAction.do?id=3701941&amp;showAllSites=true" TargetMode="External"/><Relationship Id="rId1494" Type="http://schemas.openxmlformats.org/officeDocument/2006/relationships/hyperlink" Target="http://www.phosphosite.org/proteinAction.do?id=1461&amp;showAllSites=true" TargetMode="External"/><Relationship Id="rId1799" Type="http://schemas.openxmlformats.org/officeDocument/2006/relationships/hyperlink" Target="http://www.phosphosite.org/proteinAction.do?id=3658401&amp;showAllSites=true" TargetMode="External"/><Relationship Id="rId517" Type="http://schemas.openxmlformats.org/officeDocument/2006/relationships/hyperlink" Target="http://www.phosphosite.org/proteinAction.do?id=6332&amp;showAllSites=true" TargetMode="External"/><Relationship Id="rId724" Type="http://schemas.openxmlformats.org/officeDocument/2006/relationships/hyperlink" Target="http://www.phosphosite.org/proteinAction.do?id=5812&amp;showAllSites=true" TargetMode="External"/><Relationship Id="rId931" Type="http://schemas.openxmlformats.org/officeDocument/2006/relationships/hyperlink" Target="http://www.cellsignal.com/products/5398.html" TargetMode="External"/><Relationship Id="rId1147" Type="http://schemas.openxmlformats.org/officeDocument/2006/relationships/hyperlink" Target="http://www.phosphosite.org/proteinAction.do?id=3117&amp;showAllSites=true" TargetMode="External"/><Relationship Id="rId1354" Type="http://schemas.openxmlformats.org/officeDocument/2006/relationships/hyperlink" Target="http://www.phosphosite.org/proteinAction.do?id=3225402&amp;showAllSites=true" TargetMode="External"/><Relationship Id="rId1561" Type="http://schemas.openxmlformats.org/officeDocument/2006/relationships/hyperlink" Target="http://www.phosphosite.org/proteinAction.do?id=1461&amp;showAllSites=true" TargetMode="External"/><Relationship Id="rId60" Type="http://schemas.openxmlformats.org/officeDocument/2006/relationships/hyperlink" Target="http://www.cellsignal.com/products/9053.html" TargetMode="External"/><Relationship Id="rId1007" Type="http://schemas.openxmlformats.org/officeDocument/2006/relationships/hyperlink" Target="http://www.phosphosite.org/proteinAction.do?id=19992&amp;showAllSites=true" TargetMode="External"/><Relationship Id="rId1214" Type="http://schemas.openxmlformats.org/officeDocument/2006/relationships/hyperlink" Target="http://www.phosphosite.org/proteinAction.do?id=944&amp;showAllSites=true" TargetMode="External"/><Relationship Id="rId1421" Type="http://schemas.openxmlformats.org/officeDocument/2006/relationships/hyperlink" Target="http://www.phosphosite.org/proteinAction.do?id=4627&amp;showAllSites=true" TargetMode="External"/><Relationship Id="rId1659" Type="http://schemas.openxmlformats.org/officeDocument/2006/relationships/hyperlink" Target="http://www.phosphosite.org/proteinAction.do?id=2612&amp;showAllSites=true" TargetMode="External"/><Relationship Id="rId1866" Type="http://schemas.openxmlformats.org/officeDocument/2006/relationships/hyperlink" Target="http://www.phosphosite.org/proteinAction.do?id=1461&amp;showAllSites=true" TargetMode="External"/><Relationship Id="rId1519" Type="http://schemas.openxmlformats.org/officeDocument/2006/relationships/hyperlink" Target="http://www.phosphosite.org/proteinAction.do?id=1461&amp;showAllSites=true" TargetMode="External"/><Relationship Id="rId1726" Type="http://schemas.openxmlformats.org/officeDocument/2006/relationships/hyperlink" Target="http://www.phosphosite.org/proteinAction.do?id=5812&amp;showAllSites=true" TargetMode="External"/><Relationship Id="rId18" Type="http://schemas.openxmlformats.org/officeDocument/2006/relationships/hyperlink" Target="http://www.cellsignal.com/products/5765.html" TargetMode="External"/><Relationship Id="rId167" Type="http://schemas.openxmlformats.org/officeDocument/2006/relationships/hyperlink" Target="http://www.phosphosite.org/proteinAction.do?id=2711&amp;showAllSites=true" TargetMode="External"/><Relationship Id="rId374" Type="http://schemas.openxmlformats.org/officeDocument/2006/relationships/hyperlink" Target="http://www.cellsignal.com/products/4558.html" TargetMode="External"/><Relationship Id="rId581" Type="http://schemas.openxmlformats.org/officeDocument/2006/relationships/hyperlink" Target="http://www.phosphosite.org/proteinAction.do?id=3621552&amp;showAllSites=true" TargetMode="External"/><Relationship Id="rId234" Type="http://schemas.openxmlformats.org/officeDocument/2006/relationships/hyperlink" Target="http://www.phosphosite.org/proteinAction.do?id=4119&amp;showAllSites=true" TargetMode="External"/><Relationship Id="rId679" Type="http://schemas.openxmlformats.org/officeDocument/2006/relationships/hyperlink" Target="http://www.phosphosite.org/proteinAction.do?id=5812&amp;showAllSites=true" TargetMode="External"/><Relationship Id="rId886" Type="http://schemas.openxmlformats.org/officeDocument/2006/relationships/hyperlink" Target="http://www.phosphosite.org/proteinAction.do?id=3701941&amp;showAllSites=true" TargetMode="External"/><Relationship Id="rId2" Type="http://schemas.openxmlformats.org/officeDocument/2006/relationships/hyperlink" Target="http://www.cellsignal.com/products/8444.html" TargetMode="External"/><Relationship Id="rId441" Type="http://schemas.openxmlformats.org/officeDocument/2006/relationships/hyperlink" Target="http://www.phosphosite.org/proteinAction.do?id=1461&amp;showAllSites=true" TargetMode="External"/><Relationship Id="rId539" Type="http://schemas.openxmlformats.org/officeDocument/2006/relationships/hyperlink" Target="http://www.phosphosite.org/proteinAction.do?id=4168&amp;showAllSites=true" TargetMode="External"/><Relationship Id="rId746" Type="http://schemas.openxmlformats.org/officeDocument/2006/relationships/hyperlink" Target="http://www.phosphosite.org/proteinAction.do?id=5812&amp;showAllSites=true" TargetMode="External"/><Relationship Id="rId1071" Type="http://schemas.openxmlformats.org/officeDocument/2006/relationships/hyperlink" Target="http://www.phosphosite.org/proteinAction.do?id=14276&amp;showAllSites=true" TargetMode="External"/><Relationship Id="rId1169" Type="http://schemas.openxmlformats.org/officeDocument/2006/relationships/hyperlink" Target="http://www.phosphosite.org/proteinAction.do?id=3701941&amp;showAllSites=true" TargetMode="External"/><Relationship Id="rId1376" Type="http://schemas.openxmlformats.org/officeDocument/2006/relationships/hyperlink" Target="http://www.phosphosite.org/proteinAction.do?id=5812&amp;showAllSites=true" TargetMode="External"/><Relationship Id="rId1583" Type="http://schemas.openxmlformats.org/officeDocument/2006/relationships/hyperlink" Target="http://www.phosphosite.org/proteinAction.do?id=1461&amp;showAllSites=true" TargetMode="External"/><Relationship Id="rId301" Type="http://schemas.openxmlformats.org/officeDocument/2006/relationships/hyperlink" Target="http://www.cellsignal.com/products/4548.html" TargetMode="External"/><Relationship Id="rId953" Type="http://schemas.openxmlformats.org/officeDocument/2006/relationships/hyperlink" Target="http://www.phosphosite.org/proteinAction.do?id=9468&amp;showAllSites=true" TargetMode="External"/><Relationship Id="rId1029" Type="http://schemas.openxmlformats.org/officeDocument/2006/relationships/hyperlink" Target="http://www.cellsignal.com/products/4558.html" TargetMode="External"/><Relationship Id="rId1236" Type="http://schemas.openxmlformats.org/officeDocument/2006/relationships/hyperlink" Target="http://www.phosphosite.org/proteinAction.do?id=944&amp;showAllSites=true" TargetMode="External"/><Relationship Id="rId1790" Type="http://schemas.openxmlformats.org/officeDocument/2006/relationships/hyperlink" Target="http://www.phosphosite.org/proteinAction.do?id=5812&amp;showAllSites=true" TargetMode="External"/><Relationship Id="rId82" Type="http://schemas.openxmlformats.org/officeDocument/2006/relationships/hyperlink" Target="http://www.cellsignal.com/products/4885.html" TargetMode="External"/><Relationship Id="rId606" Type="http://schemas.openxmlformats.org/officeDocument/2006/relationships/hyperlink" Target="http://www.phosphosite.org/proteinAction.do?id=4468&amp;showAllSites=true" TargetMode="External"/><Relationship Id="rId813" Type="http://schemas.openxmlformats.org/officeDocument/2006/relationships/hyperlink" Target="http://www.phosphosite.org/proteinAction.do?id=3701941&amp;showAllSites=true" TargetMode="External"/><Relationship Id="rId1443" Type="http://schemas.openxmlformats.org/officeDocument/2006/relationships/hyperlink" Target="http://www.phosphosite.org/proteinAction.do?id=1461&amp;showAllSites=true" TargetMode="External"/><Relationship Id="rId1650" Type="http://schemas.openxmlformats.org/officeDocument/2006/relationships/hyperlink" Target="http://www.phosphosite.org/proteinAction.do?id=2612&amp;showAllSites=true" TargetMode="External"/><Relationship Id="rId1748" Type="http://schemas.openxmlformats.org/officeDocument/2006/relationships/hyperlink" Target="http://www.phosphosite.org/proteinAction.do?id=5812&amp;showAllSites=true" TargetMode="External"/><Relationship Id="rId1303" Type="http://schemas.openxmlformats.org/officeDocument/2006/relationships/hyperlink" Target="http://www.phosphosite.org/proteinAction.do?id=1461&amp;showAllSites=true" TargetMode="External"/><Relationship Id="rId1510" Type="http://schemas.openxmlformats.org/officeDocument/2006/relationships/hyperlink" Target="http://www.phosphosite.org/proteinAction.do?id=1461&amp;showAllSites=true" TargetMode="External"/><Relationship Id="rId1608" Type="http://schemas.openxmlformats.org/officeDocument/2006/relationships/hyperlink" Target="http://www.phosphosite.org/proteinAction.do?id=1461&amp;showAllSites=true" TargetMode="External"/><Relationship Id="rId1815" Type="http://schemas.openxmlformats.org/officeDocument/2006/relationships/hyperlink" Target="http://www.cellsignal.com/products/3469.html" TargetMode="External"/><Relationship Id="rId189" Type="http://schemas.openxmlformats.org/officeDocument/2006/relationships/hyperlink" Target="http://www.cellsignal.com/products/4860.html" TargetMode="External"/><Relationship Id="rId396" Type="http://schemas.openxmlformats.org/officeDocument/2006/relationships/hyperlink" Target="http://www.phosphosite.org/proteinAction.do?id=1461&amp;showAllSit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2528"/>
  <sheetViews>
    <sheetView tabSelected="1" zoomScale="55" zoomScaleNormal="55" workbookViewId="0">
      <selection activeCell="H12" sqref="H12"/>
    </sheetView>
  </sheetViews>
  <sheetFormatPr defaultRowHeight="14.7"/>
  <cols>
    <col min="1" max="1" width="16.19921875" customWidth="1"/>
    <col min="2" max="2" width="11.59765625" customWidth="1"/>
    <col min="3" max="3" width="12.6796875" customWidth="1"/>
    <col min="4" max="4" width="18.59765625" style="2" customWidth="1"/>
    <col min="5" max="5" width="14.59765625" customWidth="1"/>
    <col min="6" max="6" width="13.4765625" style="1" customWidth="1"/>
    <col min="7" max="7" width="8.796875" customWidth="1"/>
    <col min="8" max="8" width="20.19921875" customWidth="1"/>
    <col min="9" max="9" width="92" customWidth="1"/>
    <col min="14" max="14" width="10.19921875" customWidth="1"/>
    <col min="15" max="15" width="10.078125" customWidth="1"/>
    <col min="24" max="24" width="10.59765625" customWidth="1"/>
    <col min="25" max="25" width="11.19921875" customWidth="1"/>
  </cols>
  <sheetData>
    <row r="1" spans="1:16381" ht="24.6" customHeight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2" t="s">
        <v>1503</v>
      </c>
      <c r="M1" s="33"/>
      <c r="N1" s="34" t="s">
        <v>1504</v>
      </c>
      <c r="O1" s="35"/>
      <c r="P1" s="36" t="s">
        <v>1505</v>
      </c>
      <c r="Q1" s="37"/>
      <c r="R1" s="34" t="s">
        <v>1506</v>
      </c>
      <c r="S1" s="35"/>
      <c r="T1" s="36" t="s">
        <v>1507</v>
      </c>
      <c r="U1" s="37"/>
      <c r="V1" s="34" t="s">
        <v>1508</v>
      </c>
      <c r="W1" s="35"/>
      <c r="X1" s="36" t="s">
        <v>1509</v>
      </c>
      <c r="Y1" s="37"/>
      <c r="Z1" s="34" t="s">
        <v>1510</v>
      </c>
      <c r="AA1" s="35"/>
      <c r="AB1" s="23" t="s">
        <v>11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</row>
    <row r="2" spans="1:16381" s="12" customFormat="1">
      <c r="A2" s="9" t="s">
        <v>12</v>
      </c>
      <c r="B2" s="9" t="s">
        <v>14</v>
      </c>
      <c r="C2" s="9" t="s">
        <v>14</v>
      </c>
      <c r="D2" s="7">
        <v>839</v>
      </c>
      <c r="E2" s="9" t="s">
        <v>15</v>
      </c>
      <c r="F2" s="7" t="s">
        <v>1487</v>
      </c>
      <c r="G2" s="7">
        <v>96.3</v>
      </c>
      <c r="H2" s="9" t="s">
        <v>16</v>
      </c>
      <c r="I2" s="9" t="s">
        <v>17</v>
      </c>
      <c r="J2" s="7">
        <v>2</v>
      </c>
      <c r="K2" s="7">
        <v>629.31640000000004</v>
      </c>
      <c r="L2" s="7"/>
      <c r="M2" s="7" t="str">
        <f>HYPERLINK("http://ms.phosphosite.org:5080/cgi-bin/plot-msms.cgi?MassType=1&amp;NumAxis=1&amp;Mod12=184&amp;Pep=LPAGPSSCTSPR&amp;Dta=/var/www/html/dta/yong/23617.12013.2.dta&amp;Global_Mod=CS57.0215", "12013")</f>
        <v>12013</v>
      </c>
      <c r="N2" s="10"/>
      <c r="O2" s="10">
        <v>57.12</v>
      </c>
      <c r="P2" s="10"/>
      <c r="Q2" s="10">
        <v>1.748</v>
      </c>
      <c r="R2" s="10"/>
      <c r="S2" s="10">
        <v>-1.9054</v>
      </c>
      <c r="T2" s="10"/>
      <c r="U2" s="10">
        <v>0.1925</v>
      </c>
      <c r="V2" s="7"/>
      <c r="W2" s="7">
        <v>5</v>
      </c>
      <c r="X2" s="10"/>
      <c r="Y2" s="10">
        <v>1.42</v>
      </c>
      <c r="Z2" s="11"/>
      <c r="AA2" s="11">
        <v>1000</v>
      </c>
      <c r="AB2" s="7" t="s">
        <v>13</v>
      </c>
    </row>
    <row r="3" spans="1:16381">
      <c r="A3" s="3" t="s">
        <v>12</v>
      </c>
      <c r="B3" s="3" t="s">
        <v>1527</v>
      </c>
      <c r="C3" s="3" t="s">
        <v>1528</v>
      </c>
      <c r="D3" s="4">
        <v>33</v>
      </c>
      <c r="E3" s="3" t="s">
        <v>18</v>
      </c>
      <c r="F3" s="7" t="s">
        <v>1314</v>
      </c>
      <c r="G3" s="4">
        <v>51.2</v>
      </c>
      <c r="H3" s="3" t="s">
        <v>19</v>
      </c>
      <c r="I3" s="3" t="s">
        <v>20</v>
      </c>
      <c r="J3" s="4">
        <v>3</v>
      </c>
      <c r="K3" s="4">
        <v>544.29679999999996</v>
      </c>
      <c r="L3" s="4"/>
      <c r="M3" s="4" t="str">
        <f>HYPERLINK("http://ms.phosphosite.org:5080/cgi-bin/plot-msms.cgi?MassType=1&amp;NumAxis=1&amp;Mod6=184&amp;Pep=TEQAGRNALLSDISK&amp;Dta=/var/www/html/dta/yong/23617.11419.3.dta&amp;Global_Mod=CS57.0215", "11419")</f>
        <v>11419</v>
      </c>
      <c r="N3" s="5"/>
      <c r="O3" s="5">
        <v>54.54</v>
      </c>
      <c r="P3" s="5"/>
      <c r="Q3" s="5">
        <v>2.66</v>
      </c>
      <c r="R3" s="5"/>
      <c r="S3" s="5">
        <v>0.14779999999999999</v>
      </c>
      <c r="T3" s="5"/>
      <c r="U3" s="5">
        <v>0.1096</v>
      </c>
      <c r="V3" s="4"/>
      <c r="W3" s="4">
        <v>42</v>
      </c>
      <c r="X3" s="5"/>
      <c r="Y3" s="5">
        <v>1.17</v>
      </c>
      <c r="Z3" s="6"/>
      <c r="AA3" s="6">
        <v>1000</v>
      </c>
      <c r="AB3" s="4" t="s">
        <v>13</v>
      </c>
    </row>
    <row r="4" spans="1:16381" s="12" customFormat="1">
      <c r="A4" s="9" t="s">
        <v>21</v>
      </c>
      <c r="B4" s="9" t="s">
        <v>1529</v>
      </c>
      <c r="C4" s="9" t="s">
        <v>1530</v>
      </c>
      <c r="D4" s="7">
        <v>208</v>
      </c>
      <c r="E4" s="9" t="s">
        <v>22</v>
      </c>
      <c r="F4" s="7" t="s">
        <v>1315</v>
      </c>
      <c r="G4" s="7">
        <v>71.599999999999994</v>
      </c>
      <c r="H4" s="9" t="s">
        <v>23</v>
      </c>
      <c r="I4" s="9" t="s">
        <v>27</v>
      </c>
      <c r="J4" s="7">
        <v>2</v>
      </c>
      <c r="K4" s="7">
        <v>661.28679999999997</v>
      </c>
      <c r="L4" s="7" t="str">
        <f>HYPERLINK("http://ms.phosphosite.org:5080/cgi-bin/plot-msms.cgi?MassType=1&amp;NumAxis=1&amp;Mod1=147&amp;Mod9=184&amp;Pep=MWEDPMGARGQ&amp;Dta=/var/www/html/dta/yong/23616.11216.2.dta&amp;Global_Mod=CS57.0215", "11216")</f>
        <v>11216</v>
      </c>
      <c r="M4" s="7"/>
      <c r="N4" s="10">
        <v>54.19</v>
      </c>
      <c r="O4" s="10"/>
      <c r="P4" s="10">
        <v>3.1179999999999999</v>
      </c>
      <c r="Q4" s="10"/>
      <c r="R4" s="10">
        <v>0.68710000000000004</v>
      </c>
      <c r="S4" s="10"/>
      <c r="T4" s="10">
        <v>0.29530000000000001</v>
      </c>
      <c r="U4" s="10"/>
      <c r="V4" s="7">
        <v>1</v>
      </c>
      <c r="W4" s="7"/>
      <c r="X4" s="10">
        <v>2.5499999999999998</v>
      </c>
      <c r="Y4" s="10"/>
      <c r="Z4" s="11">
        <v>1000</v>
      </c>
      <c r="AA4" s="11"/>
      <c r="AB4" s="7" t="s">
        <v>13</v>
      </c>
    </row>
    <row r="5" spans="1:16381" s="12" customFormat="1">
      <c r="A5" s="9" t="s">
        <v>21</v>
      </c>
      <c r="B5" s="9" t="s">
        <v>1529</v>
      </c>
      <c r="C5" s="9" t="s">
        <v>1530</v>
      </c>
      <c r="D5" s="7">
        <v>208</v>
      </c>
      <c r="E5" s="9" t="s">
        <v>22</v>
      </c>
      <c r="F5" s="7" t="s">
        <v>1315</v>
      </c>
      <c r="G5" s="7">
        <v>71.599999999999994</v>
      </c>
      <c r="H5" s="9" t="s">
        <v>23</v>
      </c>
      <c r="I5" s="9" t="s">
        <v>28</v>
      </c>
      <c r="J5" s="7">
        <v>2</v>
      </c>
      <c r="K5" s="7">
        <v>814.81989999999996</v>
      </c>
      <c r="L5" s="7" t="str">
        <f>HYPERLINK("http://ms.phosphosite.org:5080/cgi-bin/plot-msms.cgi?MassType=1&amp;NumAxis=1&amp;Mod1=147&amp;Mod9=184&amp;Mod13=147&amp;Pep=MWEDPMGARGQCM&amp;Dta=/var/www/html/dta/yong/23616.11309.2.dta&amp;Global_Mod=CS57.0215", "11309")</f>
        <v>11309</v>
      </c>
      <c r="M5" s="7" t="str">
        <f>HYPERLINK("http://ms.phosphosite.org:5080/cgi-bin/plot-msms.cgi?MassType=1&amp;NumAxis=1&amp;Mod1=147&amp;Mod9=184&amp;Mod13=147&amp;Pep=MWEDPMGARGQCM&amp;Dta=/var/www/html/dta/yong/23617.11546.2.dta&amp;Global_Mod=CS57.0215", "11546")</f>
        <v>11546</v>
      </c>
      <c r="N5" s="10">
        <v>54.59</v>
      </c>
      <c r="O5" s="10">
        <v>55.11</v>
      </c>
      <c r="P5" s="10">
        <v>3.0630000000000002</v>
      </c>
      <c r="Q5" s="10">
        <v>2.903</v>
      </c>
      <c r="R5" s="10">
        <v>0.36530000000000001</v>
      </c>
      <c r="S5" s="10">
        <v>0.35510000000000003</v>
      </c>
      <c r="T5" s="10">
        <v>0.38419999999999999</v>
      </c>
      <c r="U5" s="10">
        <v>0.36299999999999999</v>
      </c>
      <c r="V5" s="7">
        <v>1</v>
      </c>
      <c r="W5" s="7">
        <v>1</v>
      </c>
      <c r="X5" s="10">
        <v>3.02</v>
      </c>
      <c r="Y5" s="10">
        <v>2.94</v>
      </c>
      <c r="Z5" s="11">
        <v>1000</v>
      </c>
      <c r="AA5" s="11">
        <v>1000</v>
      </c>
      <c r="AB5" s="7" t="s">
        <v>13</v>
      </c>
    </row>
    <row r="6" spans="1:16381" s="12" customFormat="1">
      <c r="A6" s="9" t="s">
        <v>21</v>
      </c>
      <c r="B6" s="9" t="s">
        <v>1529</v>
      </c>
      <c r="C6" s="9" t="s">
        <v>1530</v>
      </c>
      <c r="D6" s="7">
        <v>208</v>
      </c>
      <c r="E6" s="9" t="s">
        <v>22</v>
      </c>
      <c r="F6" s="7" t="s">
        <v>1315</v>
      </c>
      <c r="G6" s="7">
        <v>71.599999999999994</v>
      </c>
      <c r="H6" s="9" t="s">
        <v>23</v>
      </c>
      <c r="I6" s="9" t="s">
        <v>28</v>
      </c>
      <c r="J6" s="7">
        <v>2</v>
      </c>
      <c r="K6" s="7">
        <v>814.81989999999996</v>
      </c>
      <c r="L6" s="7" t="str">
        <f>HYPERLINK("http://ms.phosphosite.org:5080/cgi-bin/plot-msms.cgi?MassType=1&amp;NumAxis=1&amp;Mod1=147&amp;Mod9=184&amp;Mod13=147&amp;Pep=MWEDPMGARGQCM&amp;Dta=/var/www/html/dta/yong/23616.11333.2.dta&amp;Global_Mod=CS57.0215", "11333")</f>
        <v>11333</v>
      </c>
      <c r="M6" s="7"/>
      <c r="N6" s="10">
        <v>54.7</v>
      </c>
      <c r="O6" s="10"/>
      <c r="P6" s="10">
        <v>2.919</v>
      </c>
      <c r="Q6" s="10"/>
      <c r="R6" s="10">
        <v>0.36530000000000001</v>
      </c>
      <c r="S6" s="10"/>
      <c r="T6" s="10">
        <v>0.33850000000000002</v>
      </c>
      <c r="U6" s="10"/>
      <c r="V6" s="7">
        <v>2</v>
      </c>
      <c r="W6" s="7"/>
      <c r="X6" s="10">
        <v>2.72</v>
      </c>
      <c r="Y6" s="10"/>
      <c r="Z6" s="11">
        <v>1000</v>
      </c>
      <c r="AA6" s="11"/>
      <c r="AB6" s="7" t="s">
        <v>13</v>
      </c>
    </row>
    <row r="7" spans="1:16381" s="12" customFormat="1">
      <c r="A7" s="9" t="s">
        <v>21</v>
      </c>
      <c r="B7" s="9" t="s">
        <v>1529</v>
      </c>
      <c r="C7" s="9" t="s">
        <v>1530</v>
      </c>
      <c r="D7" s="7">
        <v>208</v>
      </c>
      <c r="E7" s="9" t="s">
        <v>22</v>
      </c>
      <c r="F7" s="7" t="s">
        <v>1315</v>
      </c>
      <c r="G7" s="7">
        <v>71.599999999999994</v>
      </c>
      <c r="H7" s="9" t="s">
        <v>23</v>
      </c>
      <c r="I7" s="9" t="s">
        <v>28</v>
      </c>
      <c r="J7" s="7">
        <v>2</v>
      </c>
      <c r="K7" s="7">
        <v>814.81989999999996</v>
      </c>
      <c r="L7" s="7" t="str">
        <f>HYPERLINK("http://ms.phosphosite.org:5080/cgi-bin/plot-msms.cgi?MassType=1&amp;NumAxis=1&amp;Mod1=147&amp;Mod9=184&amp;Mod13=147&amp;Pep=MWEDPMGARGQCM&amp;Dta=/var/www/html/dta/yong/23616.11371.2.dta&amp;Global_Mod=CS57.0215", "11371")</f>
        <v>11371</v>
      </c>
      <c r="M7" s="7" t="str">
        <f>HYPERLINK("http://ms.phosphosite.org:5080/cgi-bin/plot-msms.cgi?MassType=1&amp;NumAxis=1&amp;Mod1=147&amp;Mod9=184&amp;Mod13=147&amp;Pep=MWEDPMGARGQCM&amp;Dta=/var/www/html/dta/yong/23617.11482.2.dta&amp;Global_Mod=CS57.0215", "11482")</f>
        <v>11482</v>
      </c>
      <c r="N7" s="10">
        <v>54.87</v>
      </c>
      <c r="O7" s="10">
        <v>54.83</v>
      </c>
      <c r="P7" s="10">
        <v>2.956</v>
      </c>
      <c r="Q7" s="10">
        <v>3.1720000000000002</v>
      </c>
      <c r="R7" s="10">
        <v>1.1095999999999999</v>
      </c>
      <c r="S7" s="10">
        <v>0.65939999999999999</v>
      </c>
      <c r="T7" s="10">
        <v>0.33739999999999998</v>
      </c>
      <c r="U7" s="10">
        <v>0.39789999999999998</v>
      </c>
      <c r="V7" s="7">
        <v>1</v>
      </c>
      <c r="W7" s="7">
        <v>1</v>
      </c>
      <c r="X7" s="10">
        <v>2.7</v>
      </c>
      <c r="Y7" s="10">
        <v>3.21</v>
      </c>
      <c r="Z7" s="11">
        <v>1000</v>
      </c>
      <c r="AA7" s="11">
        <v>1000</v>
      </c>
      <c r="AB7" s="7" t="s">
        <v>13</v>
      </c>
    </row>
    <row r="8" spans="1:16381" s="12" customFormat="1">
      <c r="A8" s="9" t="s">
        <v>21</v>
      </c>
      <c r="B8" s="9" t="s">
        <v>1529</v>
      </c>
      <c r="C8" s="9" t="s">
        <v>1530</v>
      </c>
      <c r="D8" s="7">
        <v>208</v>
      </c>
      <c r="E8" s="9" t="s">
        <v>22</v>
      </c>
      <c r="F8" s="7" t="s">
        <v>1315</v>
      </c>
      <c r="G8" s="7">
        <v>71.599999999999994</v>
      </c>
      <c r="H8" s="9" t="s">
        <v>23</v>
      </c>
      <c r="I8" s="9" t="s">
        <v>28</v>
      </c>
      <c r="J8" s="7">
        <v>2</v>
      </c>
      <c r="K8" s="7">
        <v>814.81989999999996</v>
      </c>
      <c r="L8" s="7" t="str">
        <f>HYPERLINK("http://ms.phosphosite.org:5080/cgi-bin/plot-msms.cgi?MassType=1&amp;NumAxis=1&amp;Mod1=147&amp;Mod9=184&amp;Mod13=147&amp;Pep=MWEDPMGARGQCM&amp;Dta=/var/www/html/dta/yong/23616.11385.2.dta&amp;Global_Mod=CS57.0215", "11385")</f>
        <v>11385</v>
      </c>
      <c r="M8" s="7"/>
      <c r="N8" s="10">
        <v>54.93</v>
      </c>
      <c r="O8" s="10"/>
      <c r="P8" s="10">
        <v>2.3610000000000002</v>
      </c>
      <c r="Q8" s="10"/>
      <c r="R8" s="10">
        <v>-1.8686</v>
      </c>
      <c r="S8" s="10"/>
      <c r="T8" s="10">
        <v>0.26400000000000001</v>
      </c>
      <c r="U8" s="10"/>
      <c r="V8" s="7">
        <v>1</v>
      </c>
      <c r="W8" s="7"/>
      <c r="X8" s="10">
        <v>2.0299999999999998</v>
      </c>
      <c r="Y8" s="10"/>
      <c r="Z8" s="11">
        <v>1000</v>
      </c>
      <c r="AA8" s="11"/>
      <c r="AB8" s="7" t="s">
        <v>13</v>
      </c>
    </row>
    <row r="9" spans="1:16381" s="12" customFormat="1">
      <c r="A9" s="9" t="s">
        <v>21</v>
      </c>
      <c r="B9" s="9" t="s">
        <v>1529</v>
      </c>
      <c r="C9" s="9" t="s">
        <v>1530</v>
      </c>
      <c r="D9" s="7">
        <v>208</v>
      </c>
      <c r="E9" s="9" t="s">
        <v>22</v>
      </c>
      <c r="F9" s="7" t="s">
        <v>1315</v>
      </c>
      <c r="G9" s="7">
        <v>71.599999999999994</v>
      </c>
      <c r="H9" s="9" t="s">
        <v>23</v>
      </c>
      <c r="I9" s="9" t="s">
        <v>24</v>
      </c>
      <c r="J9" s="7">
        <v>2</v>
      </c>
      <c r="K9" s="7">
        <v>669.28430000000003</v>
      </c>
      <c r="L9" s="7" t="str">
        <f>HYPERLINK("http://ms.phosphosite.org:5080/cgi-bin/plot-msms.cgi?MassType=1&amp;NumAxis=1&amp;Mod1=147&amp;Mod6=147&amp;Mod9=184&amp;Pep=MWEDPMGARGQ&amp;Dta=/var/www/html/dta/yong/23616.6465.2.dta&amp;Global_Mod=CS57.0215", "6465")</f>
        <v>6465</v>
      </c>
      <c r="M9" s="7" t="str">
        <f>HYPERLINK("http://ms.phosphosite.org:5080/cgi-bin/plot-msms.cgi?MassType=1&amp;NumAxis=1&amp;Mod1=147&amp;Mod6=147&amp;Mod9=184&amp;Pep=MWEDPMGARGQ&amp;Dta=/var/www/html/dta/yong/23617.6732.2.dta&amp;Global_Mod=CS57.0215", "6732")</f>
        <v>6732</v>
      </c>
      <c r="N9" s="10">
        <v>34.22</v>
      </c>
      <c r="O9" s="10">
        <v>35.04</v>
      </c>
      <c r="P9" s="10">
        <v>2.6829999999999998</v>
      </c>
      <c r="Q9" s="10">
        <v>2.907</v>
      </c>
      <c r="R9" s="10">
        <v>1.2277</v>
      </c>
      <c r="S9" s="10">
        <v>0.90129999999999999</v>
      </c>
      <c r="T9" s="10">
        <v>0.1225</v>
      </c>
      <c r="U9" s="10">
        <v>6.3200000000000006E-2</v>
      </c>
      <c r="V9" s="7">
        <v>2</v>
      </c>
      <c r="W9" s="7">
        <v>1</v>
      </c>
      <c r="X9" s="10">
        <v>1.42</v>
      </c>
      <c r="Y9" s="10">
        <v>1.25</v>
      </c>
      <c r="Z9" s="11">
        <v>1000</v>
      </c>
      <c r="AA9" s="11">
        <v>1000</v>
      </c>
      <c r="AB9" s="7" t="s">
        <v>13</v>
      </c>
    </row>
    <row r="10" spans="1:16381" s="12" customFormat="1">
      <c r="A10" s="9" t="s">
        <v>21</v>
      </c>
      <c r="B10" s="9" t="s">
        <v>1529</v>
      </c>
      <c r="C10" s="9" t="s">
        <v>1530</v>
      </c>
      <c r="D10" s="7">
        <v>208</v>
      </c>
      <c r="E10" s="9" t="s">
        <v>22</v>
      </c>
      <c r="F10" s="7" t="s">
        <v>1315</v>
      </c>
      <c r="G10" s="7">
        <v>71.599999999999994</v>
      </c>
      <c r="H10" s="9" t="s">
        <v>23</v>
      </c>
      <c r="I10" s="9" t="s">
        <v>24</v>
      </c>
      <c r="J10" s="7">
        <v>2</v>
      </c>
      <c r="K10" s="7">
        <v>669.28430000000003</v>
      </c>
      <c r="L10" s="7" t="str">
        <f>HYPERLINK("http://ms.phosphosite.org:5080/cgi-bin/plot-msms.cgi?MassType=1&amp;NumAxis=1&amp;Mod1=147&amp;Mod6=147&amp;Mod9=184&amp;Pep=MWEDPMGARGQ&amp;Dta=/var/www/html/dta/yong/23616.6540.2.dta&amp;Global_Mod=CS57.0215", "6540")</f>
        <v>6540</v>
      </c>
      <c r="M10" s="7"/>
      <c r="N10" s="10">
        <v>34.53</v>
      </c>
      <c r="O10" s="10"/>
      <c r="P10" s="10">
        <v>3.0259999999999998</v>
      </c>
      <c r="Q10" s="10"/>
      <c r="R10" s="10">
        <v>0.95679999999999998</v>
      </c>
      <c r="S10" s="10"/>
      <c r="T10" s="10">
        <v>5.2200000000000003E-2</v>
      </c>
      <c r="U10" s="10"/>
      <c r="V10" s="7">
        <v>1</v>
      </c>
      <c r="W10" s="7"/>
      <c r="X10" s="10">
        <v>1.1299999999999999</v>
      </c>
      <c r="Y10" s="10"/>
      <c r="Z10" s="11">
        <v>1000</v>
      </c>
      <c r="AA10" s="11"/>
      <c r="AB10" s="7" t="s">
        <v>13</v>
      </c>
    </row>
    <row r="11" spans="1:16381" s="12" customFormat="1">
      <c r="A11" s="9" t="s">
        <v>21</v>
      </c>
      <c r="B11" s="9" t="s">
        <v>1529</v>
      </c>
      <c r="C11" s="9" t="s">
        <v>1530</v>
      </c>
      <c r="D11" s="7">
        <v>208</v>
      </c>
      <c r="E11" s="9" t="s">
        <v>22</v>
      </c>
      <c r="F11" s="7" t="s">
        <v>1315</v>
      </c>
      <c r="G11" s="7">
        <v>71.599999999999994</v>
      </c>
      <c r="H11" s="9" t="s">
        <v>23</v>
      </c>
      <c r="I11" s="9" t="s">
        <v>24</v>
      </c>
      <c r="J11" s="7">
        <v>2</v>
      </c>
      <c r="K11" s="7">
        <v>669.28430000000003</v>
      </c>
      <c r="L11" s="7" t="str">
        <f>HYPERLINK("http://ms.phosphosite.org:5080/cgi-bin/plot-msms.cgi?MassType=1&amp;NumAxis=1&amp;Mod1=147&amp;Mod6=147&amp;Mod9=184&amp;Pep=MWEDPMGARGQ&amp;Dta=/var/www/html/dta/yong/23616.6625.2.dta&amp;Global_Mod=CS57.0215", "6625")</f>
        <v>6625</v>
      </c>
      <c r="M11" s="7" t="str">
        <f>HYPERLINK("http://ms.phosphosite.org:5080/cgi-bin/plot-msms.cgi?MassType=1&amp;NumAxis=1&amp;Mod1=147&amp;Mod6=147&amp;Mod9=184&amp;Pep=MWEDPMGARGQ&amp;Dta=/var/www/html/dta/yong/23617.6587.2.dta&amp;Global_Mod=CS57.0215", "6587")</f>
        <v>6587</v>
      </c>
      <c r="N11" s="10">
        <v>34.89</v>
      </c>
      <c r="O11" s="10">
        <v>34.42</v>
      </c>
      <c r="P11" s="10">
        <v>2.883</v>
      </c>
      <c r="Q11" s="10">
        <v>2.9590000000000001</v>
      </c>
      <c r="R11" s="10">
        <v>1.3667</v>
      </c>
      <c r="S11" s="10">
        <v>0.24740000000000001</v>
      </c>
      <c r="T11" s="10">
        <v>8.2900000000000001E-2</v>
      </c>
      <c r="U11" s="10">
        <v>8.9300000000000004E-2</v>
      </c>
      <c r="V11" s="7">
        <v>1</v>
      </c>
      <c r="W11" s="7">
        <v>1</v>
      </c>
      <c r="X11" s="10">
        <v>1.24</v>
      </c>
      <c r="Y11" s="10">
        <v>1.43</v>
      </c>
      <c r="Z11" s="11">
        <v>1000</v>
      </c>
      <c r="AA11" s="11">
        <v>1000</v>
      </c>
      <c r="AB11" s="7" t="s">
        <v>13</v>
      </c>
    </row>
    <row r="12" spans="1:16381" s="12" customFormat="1">
      <c r="A12" s="9" t="s">
        <v>21</v>
      </c>
      <c r="B12" s="9" t="s">
        <v>1529</v>
      </c>
      <c r="C12" s="9" t="s">
        <v>1530</v>
      </c>
      <c r="D12" s="7">
        <v>208</v>
      </c>
      <c r="E12" s="9" t="s">
        <v>22</v>
      </c>
      <c r="F12" s="7" t="s">
        <v>1315</v>
      </c>
      <c r="G12" s="7">
        <v>71.599999999999994</v>
      </c>
      <c r="H12" s="9" t="s">
        <v>23</v>
      </c>
      <c r="I12" s="9" t="s">
        <v>26</v>
      </c>
      <c r="J12" s="7">
        <v>2</v>
      </c>
      <c r="K12" s="7">
        <v>822.81730000000005</v>
      </c>
      <c r="L12" s="7" t="str">
        <f>HYPERLINK("http://ms.phosphosite.org:5080/cgi-bin/plot-msms.cgi?MassType=1&amp;NumAxis=1&amp;Mod1=147&amp;Mod6=147&amp;Mod9=184&amp;Mod13=147&amp;Pep=MWEDPMGARGQCM&amp;Dta=/var/www/html/dta/yong/23616.7060.2.dta&amp;Global_Mod=CS57.0215", "7060")</f>
        <v>7060</v>
      </c>
      <c r="M12" s="7" t="str">
        <f>HYPERLINK("http://ms.phosphosite.org:5080/cgi-bin/plot-msms.cgi?MassType=1&amp;NumAxis=1&amp;Mod1=147&amp;Mod6=147&amp;Mod9=184&amp;Mod13=147&amp;Pep=MWEDPMGARGQCM&amp;Dta=/var/www/html/dta/yong/23617.7168.2.dta&amp;Global_Mod=CS57.0215", "7168")</f>
        <v>7168</v>
      </c>
      <c r="N12" s="10">
        <v>36.71</v>
      </c>
      <c r="O12" s="10">
        <v>36.869999999999997</v>
      </c>
      <c r="P12" s="10">
        <v>2.984</v>
      </c>
      <c r="Q12" s="10">
        <v>3.6240000000000001</v>
      </c>
      <c r="R12" s="10">
        <v>1.4645999999999999</v>
      </c>
      <c r="S12" s="10">
        <v>1.0370999999999999</v>
      </c>
      <c r="T12" s="10">
        <v>0.37959999999999999</v>
      </c>
      <c r="U12" s="10">
        <v>0.3911</v>
      </c>
      <c r="V12" s="7">
        <v>1</v>
      </c>
      <c r="W12" s="7">
        <v>1</v>
      </c>
      <c r="X12" s="10">
        <v>2.93</v>
      </c>
      <c r="Y12" s="10">
        <v>3.29</v>
      </c>
      <c r="Z12" s="11">
        <v>1000</v>
      </c>
      <c r="AA12" s="11">
        <v>1000</v>
      </c>
      <c r="AB12" s="7" t="s">
        <v>13</v>
      </c>
    </row>
    <row r="13" spans="1:16381" s="12" customFormat="1">
      <c r="A13" s="9" t="s">
        <v>21</v>
      </c>
      <c r="B13" s="9" t="s">
        <v>1529</v>
      </c>
      <c r="C13" s="9" t="s">
        <v>1530</v>
      </c>
      <c r="D13" s="7">
        <v>208</v>
      </c>
      <c r="E13" s="9" t="s">
        <v>22</v>
      </c>
      <c r="F13" s="7" t="s">
        <v>1315</v>
      </c>
      <c r="G13" s="7">
        <v>71.599999999999994</v>
      </c>
      <c r="H13" s="9" t="s">
        <v>23</v>
      </c>
      <c r="I13" s="9" t="s">
        <v>25</v>
      </c>
      <c r="J13" s="7">
        <v>2</v>
      </c>
      <c r="K13" s="7">
        <v>749.29960000000005</v>
      </c>
      <c r="L13" s="7" t="str">
        <f>HYPERLINK("http://ms.phosphosite.org:5080/cgi-bin/plot-msms.cgi?MassType=1&amp;NumAxis=1&amp;Mod1=147&amp;Mod6=147&amp;Mod9=184&amp;Pep=MWEDPMGARGQC&amp;Dta=/var/www/html/dta/yong/23616.7080.2.dta&amp;Global_Mod=CS57.0215", "7080")</f>
        <v>7080</v>
      </c>
      <c r="M13" s="7" t="str">
        <f>HYPERLINK("http://ms.phosphosite.org:5080/cgi-bin/plot-msms.cgi?MassType=1&amp;NumAxis=1&amp;Mod1=147&amp;Mod6=147&amp;Mod9=184&amp;Pep=MWEDPMGARGQC&amp;Dta=/var/www/html/dta/yong/23617.7147.2.dta&amp;Global_Mod=CS57.0215", "7147")</f>
        <v>7147</v>
      </c>
      <c r="N13" s="10">
        <v>36.799999999999997</v>
      </c>
      <c r="O13" s="10">
        <v>36.78</v>
      </c>
      <c r="P13" s="10">
        <v>3.0419999999999998</v>
      </c>
      <c r="Q13" s="10">
        <v>2.9049999999999998</v>
      </c>
      <c r="R13" s="10">
        <v>1.0423</v>
      </c>
      <c r="S13" s="10">
        <v>0.88849999999999996</v>
      </c>
      <c r="T13" s="10">
        <v>0.2099</v>
      </c>
      <c r="U13" s="10">
        <v>0.39229999999999998</v>
      </c>
      <c r="V13" s="7">
        <v>1</v>
      </c>
      <c r="W13" s="7">
        <v>1</v>
      </c>
      <c r="X13" s="10">
        <v>2.0099999999999998</v>
      </c>
      <c r="Y13" s="10">
        <v>3.09</v>
      </c>
      <c r="Z13" s="11">
        <v>1000</v>
      </c>
      <c r="AA13" s="11">
        <v>1000</v>
      </c>
      <c r="AB13" s="7" t="s">
        <v>13</v>
      </c>
    </row>
    <row r="14" spans="1:16381" s="12" customFormat="1">
      <c r="A14" s="9" t="s">
        <v>21</v>
      </c>
      <c r="B14" s="9" t="s">
        <v>1529</v>
      </c>
      <c r="C14" s="9" t="s">
        <v>1530</v>
      </c>
      <c r="D14" s="7">
        <v>208</v>
      </c>
      <c r="E14" s="9" t="s">
        <v>22</v>
      </c>
      <c r="F14" s="7" t="s">
        <v>1315</v>
      </c>
      <c r="G14" s="7">
        <v>71.599999999999994</v>
      </c>
      <c r="H14" s="9" t="s">
        <v>23</v>
      </c>
      <c r="I14" s="9" t="s">
        <v>26</v>
      </c>
      <c r="J14" s="7">
        <v>2</v>
      </c>
      <c r="K14" s="7">
        <v>822.81730000000005</v>
      </c>
      <c r="L14" s="7"/>
      <c r="M14" s="7" t="str">
        <f>HYPERLINK("http://ms.phosphosite.org:5080/cgi-bin/plot-msms.cgi?MassType=1&amp;NumAxis=1&amp;Mod1=147&amp;Mod6=147&amp;Mod9=184&amp;Mod13=147&amp;Pep=MWEDPMGARGQCM&amp;Dta=/var/www/html/dta/yong/23617.7148.2.dta&amp;Global_Mod=CS57.0215", "7148")</f>
        <v>7148</v>
      </c>
      <c r="N14" s="10"/>
      <c r="O14" s="10">
        <v>36.78</v>
      </c>
      <c r="P14" s="10"/>
      <c r="Q14" s="10">
        <v>2.92</v>
      </c>
      <c r="R14" s="10"/>
      <c r="S14" s="10">
        <v>1.1528</v>
      </c>
      <c r="T14" s="10"/>
      <c r="U14" s="10">
        <v>0.49080000000000001</v>
      </c>
      <c r="V14" s="7"/>
      <c r="W14" s="7">
        <v>1</v>
      </c>
      <c r="X14" s="10"/>
      <c r="Y14" s="10">
        <v>3.63</v>
      </c>
      <c r="Z14" s="11"/>
      <c r="AA14" s="11">
        <v>1000</v>
      </c>
      <c r="AB14" s="7" t="s">
        <v>13</v>
      </c>
    </row>
    <row r="15" spans="1:16381" s="12" customFormat="1">
      <c r="A15" s="9" t="s">
        <v>21</v>
      </c>
      <c r="B15" s="9" t="s">
        <v>1529</v>
      </c>
      <c r="C15" s="9" t="s">
        <v>1530</v>
      </c>
      <c r="D15" s="7">
        <v>208</v>
      </c>
      <c r="E15" s="9" t="s">
        <v>22</v>
      </c>
      <c r="F15" s="7" t="s">
        <v>1315</v>
      </c>
      <c r="G15" s="7">
        <v>71.599999999999994</v>
      </c>
      <c r="H15" s="9" t="s">
        <v>23</v>
      </c>
      <c r="I15" s="9" t="s">
        <v>25</v>
      </c>
      <c r="J15" s="7">
        <v>2</v>
      </c>
      <c r="K15" s="7">
        <v>749.29960000000005</v>
      </c>
      <c r="L15" s="7"/>
      <c r="M15" s="7" t="str">
        <f>HYPERLINK("http://ms.phosphosite.org:5080/cgi-bin/plot-msms.cgi?MassType=1&amp;NumAxis=1&amp;Mod1=147&amp;Mod6=147&amp;Mod9=184&amp;Pep=MWEDPMGARGQC&amp;Dta=/var/www/html/dta/yong/23617.7163.2.dta&amp;Global_Mod=CS57.0215", "7163")</f>
        <v>7163</v>
      </c>
      <c r="N15" s="10"/>
      <c r="O15" s="10">
        <v>36.85</v>
      </c>
      <c r="P15" s="10"/>
      <c r="Q15" s="10">
        <v>2.7690000000000001</v>
      </c>
      <c r="R15" s="10"/>
      <c r="S15" s="10">
        <v>1.0368999999999999</v>
      </c>
      <c r="T15" s="10"/>
      <c r="U15" s="10">
        <v>0.23930000000000001</v>
      </c>
      <c r="V15" s="7"/>
      <c r="W15" s="7">
        <v>1</v>
      </c>
      <c r="X15" s="10"/>
      <c r="Y15" s="10">
        <v>2.1800000000000002</v>
      </c>
      <c r="Z15" s="11"/>
      <c r="AA15" s="11">
        <v>1000</v>
      </c>
      <c r="AB15" s="7" t="s">
        <v>13</v>
      </c>
    </row>
    <row r="16" spans="1:16381" s="12" customFormat="1">
      <c r="A16" s="9" t="s">
        <v>21</v>
      </c>
      <c r="B16" s="9" t="s">
        <v>1529</v>
      </c>
      <c r="C16" s="9" t="s">
        <v>1530</v>
      </c>
      <c r="D16" s="7">
        <v>208</v>
      </c>
      <c r="E16" s="9" t="s">
        <v>22</v>
      </c>
      <c r="F16" s="7" t="s">
        <v>1315</v>
      </c>
      <c r="G16" s="7">
        <v>71.599999999999994</v>
      </c>
      <c r="H16" s="9" t="s">
        <v>23</v>
      </c>
      <c r="I16" s="9" t="s">
        <v>26</v>
      </c>
      <c r="J16" s="7">
        <v>2</v>
      </c>
      <c r="K16" s="7">
        <v>822.81730000000005</v>
      </c>
      <c r="L16" s="7"/>
      <c r="M16" s="7" t="str">
        <f>HYPERLINK("http://ms.phosphosite.org:5080/cgi-bin/plot-msms.cgi?MassType=1&amp;NumAxis=1&amp;Mod1=147&amp;Mod6=147&amp;Mod9=184&amp;Mod13=147&amp;Pep=MWEDPMGARGQCM&amp;Dta=/var/www/html/dta/yong/23617.7209.2.dta&amp;Global_Mod=CS57.0215", "7209")</f>
        <v>7209</v>
      </c>
      <c r="N16" s="10"/>
      <c r="O16" s="10">
        <v>37.04</v>
      </c>
      <c r="P16" s="10"/>
      <c r="Q16" s="10">
        <v>2.6440000000000001</v>
      </c>
      <c r="R16" s="10"/>
      <c r="S16" s="10">
        <v>1.0232000000000001</v>
      </c>
      <c r="T16" s="10"/>
      <c r="U16" s="10">
        <v>0.33660000000000001</v>
      </c>
      <c r="V16" s="7"/>
      <c r="W16" s="7">
        <v>1</v>
      </c>
      <c r="X16" s="10"/>
      <c r="Y16" s="10">
        <v>2.68</v>
      </c>
      <c r="Z16" s="11"/>
      <c r="AA16" s="11">
        <v>1000</v>
      </c>
      <c r="AB16" s="7" t="s">
        <v>13</v>
      </c>
    </row>
    <row r="17" spans="1:28" s="12" customFormat="1">
      <c r="A17" s="9" t="s">
        <v>21</v>
      </c>
      <c r="B17" s="9" t="s">
        <v>1529</v>
      </c>
      <c r="C17" s="9" t="s">
        <v>1530</v>
      </c>
      <c r="D17" s="7">
        <v>208</v>
      </c>
      <c r="E17" s="9" t="s">
        <v>22</v>
      </c>
      <c r="F17" s="7" t="s">
        <v>1315</v>
      </c>
      <c r="G17" s="7">
        <v>71.599999999999994</v>
      </c>
      <c r="H17" s="9" t="s">
        <v>23</v>
      </c>
      <c r="I17" s="9" t="s">
        <v>29</v>
      </c>
      <c r="J17" s="7">
        <v>2</v>
      </c>
      <c r="K17" s="7">
        <v>661.28679999999997</v>
      </c>
      <c r="L17" s="7"/>
      <c r="M17" s="7" t="str">
        <f>HYPERLINK("http://ms.phosphosite.org:5080/cgi-bin/plot-msms.cgi?MassType=1&amp;NumAxis=1&amp;Mod6=147&amp;Mod9=184&amp;Pep=MWEDPMGARGQ&amp;Dta=/var/www/html/dta/yong/23617.8280.2.dta&amp;Global_Mod=CS57.0215", "8280")</f>
        <v>8280</v>
      </c>
      <c r="N17" s="10"/>
      <c r="O17" s="10">
        <v>41.53</v>
      </c>
      <c r="P17" s="10"/>
      <c r="Q17" s="10">
        <v>2.9</v>
      </c>
      <c r="R17" s="10"/>
      <c r="S17" s="10">
        <v>0.44479999999999997</v>
      </c>
      <c r="T17" s="10"/>
      <c r="U17" s="10">
        <v>0.23830000000000001</v>
      </c>
      <c r="V17" s="7"/>
      <c r="W17" s="7">
        <v>5</v>
      </c>
      <c r="X17" s="10"/>
      <c r="Y17" s="10">
        <v>2.25</v>
      </c>
      <c r="Z17" s="11"/>
      <c r="AA17" s="11">
        <v>1000</v>
      </c>
      <c r="AB17" s="7" t="s">
        <v>13</v>
      </c>
    </row>
    <row r="18" spans="1:28" s="12" customFormat="1">
      <c r="A18" s="3" t="s">
        <v>21</v>
      </c>
      <c r="B18" s="9" t="s">
        <v>1529</v>
      </c>
      <c r="C18" s="9" t="s">
        <v>1530</v>
      </c>
      <c r="D18" s="4">
        <v>217</v>
      </c>
      <c r="E18" s="3" t="s">
        <v>22</v>
      </c>
      <c r="F18" s="7" t="s">
        <v>1315</v>
      </c>
      <c r="G18" s="4">
        <v>71.599999999999994</v>
      </c>
      <c r="H18" s="3" t="s">
        <v>30</v>
      </c>
      <c r="I18" s="3" t="s">
        <v>31</v>
      </c>
      <c r="J18" s="4">
        <v>2</v>
      </c>
      <c r="K18" s="4">
        <v>777.87379999999996</v>
      </c>
      <c r="L18" s="4"/>
      <c r="M18" s="4" t="str">
        <f>HYPERLINK("http://ms.phosphosite.org:5080/cgi-bin/plot-msms.cgi?MassType=1&amp;NumAxis=1&amp;Mod4=147&amp;Mod9=184&amp;Pep=GQCMSGASRLPSLF&amp;Dta=/var/www/html/dta/yong/23617.18394.2.dta&amp;Global_Mod=CS57.0215", "18394")</f>
        <v>18394</v>
      </c>
      <c r="N18" s="5"/>
      <c r="O18" s="5">
        <v>84.2</v>
      </c>
      <c r="P18" s="5"/>
      <c r="Q18" s="5">
        <v>1.9850000000000001</v>
      </c>
      <c r="R18" s="5"/>
      <c r="S18" s="5">
        <v>1.1913</v>
      </c>
      <c r="T18" s="5"/>
      <c r="U18" s="5">
        <v>0.15939999999999999</v>
      </c>
      <c r="V18" s="4"/>
      <c r="W18" s="4">
        <v>1</v>
      </c>
      <c r="X18" s="5"/>
      <c r="Y18" s="5">
        <v>1.46</v>
      </c>
      <c r="Z18" s="6"/>
      <c r="AA18" s="6">
        <v>1000</v>
      </c>
      <c r="AB18" s="4" t="s">
        <v>13</v>
      </c>
    </row>
    <row r="19" spans="1:28" s="12" customFormat="1">
      <c r="A19" s="3" t="s">
        <v>21</v>
      </c>
      <c r="B19" s="3" t="s">
        <v>32</v>
      </c>
      <c r="C19" s="3" t="s">
        <v>33</v>
      </c>
      <c r="D19" s="4">
        <v>435</v>
      </c>
      <c r="E19" s="3" t="s">
        <v>34</v>
      </c>
      <c r="F19" s="7" t="s">
        <v>1316</v>
      </c>
      <c r="G19" s="4">
        <v>52.1</v>
      </c>
      <c r="H19" s="3" t="s">
        <v>35</v>
      </c>
      <c r="I19" s="3" t="s">
        <v>37</v>
      </c>
      <c r="J19" s="4">
        <v>3</v>
      </c>
      <c r="K19" s="4">
        <v>423.88749999999999</v>
      </c>
      <c r="L19" s="4" t="str">
        <f>HYPERLINK("http://ms.phosphosite.org:5080/cgi-bin/plot-msms.cgi?MassType=1&amp;NumAxis=1&amp;Mod6=184&amp;Mod13=147&amp;Pep=GPGGPRGGLGGGMR&amp;Dta=/var/www/html/dta/yong/23616.2677.3.dta&amp;Global_Mod=CS57.0215", "2677")</f>
        <v>2677</v>
      </c>
      <c r="M19" s="4"/>
      <c r="N19" s="5">
        <v>18.3</v>
      </c>
      <c r="O19" s="5"/>
      <c r="P19" s="5">
        <v>2.645</v>
      </c>
      <c r="Q19" s="5"/>
      <c r="R19" s="5">
        <v>0.4929</v>
      </c>
      <c r="S19" s="5"/>
      <c r="T19" s="5">
        <v>0.26500000000000001</v>
      </c>
      <c r="U19" s="5"/>
      <c r="V19" s="4">
        <v>2</v>
      </c>
      <c r="W19" s="4"/>
      <c r="X19" s="5">
        <v>2.0699999999999998</v>
      </c>
      <c r="Y19" s="5"/>
      <c r="Z19" s="6">
        <v>1000</v>
      </c>
      <c r="AA19" s="6"/>
      <c r="AB19" s="4" t="s">
        <v>13</v>
      </c>
    </row>
    <row r="20" spans="1:28" s="12" customFormat="1">
      <c r="A20" s="3" t="s">
        <v>21</v>
      </c>
      <c r="B20" s="3" t="s">
        <v>32</v>
      </c>
      <c r="C20" s="3" t="s">
        <v>33</v>
      </c>
      <c r="D20" s="4">
        <v>435</v>
      </c>
      <c r="E20" s="3" t="s">
        <v>34</v>
      </c>
      <c r="F20" s="7" t="s">
        <v>1316</v>
      </c>
      <c r="G20" s="4">
        <v>52.1</v>
      </c>
      <c r="H20" s="3" t="s">
        <v>35</v>
      </c>
      <c r="I20" s="3" t="s">
        <v>37</v>
      </c>
      <c r="J20" s="4">
        <v>3</v>
      </c>
      <c r="K20" s="4">
        <v>423.88749999999999</v>
      </c>
      <c r="L20" s="4" t="str">
        <f>HYPERLINK("http://ms.phosphosite.org:5080/cgi-bin/plot-msms.cgi?MassType=1&amp;NumAxis=1&amp;Mod6=184&amp;Mod13=147&amp;Pep=GPGGPRGGLGGGMR&amp;Dta=/var/www/html/dta/yong/23616.2788.3.dta&amp;Global_Mod=CS57.0215", "2788")</f>
        <v>2788</v>
      </c>
      <c r="M20" s="4" t="str">
        <f>HYPERLINK("http://ms.phosphosite.org:5080/cgi-bin/plot-msms.cgi?MassType=1&amp;NumAxis=1&amp;Mod6=184&amp;Mod13=147&amp;Pep=GPGGPRGGLGGGMR&amp;Dta=/var/www/html/dta/yong/23617.2727.3.dta&amp;Global_Mod=CS57.0215", "2727")</f>
        <v>2727</v>
      </c>
      <c r="N20" s="5">
        <v>18.77</v>
      </c>
      <c r="O20" s="5">
        <v>18.29</v>
      </c>
      <c r="P20" s="5">
        <v>2.85</v>
      </c>
      <c r="Q20" s="5">
        <v>2.988</v>
      </c>
      <c r="R20" s="5">
        <v>0.29089999999999999</v>
      </c>
      <c r="S20" s="5">
        <v>0.16239999999999999</v>
      </c>
      <c r="T20" s="5">
        <v>0.1459</v>
      </c>
      <c r="U20" s="5">
        <v>0.29749999999999999</v>
      </c>
      <c r="V20" s="4">
        <v>2</v>
      </c>
      <c r="W20" s="4">
        <v>1</v>
      </c>
      <c r="X20" s="5">
        <v>1.45</v>
      </c>
      <c r="Y20" s="5">
        <v>2.36</v>
      </c>
      <c r="Z20" s="6">
        <v>1000</v>
      </c>
      <c r="AA20" s="6">
        <v>1000</v>
      </c>
      <c r="AB20" s="4" t="s">
        <v>13</v>
      </c>
    </row>
    <row r="21" spans="1:28" s="12" customFormat="1">
      <c r="A21" s="3" t="s">
        <v>21</v>
      </c>
      <c r="B21" s="3" t="s">
        <v>32</v>
      </c>
      <c r="C21" s="3" t="s">
        <v>33</v>
      </c>
      <c r="D21" s="4">
        <v>435</v>
      </c>
      <c r="E21" s="3" t="s">
        <v>34</v>
      </c>
      <c r="F21" s="7" t="s">
        <v>1316</v>
      </c>
      <c r="G21" s="4">
        <v>52.1</v>
      </c>
      <c r="H21" s="3" t="s">
        <v>35</v>
      </c>
      <c r="I21" s="3" t="s">
        <v>36</v>
      </c>
      <c r="J21" s="4">
        <v>3</v>
      </c>
      <c r="K21" s="4">
        <v>367.19779999999997</v>
      </c>
      <c r="L21" s="4" t="str">
        <f>HYPERLINK("http://ms.phosphosite.org:5080/cgi-bin/plot-msms.cgi?MassType=1&amp;NumAxis=1&amp;Mod4=184&amp;Pep=GGPRGGLGGGMR&amp;Dta=/var/www/html/dta/yong/23616.3711.3.dta&amp;Global_Mod=CS57.0215", "3711")</f>
        <v>3711</v>
      </c>
      <c r="M21" s="4" t="str">
        <f>HYPERLINK("http://ms.phosphosite.org:5080/cgi-bin/plot-msms.cgi?MassType=1&amp;NumAxis=1&amp;Mod4=184&amp;Pep=GGPRGGLGGGMR&amp;Dta=/var/www/html/dta/yong/23617.3800.3.dta&amp;Global_Mod=CS57.0215", "3800")</f>
        <v>3800</v>
      </c>
      <c r="N21" s="5">
        <v>22.75</v>
      </c>
      <c r="O21" s="5">
        <v>22.79</v>
      </c>
      <c r="P21" s="5">
        <v>2.7850000000000001</v>
      </c>
      <c r="Q21" s="5">
        <v>3.1219999999999999</v>
      </c>
      <c r="R21" s="5">
        <v>0.50090000000000001</v>
      </c>
      <c r="S21" s="5">
        <v>0.2107</v>
      </c>
      <c r="T21" s="5">
        <v>0.16200000000000001</v>
      </c>
      <c r="U21" s="5">
        <v>0.24030000000000001</v>
      </c>
      <c r="V21" s="4">
        <v>11</v>
      </c>
      <c r="W21" s="4">
        <v>26</v>
      </c>
      <c r="X21" s="5">
        <v>1.54</v>
      </c>
      <c r="Y21" s="5">
        <v>2.09</v>
      </c>
      <c r="Z21" s="6">
        <v>1000</v>
      </c>
      <c r="AA21" s="6">
        <v>1000</v>
      </c>
      <c r="AB21" s="4" t="s">
        <v>13</v>
      </c>
    </row>
    <row r="22" spans="1:28" s="12" customFormat="1">
      <c r="A22" s="3" t="s">
        <v>21</v>
      </c>
      <c r="B22" s="3" t="s">
        <v>32</v>
      </c>
      <c r="C22" s="3" t="s">
        <v>33</v>
      </c>
      <c r="D22" s="4">
        <v>435</v>
      </c>
      <c r="E22" s="3" t="s">
        <v>34</v>
      </c>
      <c r="F22" s="7" t="s">
        <v>1316</v>
      </c>
      <c r="G22" s="4">
        <v>52.1</v>
      </c>
      <c r="H22" s="3" t="s">
        <v>35</v>
      </c>
      <c r="I22" s="3" t="s">
        <v>38</v>
      </c>
      <c r="J22" s="4">
        <v>3</v>
      </c>
      <c r="K22" s="4">
        <v>418.55590000000001</v>
      </c>
      <c r="L22" s="4" t="str">
        <f>HYPERLINK("http://ms.phosphosite.org:5080/cgi-bin/plot-msms.cgi?MassType=1&amp;NumAxis=1&amp;Mod6=184&amp;Pep=GPGGPRGGLGGGMR&amp;Dta=/var/www/html/dta/yong/23616.4657.3.dta&amp;Global_Mod=CS57.0215", "4657")</f>
        <v>4657</v>
      </c>
      <c r="M22" s="4" t="str">
        <f>HYPERLINK("http://ms.phosphosite.org:5080/cgi-bin/plot-msms.cgi?MassType=1&amp;NumAxis=1&amp;Mod6=184&amp;Pep=GPGGPRGGLGGGMR&amp;Dta=/var/www/html/dta/yong/23617.4739.3.dta&amp;Global_Mod=CS57.0215", "4739")</f>
        <v>4739</v>
      </c>
      <c r="N22" s="5">
        <v>26.85</v>
      </c>
      <c r="O22" s="5">
        <v>26.83</v>
      </c>
      <c r="P22" s="5">
        <v>2.6930000000000001</v>
      </c>
      <c r="Q22" s="5">
        <v>2.52</v>
      </c>
      <c r="R22" s="5">
        <v>0.36209999999999998</v>
      </c>
      <c r="S22" s="5">
        <v>-1.54E-2</v>
      </c>
      <c r="T22" s="5">
        <v>0.26700000000000002</v>
      </c>
      <c r="U22" s="5">
        <v>0.34139999999999998</v>
      </c>
      <c r="V22" s="4">
        <v>1</v>
      </c>
      <c r="W22" s="4">
        <v>1</v>
      </c>
      <c r="X22" s="5">
        <v>2.09</v>
      </c>
      <c r="Y22" s="5">
        <v>2.46</v>
      </c>
      <c r="Z22" s="6">
        <v>1000</v>
      </c>
      <c r="AA22" s="6">
        <v>1000</v>
      </c>
      <c r="AB22" s="4" t="s">
        <v>13</v>
      </c>
    </row>
    <row r="23" spans="1:28" s="12" customFormat="1">
      <c r="A23" s="18" t="s">
        <v>21</v>
      </c>
      <c r="B23" s="18" t="s">
        <v>39</v>
      </c>
      <c r="C23" s="18" t="s">
        <v>39</v>
      </c>
      <c r="D23" s="19"/>
      <c r="E23" s="18" t="s">
        <v>40</v>
      </c>
      <c r="F23" s="15" t="s">
        <v>1317</v>
      </c>
      <c r="G23" s="19">
        <v>137.19999999999999</v>
      </c>
      <c r="H23" s="18"/>
      <c r="I23" s="18" t="s">
        <v>41</v>
      </c>
      <c r="J23" s="19">
        <v>3</v>
      </c>
      <c r="K23" s="19">
        <v>658.04949999999997</v>
      </c>
      <c r="L23" s="19" t="str">
        <f>HYPERLINK("http://ms.phosphosite.org:5080/cgi-bin/plot-msms.cgi?MassType=1&amp;NumAxis=1&amp;Mod15=170&amp;Mod20=170&amp;Pep=PVSVAGSPLSPGPVRAPLSR&amp;Dta=/var/www/html/dta/yong/23616.13895.3.dta&amp;Global_Mod=CS57.0215", "13895")</f>
        <v>13895</v>
      </c>
      <c r="M23" s="19" t="str">
        <f>HYPERLINK("http://ms.phosphosite.org:5080/cgi-bin/plot-msms.cgi?MassType=1&amp;NumAxis=1&amp;Mod15=170&amp;Mod20=170&amp;Pep=PVSVAGSPLSPGPVRAPLSR&amp;Dta=/var/www/html/dta/yong/23617.14028.3.dta&amp;Global_Mod=CS57.0215", "14028")</f>
        <v>14028</v>
      </c>
      <c r="N23" s="20">
        <v>65.91</v>
      </c>
      <c r="O23" s="20">
        <v>65.75</v>
      </c>
      <c r="P23" s="20">
        <v>2.7850000000000001</v>
      </c>
      <c r="Q23" s="20">
        <v>2.7839999999999998</v>
      </c>
      <c r="R23" s="20">
        <v>0.94540000000000002</v>
      </c>
      <c r="S23" s="20">
        <v>0.73660000000000003</v>
      </c>
      <c r="T23" s="20">
        <v>0.2432</v>
      </c>
      <c r="U23" s="20">
        <v>0.28120000000000001</v>
      </c>
      <c r="V23" s="19">
        <v>14</v>
      </c>
      <c r="W23" s="19">
        <v>27</v>
      </c>
      <c r="X23" s="20">
        <v>1.88</v>
      </c>
      <c r="Y23" s="20">
        <v>2.1</v>
      </c>
      <c r="Z23" s="21" t="s">
        <v>1306</v>
      </c>
      <c r="AA23" s="21" t="s">
        <v>1306</v>
      </c>
      <c r="AB23" s="19" t="s">
        <v>13</v>
      </c>
    </row>
    <row r="24" spans="1:28" s="12" customFormat="1">
      <c r="A24" s="9" t="s">
        <v>21</v>
      </c>
      <c r="B24" s="9" t="s">
        <v>42</v>
      </c>
      <c r="C24" s="9" t="s">
        <v>42</v>
      </c>
      <c r="D24" s="7">
        <v>218</v>
      </c>
      <c r="E24" s="9" t="s">
        <v>43</v>
      </c>
      <c r="F24" s="7" t="s">
        <v>1318</v>
      </c>
      <c r="G24" s="7">
        <v>65.7</v>
      </c>
      <c r="H24" s="9" t="s">
        <v>44</v>
      </c>
      <c r="I24" s="9" t="s">
        <v>45</v>
      </c>
      <c r="J24" s="7">
        <v>3</v>
      </c>
      <c r="K24" s="7">
        <v>668.01289999999995</v>
      </c>
      <c r="L24" s="7"/>
      <c r="M24" s="7" t="str">
        <f>HYPERLINK("http://ms.phosphosite.org:5080/cgi-bin/plot-msms.cgi?MassType=1&amp;NumAxis=1&amp;Mod10=184&amp;Pep=SYTTASTSSRPTFNVQVK&amp;Dta=/var/www/html/dta/yong/23617.11271.3.dta&amp;Global_Mod=CS57.0215", "11271")</f>
        <v>11271</v>
      </c>
      <c r="N24" s="10"/>
      <c r="O24" s="10">
        <v>53.91</v>
      </c>
      <c r="P24" s="10"/>
      <c r="Q24" s="10">
        <v>2.4359999999999999</v>
      </c>
      <c r="R24" s="10"/>
      <c r="S24" s="10">
        <v>0.49530000000000002</v>
      </c>
      <c r="T24" s="10"/>
      <c r="U24" s="10">
        <v>0.2099</v>
      </c>
      <c r="V24" s="7"/>
      <c r="W24" s="7">
        <v>3</v>
      </c>
      <c r="X24" s="10"/>
      <c r="Y24" s="10">
        <v>1.78</v>
      </c>
      <c r="Z24" s="11"/>
      <c r="AA24" s="11">
        <v>1000</v>
      </c>
      <c r="AB24" s="7" t="s">
        <v>13</v>
      </c>
    </row>
    <row r="25" spans="1:28" s="12" customFormat="1">
      <c r="A25" s="3" t="s">
        <v>21</v>
      </c>
      <c r="B25" s="3" t="s">
        <v>46</v>
      </c>
      <c r="C25" s="3" t="s">
        <v>47</v>
      </c>
      <c r="D25" s="4">
        <v>907</v>
      </c>
      <c r="E25" s="3" t="s">
        <v>48</v>
      </c>
      <c r="F25" s="7" t="s">
        <v>1319</v>
      </c>
      <c r="G25" s="4">
        <v>358</v>
      </c>
      <c r="H25" s="3" t="s">
        <v>49</v>
      </c>
      <c r="I25" s="3" t="s">
        <v>50</v>
      </c>
      <c r="J25" s="4">
        <v>3</v>
      </c>
      <c r="K25" s="4">
        <v>883.4298</v>
      </c>
      <c r="L25" s="4" t="str">
        <f>HYPERLINK("http://ms.phosphosite.org:5080/cgi-bin/plot-msms.cgi?MassType=1&amp;NumAxis=1&amp;Mod6=147&amp;Mod8=184&amp;Mod22=147&amp;Pep=GPVYGMNRLPPQQHIYAYPQQM&amp;Dta=/var/www/html/dta/yong/23616.12383.3.dta&amp;Global_Mod=CS57.0215", "12383")</f>
        <v>12383</v>
      </c>
      <c r="M25" s="4" t="str">
        <f>HYPERLINK("http://ms.phosphosite.org:5080/cgi-bin/plot-msms.cgi?MassType=1&amp;NumAxis=1&amp;Mod6=147&amp;Mod8=184&amp;Mod22=147&amp;Pep=GPVYGMNRLPPQQHIYAYPQQM&amp;Dta=/var/www/html/dta/yong/23617.12473.3.dta&amp;Global_Mod=CS57.0215", "12473")</f>
        <v>12473</v>
      </c>
      <c r="N25" s="5">
        <v>59.3</v>
      </c>
      <c r="O25" s="5">
        <v>59.12</v>
      </c>
      <c r="P25" s="5">
        <v>2.5609999999999999</v>
      </c>
      <c r="Q25" s="5">
        <v>2.3769999999999998</v>
      </c>
      <c r="R25" s="5">
        <v>0.89280000000000004</v>
      </c>
      <c r="S25" s="5">
        <v>1.1881999999999999</v>
      </c>
      <c r="T25" s="5">
        <v>0.1032</v>
      </c>
      <c r="U25" s="5">
        <v>0.15859999999999999</v>
      </c>
      <c r="V25" s="4">
        <v>1</v>
      </c>
      <c r="W25" s="4">
        <v>1</v>
      </c>
      <c r="X25" s="5">
        <v>1.32</v>
      </c>
      <c r="Y25" s="5">
        <v>1.51</v>
      </c>
      <c r="Z25" s="6">
        <v>1000</v>
      </c>
      <c r="AA25" s="6">
        <v>1000</v>
      </c>
      <c r="AB25" s="4" t="s">
        <v>13</v>
      </c>
    </row>
    <row r="26" spans="1:28" s="12" customFormat="1">
      <c r="A26" s="3" t="s">
        <v>21</v>
      </c>
      <c r="B26" s="3" t="s">
        <v>46</v>
      </c>
      <c r="C26" s="3" t="s">
        <v>47</v>
      </c>
      <c r="D26" s="4">
        <v>907</v>
      </c>
      <c r="E26" s="3" t="s">
        <v>48</v>
      </c>
      <c r="F26" s="7" t="s">
        <v>1319</v>
      </c>
      <c r="G26" s="4">
        <v>358</v>
      </c>
      <c r="H26" s="3" t="s">
        <v>49</v>
      </c>
      <c r="I26" s="3" t="s">
        <v>50</v>
      </c>
      <c r="J26" s="4">
        <v>3</v>
      </c>
      <c r="K26" s="4">
        <v>883.4298</v>
      </c>
      <c r="L26" s="4" t="str">
        <f>HYPERLINK("http://ms.phosphosite.org:5080/cgi-bin/plot-msms.cgi?MassType=1&amp;NumAxis=1&amp;Mod6=147&amp;Mod8=184&amp;Mod22=147&amp;Pep=GPVYGMNRLPPQQHIYAYPQQM&amp;Dta=/var/www/html/dta/yong/23616.12562.3.dta&amp;Global_Mod=CS57.0215", "12562")</f>
        <v>12562</v>
      </c>
      <c r="M26" s="4" t="str">
        <f>HYPERLINK("http://ms.phosphosite.org:5080/cgi-bin/plot-msms.cgi?MassType=1&amp;NumAxis=1&amp;Mod6=147&amp;Mod8=184&amp;Mod22=147&amp;Pep=GPVYGMNRLPPQQHIYAYPQQM&amp;Dta=/var/www/html/dta/yong/23617.12496.3.dta&amp;Global_Mod=CS57.0215", "12496")</f>
        <v>12496</v>
      </c>
      <c r="N26" s="5">
        <v>60.03</v>
      </c>
      <c r="O26" s="5">
        <v>59.23</v>
      </c>
      <c r="P26" s="5">
        <v>2.3479999999999999</v>
      </c>
      <c r="Q26" s="5">
        <v>2.984</v>
      </c>
      <c r="R26" s="5">
        <v>1.3452</v>
      </c>
      <c r="S26" s="5">
        <v>1.5015000000000001</v>
      </c>
      <c r="T26" s="5">
        <v>0.1542</v>
      </c>
      <c r="U26" s="5">
        <v>0.1416</v>
      </c>
      <c r="V26" s="4">
        <v>1</v>
      </c>
      <c r="W26" s="4">
        <v>1</v>
      </c>
      <c r="X26" s="5">
        <v>1.52</v>
      </c>
      <c r="Y26" s="5">
        <v>1.58</v>
      </c>
      <c r="Z26" s="6">
        <v>1000</v>
      </c>
      <c r="AA26" s="6">
        <v>1000</v>
      </c>
      <c r="AB26" s="4" t="s">
        <v>13</v>
      </c>
    </row>
    <row r="27" spans="1:28" s="12" customFormat="1">
      <c r="A27" s="3" t="s">
        <v>21</v>
      </c>
      <c r="B27" s="3" t="s">
        <v>46</v>
      </c>
      <c r="C27" s="3" t="s">
        <v>47</v>
      </c>
      <c r="D27" s="4">
        <v>907</v>
      </c>
      <c r="E27" s="3" t="s">
        <v>48</v>
      </c>
      <c r="F27" s="7" t="s">
        <v>1319</v>
      </c>
      <c r="G27" s="4">
        <v>358</v>
      </c>
      <c r="H27" s="3" t="s">
        <v>49</v>
      </c>
      <c r="I27" s="3" t="s">
        <v>50</v>
      </c>
      <c r="J27" s="4">
        <v>3</v>
      </c>
      <c r="K27" s="4">
        <v>883.4298</v>
      </c>
      <c r="L27" s="4"/>
      <c r="M27" s="4" t="str">
        <f>HYPERLINK("http://ms.phosphosite.org:5080/cgi-bin/plot-msms.cgi?MassType=1&amp;NumAxis=1&amp;Mod6=147&amp;Mod8=184&amp;Mod22=147&amp;Pep=GPVYGMNRLPPQQHIYAYPQQM&amp;Dta=/var/www/html/dta/yong/23617.12677.3.dta&amp;Global_Mod=CS57.0215", "12677")</f>
        <v>12677</v>
      </c>
      <c r="N27" s="5"/>
      <c r="O27" s="5">
        <v>59.94</v>
      </c>
      <c r="P27" s="5"/>
      <c r="Q27" s="5">
        <v>2.9470000000000001</v>
      </c>
      <c r="R27" s="5"/>
      <c r="S27" s="5">
        <v>1.3297000000000001</v>
      </c>
      <c r="T27" s="5"/>
      <c r="U27" s="5">
        <v>0.21110000000000001</v>
      </c>
      <c r="V27" s="4"/>
      <c r="W27" s="4">
        <v>1</v>
      </c>
      <c r="X27" s="5"/>
      <c r="Y27" s="5">
        <v>1.97</v>
      </c>
      <c r="Z27" s="6"/>
      <c r="AA27" s="6">
        <v>1000</v>
      </c>
      <c r="AB27" s="4" t="s">
        <v>13</v>
      </c>
    </row>
    <row r="28" spans="1:28" s="12" customFormat="1">
      <c r="A28" s="9" t="s">
        <v>21</v>
      </c>
      <c r="B28" s="9" t="s">
        <v>46</v>
      </c>
      <c r="C28" s="9" t="s">
        <v>47</v>
      </c>
      <c r="D28" s="7">
        <v>945</v>
      </c>
      <c r="E28" s="9" t="s">
        <v>48</v>
      </c>
      <c r="F28" s="7" t="s">
        <v>1319</v>
      </c>
      <c r="G28" s="7">
        <v>358</v>
      </c>
      <c r="H28" s="9" t="s">
        <v>51</v>
      </c>
      <c r="I28" s="9" t="s">
        <v>55</v>
      </c>
      <c r="J28" s="7">
        <v>3</v>
      </c>
      <c r="K28" s="7">
        <v>686.37750000000005</v>
      </c>
      <c r="L28" s="7" t="str">
        <f>HYPERLINK("http://ms.phosphosite.org:5080/cgi-bin/plot-msms.cgi?MassType=1&amp;NumAxis=1&amp;Mod7=184&amp;Pep=YGPPALRFESPATGILSPR&amp;Dta=/var/www/html/dta/yong/23616.19954.3.dta&amp;Global_Mod=CS57.0215", "19954")</f>
        <v>19954</v>
      </c>
      <c r="M28" s="7" t="str">
        <f>HYPERLINK("http://ms.phosphosite.org:5080/cgi-bin/plot-msms.cgi?MassType=1&amp;NumAxis=1&amp;Mod7=184&amp;Pep=YGPPALRFESPATGILSPR&amp;Dta=/var/www/html/dta/yong/23617.20185.3.dta&amp;Global_Mod=CS57.0215", "20185")</f>
        <v>20185</v>
      </c>
      <c r="N28" s="10">
        <v>91.67</v>
      </c>
      <c r="O28" s="10">
        <v>91.93</v>
      </c>
      <c r="P28" s="10">
        <v>2.669</v>
      </c>
      <c r="Q28" s="10">
        <v>3.746</v>
      </c>
      <c r="R28" s="10">
        <v>0.85819999999999996</v>
      </c>
      <c r="S28" s="10">
        <v>1.018</v>
      </c>
      <c r="T28" s="10">
        <v>9.4100000000000003E-2</v>
      </c>
      <c r="U28" s="10">
        <v>0.15029999999999999</v>
      </c>
      <c r="V28" s="7">
        <v>243</v>
      </c>
      <c r="W28" s="7">
        <v>35</v>
      </c>
      <c r="X28" s="10">
        <v>1.24</v>
      </c>
      <c r="Y28" s="10">
        <v>1.9</v>
      </c>
      <c r="Z28" s="11">
        <v>1000</v>
      </c>
      <c r="AA28" s="11">
        <v>1000</v>
      </c>
      <c r="AB28" s="7" t="s">
        <v>13</v>
      </c>
    </row>
    <row r="29" spans="1:28" s="12" customFormat="1">
      <c r="A29" s="9" t="s">
        <v>21</v>
      </c>
      <c r="B29" s="9" t="s">
        <v>46</v>
      </c>
      <c r="C29" s="9" t="s">
        <v>47</v>
      </c>
      <c r="D29" s="7">
        <v>945</v>
      </c>
      <c r="E29" s="9" t="s">
        <v>48</v>
      </c>
      <c r="F29" s="7" t="s">
        <v>1319</v>
      </c>
      <c r="G29" s="7">
        <v>358</v>
      </c>
      <c r="H29" s="9" t="s">
        <v>51</v>
      </c>
      <c r="I29" s="9" t="s">
        <v>52</v>
      </c>
      <c r="J29" s="7">
        <v>4</v>
      </c>
      <c r="K29" s="7">
        <v>999.22879999999998</v>
      </c>
      <c r="L29" s="7" t="str">
        <f>HYPERLINK("http://ms.phosphosite.org:5080/cgi-bin/plot-msms.cgi?MassType=1&amp;NumAxis=1&amp;Mod12=147&amp;Mod17=147&amp;Mod24=184&amp;Pep=HTPPVQSSSACMFSQEMYGPPALRFESPATGILSPR&amp;Dta=/var/www/html/dta/yong/23616.20261.4.dta&amp;Global_Mod=CS57.0215", "20261")</f>
        <v>20261</v>
      </c>
      <c r="M29" s="7" t="str">
        <f>HYPERLINK("http://ms.phosphosite.org:5080/cgi-bin/plot-msms.cgi?MassType=1&amp;NumAxis=1&amp;Mod12=147&amp;Mod17=147&amp;Mod24=184&amp;Pep=HTPPVQSSSACMFSQEMYGPPALRFESPATGILSPR&amp;Dta=/var/www/html/dta/yong/23617.20426.4.dta&amp;Global_Mod=CS57.0215", "20426")</f>
        <v>20426</v>
      </c>
      <c r="N29" s="10">
        <v>92.91</v>
      </c>
      <c r="O29" s="10">
        <v>92.93</v>
      </c>
      <c r="P29" s="10">
        <v>4.4409999999999998</v>
      </c>
      <c r="Q29" s="10">
        <v>4.335</v>
      </c>
      <c r="R29" s="10">
        <v>1.7211000000000001</v>
      </c>
      <c r="S29" s="10">
        <v>1.3548</v>
      </c>
      <c r="T29" s="10">
        <v>0.27850000000000003</v>
      </c>
      <c r="U29" s="10">
        <v>0.1467</v>
      </c>
      <c r="V29" s="7">
        <v>1</v>
      </c>
      <c r="W29" s="7">
        <v>2</v>
      </c>
      <c r="X29" s="10">
        <v>2.69</v>
      </c>
      <c r="Y29" s="10">
        <v>1.9</v>
      </c>
      <c r="Z29" s="11">
        <v>1000</v>
      </c>
      <c r="AA29" s="11">
        <v>1000</v>
      </c>
      <c r="AB29" s="7" t="s">
        <v>13</v>
      </c>
    </row>
    <row r="30" spans="1:28" s="12" customFormat="1">
      <c r="A30" s="9" t="s">
        <v>21</v>
      </c>
      <c r="B30" s="9" t="s">
        <v>46</v>
      </c>
      <c r="C30" s="9" t="s">
        <v>47</v>
      </c>
      <c r="D30" s="7">
        <v>945</v>
      </c>
      <c r="E30" s="9" t="s">
        <v>48</v>
      </c>
      <c r="F30" s="7" t="s">
        <v>1319</v>
      </c>
      <c r="G30" s="7">
        <v>358</v>
      </c>
      <c r="H30" s="9" t="s">
        <v>51</v>
      </c>
      <c r="I30" s="9" t="s">
        <v>52</v>
      </c>
      <c r="J30" s="7">
        <v>4</v>
      </c>
      <c r="K30" s="7">
        <v>999.22879999999998</v>
      </c>
      <c r="L30" s="7" t="str">
        <f>HYPERLINK("http://ms.phosphosite.org:5080/cgi-bin/plot-msms.cgi?MassType=1&amp;NumAxis=1&amp;Mod12=147&amp;Mod17=147&amp;Mod24=184&amp;Pep=HTPPVQSSSACMFSQEMYGPPALRFESPATGILSPR&amp;Dta=/var/www/html/dta/yong/23616.20278.4.dta&amp;Global_Mod=CS57.0215", "20278")</f>
        <v>20278</v>
      </c>
      <c r="M30" s="7"/>
      <c r="N30" s="10">
        <v>92.98</v>
      </c>
      <c r="O30" s="10"/>
      <c r="P30" s="10">
        <v>5.56</v>
      </c>
      <c r="Q30" s="10"/>
      <c r="R30" s="10">
        <v>1.6979</v>
      </c>
      <c r="S30" s="10"/>
      <c r="T30" s="10">
        <v>0.41770000000000002</v>
      </c>
      <c r="U30" s="10"/>
      <c r="V30" s="7">
        <v>1</v>
      </c>
      <c r="W30" s="7"/>
      <c r="X30" s="10">
        <v>3.81</v>
      </c>
      <c r="Y30" s="10"/>
      <c r="Z30" s="11">
        <v>1000</v>
      </c>
      <c r="AA30" s="11"/>
      <c r="AB30" s="7" t="s">
        <v>13</v>
      </c>
    </row>
    <row r="31" spans="1:28" s="12" customFormat="1">
      <c r="A31" s="9" t="s">
        <v>21</v>
      </c>
      <c r="B31" s="9" t="s">
        <v>46</v>
      </c>
      <c r="C31" s="9" t="s">
        <v>47</v>
      </c>
      <c r="D31" s="7">
        <v>945</v>
      </c>
      <c r="E31" s="9" t="s">
        <v>48</v>
      </c>
      <c r="F31" s="7" t="s">
        <v>1319</v>
      </c>
      <c r="G31" s="7">
        <v>358</v>
      </c>
      <c r="H31" s="9" t="s">
        <v>51</v>
      </c>
      <c r="I31" s="9" t="s">
        <v>52</v>
      </c>
      <c r="J31" s="7">
        <v>4</v>
      </c>
      <c r="K31" s="7">
        <v>999.22879999999998</v>
      </c>
      <c r="L31" s="7" t="str">
        <f>HYPERLINK("http://ms.phosphosite.org:5080/cgi-bin/plot-msms.cgi?MassType=1&amp;NumAxis=1&amp;Mod12=147&amp;Mod17=147&amp;Mod24=184&amp;Pep=HTPPVQSSSACMFSQEMYGPPALRFESPATGILSPR&amp;Dta=/var/www/html/dta/yong/23616.20315.4.dta&amp;Global_Mod=CS57.0215", "20315")</f>
        <v>20315</v>
      </c>
      <c r="M31" s="7" t="str">
        <f>HYPERLINK("http://ms.phosphosite.org:5080/cgi-bin/plot-msms.cgi?MassType=1&amp;NumAxis=1&amp;Mod12=147&amp;Mod17=147&amp;Mod24=184&amp;Pep=HTPPVQSSSACMFSQEMYGPPALRFESPATGILSPR&amp;Dta=/var/www/html/dta/yong/23617.20386.4.dta&amp;Global_Mod=CS57.0215", "20386")</f>
        <v>20386</v>
      </c>
      <c r="N31" s="10">
        <v>93.14</v>
      </c>
      <c r="O31" s="10">
        <v>92.76</v>
      </c>
      <c r="P31" s="10">
        <v>4.8499999999999996</v>
      </c>
      <c r="Q31" s="10">
        <v>4.7750000000000004</v>
      </c>
      <c r="R31" s="10">
        <v>1.6979</v>
      </c>
      <c r="S31" s="10">
        <v>1.4215</v>
      </c>
      <c r="T31" s="10">
        <v>0.45789999999999997</v>
      </c>
      <c r="U31" s="10">
        <v>0.34889999999999999</v>
      </c>
      <c r="V31" s="7">
        <v>1</v>
      </c>
      <c r="W31" s="7">
        <v>2</v>
      </c>
      <c r="X31" s="10">
        <v>3.83</v>
      </c>
      <c r="Y31" s="10">
        <v>3.17</v>
      </c>
      <c r="Z31" s="11">
        <v>1000</v>
      </c>
      <c r="AA31" s="11">
        <v>1000</v>
      </c>
      <c r="AB31" s="7" t="s">
        <v>13</v>
      </c>
    </row>
    <row r="32" spans="1:28" s="13" customFormat="1">
      <c r="A32" s="9" t="s">
        <v>21</v>
      </c>
      <c r="B32" s="9" t="s">
        <v>46</v>
      </c>
      <c r="C32" s="9" t="s">
        <v>47</v>
      </c>
      <c r="D32" s="7">
        <v>945</v>
      </c>
      <c r="E32" s="9" t="s">
        <v>48</v>
      </c>
      <c r="F32" s="7" t="s">
        <v>1319</v>
      </c>
      <c r="G32" s="7">
        <v>358</v>
      </c>
      <c r="H32" s="9" t="s">
        <v>51</v>
      </c>
      <c r="I32" s="9" t="s">
        <v>53</v>
      </c>
      <c r="J32" s="7">
        <v>5</v>
      </c>
      <c r="K32" s="7">
        <v>1141.7482</v>
      </c>
      <c r="L32" s="7" t="str">
        <f>HYPERLINK("http://ms.phosphosite.org:5080/cgi-bin/plot-msms.cgi?MassType=1&amp;NumAxis=1&amp;Mod14=147&amp;Mod26=147&amp;Mod31=147&amp;Mod38=184&amp;Pep=LPPQQHIYAYPQQMHTPPVQSSSACMFSQEMYGPPALRFESPATGILSPR&amp;Dta=/var/www/html/dta/yong/23616.20323.5.dta&amp;Global_Mod=CS57.0215", "20323")</f>
        <v>20323</v>
      </c>
      <c r="M32" s="7" t="str">
        <f>HYPERLINK("http://ms.phosphosite.org:5080/cgi-bin/plot-msms.cgi?MassType=1&amp;NumAxis=1&amp;Mod14=147&amp;Mod26=147&amp;Mod31=147&amp;Mod38=184&amp;Pep=LPPQQHIYAYPQQMHTPPVQSSSACMFSQEMYGPPALRFESPATGILSPR&amp;Dta=/var/www/html/dta/yong/23617.20457.5.dta&amp;Global_Mod=CS57.0215", "20457")</f>
        <v>20457</v>
      </c>
      <c r="N32" s="10">
        <v>93.17</v>
      </c>
      <c r="O32" s="10">
        <v>93.06</v>
      </c>
      <c r="P32" s="10">
        <v>4.3609999999999998</v>
      </c>
      <c r="Q32" s="10">
        <v>4.2060000000000004</v>
      </c>
      <c r="R32" s="10">
        <v>2.3045</v>
      </c>
      <c r="S32" s="10">
        <v>2.1846999999999999</v>
      </c>
      <c r="T32" s="10">
        <v>0.17710000000000001</v>
      </c>
      <c r="U32" s="10">
        <v>0.18959999999999999</v>
      </c>
      <c r="V32" s="7">
        <v>1</v>
      </c>
      <c r="W32" s="7">
        <v>1</v>
      </c>
      <c r="X32" s="10">
        <v>1.95</v>
      </c>
      <c r="Y32" s="10">
        <v>1.93</v>
      </c>
      <c r="Z32" s="11">
        <v>1000</v>
      </c>
      <c r="AA32" s="11">
        <v>1000</v>
      </c>
      <c r="AB32" s="7" t="s">
        <v>13</v>
      </c>
    </row>
    <row r="33" spans="1:28" s="12" customFormat="1">
      <c r="A33" s="9" t="s">
        <v>21</v>
      </c>
      <c r="B33" s="9" t="s">
        <v>46</v>
      </c>
      <c r="C33" s="9" t="s">
        <v>47</v>
      </c>
      <c r="D33" s="7">
        <v>945</v>
      </c>
      <c r="E33" s="9" t="s">
        <v>48</v>
      </c>
      <c r="F33" s="7" t="s">
        <v>1319</v>
      </c>
      <c r="G33" s="7">
        <v>358</v>
      </c>
      <c r="H33" s="9" t="s">
        <v>51</v>
      </c>
      <c r="I33" s="9" t="s">
        <v>54</v>
      </c>
      <c r="J33" s="7">
        <v>3</v>
      </c>
      <c r="K33" s="7">
        <v>948.13490000000002</v>
      </c>
      <c r="L33" s="7" t="str">
        <f>HYPERLINK("http://ms.phosphosite.org:5080/cgi-bin/plot-msms.cgi?MassType=1&amp;NumAxis=1&amp;Mod1=147&amp;Mod6=147&amp;Mod13=184&amp;Pep=MFSQEMYGPPALRFESPATGILSPR&amp;Dta=/var/www/html/dta/yong/23616.21608.3.dta&amp;Global_Mod=CS57.0215", "21608")</f>
        <v>21608</v>
      </c>
      <c r="M33" s="7" t="str">
        <f>HYPERLINK("http://ms.phosphosite.org:5080/cgi-bin/plot-msms.cgi?MassType=1&amp;NumAxis=1&amp;Mod1=147&amp;Mod6=147&amp;Mod13=184&amp;Pep=MFSQEMYGPPALRFESPATGILSPR&amp;Dta=/var/www/html/dta/yong/23617.21814.3.dta&amp;Global_Mod=CS57.0215", "21814")</f>
        <v>21814</v>
      </c>
      <c r="N33" s="10">
        <v>98.52</v>
      </c>
      <c r="O33" s="10">
        <v>98.67</v>
      </c>
      <c r="P33" s="10">
        <v>4.18</v>
      </c>
      <c r="Q33" s="10">
        <v>3.64</v>
      </c>
      <c r="R33" s="10">
        <v>0.67030000000000001</v>
      </c>
      <c r="S33" s="10">
        <v>1.7462</v>
      </c>
      <c r="T33" s="10">
        <v>0.4577</v>
      </c>
      <c r="U33" s="10">
        <v>0.32190000000000002</v>
      </c>
      <c r="V33" s="7">
        <v>1</v>
      </c>
      <c r="W33" s="7">
        <v>1</v>
      </c>
      <c r="X33" s="10">
        <v>3.77</v>
      </c>
      <c r="Y33" s="10">
        <v>2.76</v>
      </c>
      <c r="Z33" s="11">
        <v>1000</v>
      </c>
      <c r="AA33" s="11">
        <v>1000</v>
      </c>
      <c r="AB33" s="7" t="s">
        <v>13</v>
      </c>
    </row>
    <row r="34" spans="1:28" s="12" customFormat="1">
      <c r="A34" s="9" t="s">
        <v>21</v>
      </c>
      <c r="B34" s="9" t="s">
        <v>46</v>
      </c>
      <c r="C34" s="9" t="s">
        <v>47</v>
      </c>
      <c r="D34" s="7">
        <v>945</v>
      </c>
      <c r="E34" s="9" t="s">
        <v>48</v>
      </c>
      <c r="F34" s="7" t="s">
        <v>1319</v>
      </c>
      <c r="G34" s="7">
        <v>358</v>
      </c>
      <c r="H34" s="9" t="s">
        <v>51</v>
      </c>
      <c r="I34" s="9" t="s">
        <v>54</v>
      </c>
      <c r="J34" s="7">
        <v>3</v>
      </c>
      <c r="K34" s="7">
        <v>948.13490000000002</v>
      </c>
      <c r="L34" s="7" t="str">
        <f>HYPERLINK("http://ms.phosphosite.org:5080/cgi-bin/plot-msms.cgi?MassType=1&amp;NumAxis=1&amp;Mod1=147&amp;Mod6=147&amp;Mod13=184&amp;Pep=MFSQEMYGPPALRFESPATGILSPR&amp;Dta=/var/www/html/dta/yong/23616.21653.3.dta&amp;Global_Mod=CS57.0215", "21653")</f>
        <v>21653</v>
      </c>
      <c r="M34" s="7" t="str">
        <f>HYPERLINK("http://ms.phosphosite.org:5080/cgi-bin/plot-msms.cgi?MassType=1&amp;NumAxis=1&amp;Mod1=147&amp;Mod6=147&amp;Mod13=184&amp;Pep=MFSQEMYGPPALRFESPATGILSPR&amp;Dta=/var/www/html/dta/yong/23617.21751.3.dta&amp;Global_Mod=CS57.0215", "21751")</f>
        <v>21751</v>
      </c>
      <c r="N34" s="10">
        <v>98.69</v>
      </c>
      <c r="O34" s="10">
        <v>98.45</v>
      </c>
      <c r="P34" s="10">
        <v>4.62</v>
      </c>
      <c r="Q34" s="10">
        <v>4.1859999999999999</v>
      </c>
      <c r="R34" s="10">
        <v>1.1940999999999999</v>
      </c>
      <c r="S34" s="10">
        <v>1.1329</v>
      </c>
      <c r="T34" s="10">
        <v>0.4496</v>
      </c>
      <c r="U34" s="10">
        <v>0.42799999999999999</v>
      </c>
      <c r="V34" s="7">
        <v>1</v>
      </c>
      <c r="W34" s="7">
        <v>1</v>
      </c>
      <c r="X34" s="10">
        <v>3.83</v>
      </c>
      <c r="Y34" s="10">
        <v>3.55</v>
      </c>
      <c r="Z34" s="11">
        <v>1000</v>
      </c>
      <c r="AA34" s="11">
        <v>1000</v>
      </c>
      <c r="AB34" s="7" t="s">
        <v>13</v>
      </c>
    </row>
    <row r="35" spans="1:28" s="12" customFormat="1">
      <c r="A35" s="9" t="s">
        <v>21</v>
      </c>
      <c r="B35" s="9" t="s">
        <v>46</v>
      </c>
      <c r="C35" s="9" t="s">
        <v>47</v>
      </c>
      <c r="D35" s="7">
        <v>945</v>
      </c>
      <c r="E35" s="9" t="s">
        <v>48</v>
      </c>
      <c r="F35" s="7" t="s">
        <v>1319</v>
      </c>
      <c r="G35" s="7">
        <v>358</v>
      </c>
      <c r="H35" s="9" t="s">
        <v>51</v>
      </c>
      <c r="I35" s="9" t="s">
        <v>55</v>
      </c>
      <c r="J35" s="7">
        <v>3</v>
      </c>
      <c r="K35" s="7">
        <v>686.37750000000005</v>
      </c>
      <c r="L35" s="7"/>
      <c r="M35" s="7" t="str">
        <f>HYPERLINK("http://ms.phosphosite.org:5080/cgi-bin/plot-msms.cgi?MassType=1&amp;NumAxis=1&amp;Mod7=184&amp;Pep=YGPPALRFESPATGILSPR&amp;Dta=/var/www/html/dta/yong/23617.20143.3.dta&amp;Global_Mod=CS57.0215", "20143")</f>
        <v>20143</v>
      </c>
      <c r="N35" s="10"/>
      <c r="O35" s="10">
        <v>91.76</v>
      </c>
      <c r="P35" s="10"/>
      <c r="Q35" s="10">
        <v>3.1549999999999998</v>
      </c>
      <c r="R35" s="10"/>
      <c r="S35" s="10">
        <v>1.0792999999999999</v>
      </c>
      <c r="T35" s="10"/>
      <c r="U35" s="10">
        <v>0.21940000000000001</v>
      </c>
      <c r="V35" s="7"/>
      <c r="W35" s="7">
        <v>5</v>
      </c>
      <c r="X35" s="10"/>
      <c r="Y35" s="10">
        <v>2.12</v>
      </c>
      <c r="Z35" s="11"/>
      <c r="AA35" s="11">
        <v>1000</v>
      </c>
      <c r="AB35" s="7" t="s">
        <v>13</v>
      </c>
    </row>
    <row r="36" spans="1:28" s="12" customFormat="1">
      <c r="A36" s="3" t="s">
        <v>21</v>
      </c>
      <c r="B36" s="3" t="s">
        <v>1531</v>
      </c>
      <c r="C36" s="3" t="s">
        <v>1532</v>
      </c>
      <c r="D36" s="4">
        <v>890</v>
      </c>
      <c r="E36" s="3" t="s">
        <v>48</v>
      </c>
      <c r="F36" s="7" t="s">
        <v>1319</v>
      </c>
      <c r="G36" s="4">
        <v>358</v>
      </c>
      <c r="H36" s="3" t="s">
        <v>56</v>
      </c>
      <c r="I36" s="3" t="s">
        <v>59</v>
      </c>
      <c r="J36" s="4">
        <v>3</v>
      </c>
      <c r="K36" s="4">
        <v>866.45010000000002</v>
      </c>
      <c r="L36" s="4" t="str">
        <f>HYPERLINK("http://ms.phosphosite.org:5080/cgi-bin/plot-msms.cgi?MassType=1&amp;NumAxis=1&amp;Mod14=184&amp;Pep=YSQSPAYNSQYLLRPAANVTPTK&amp;Dta=/var/www/html/dta/yong/23616.14648.3.dta&amp;Global_Mod=CS57.0215", "14648")</f>
        <v>14648</v>
      </c>
      <c r="M36" s="4" t="str">
        <f>HYPERLINK("http://ms.phosphosite.org:5080/cgi-bin/plot-msms.cgi?MassType=1&amp;NumAxis=1&amp;Mod14=184&amp;Pep=YSQSPAYNSQYLLRPAANVTPTK&amp;Dta=/var/www/html/dta/yong/23617.14785.3.dta&amp;Global_Mod=CS57.0215", "14785")</f>
        <v>14785</v>
      </c>
      <c r="N36" s="5">
        <v>69.2</v>
      </c>
      <c r="O36" s="5">
        <v>69.069999999999993</v>
      </c>
      <c r="P36" s="5">
        <v>3.32</v>
      </c>
      <c r="Q36" s="5">
        <v>3.1560000000000001</v>
      </c>
      <c r="R36" s="5">
        <v>1.3792</v>
      </c>
      <c r="S36" s="5">
        <v>1.4717</v>
      </c>
      <c r="T36" s="5">
        <v>0.40110000000000001</v>
      </c>
      <c r="U36" s="5">
        <v>0.37130000000000002</v>
      </c>
      <c r="V36" s="4">
        <v>1</v>
      </c>
      <c r="W36" s="4">
        <v>1</v>
      </c>
      <c r="X36" s="5">
        <v>3.37</v>
      </c>
      <c r="Y36" s="5">
        <v>3.1</v>
      </c>
      <c r="Z36" s="6">
        <v>1000</v>
      </c>
      <c r="AA36" s="6">
        <v>1000</v>
      </c>
      <c r="AB36" s="4" t="s">
        <v>13</v>
      </c>
    </row>
    <row r="37" spans="1:28" s="12" customFormat="1">
      <c r="A37" s="3" t="s">
        <v>21</v>
      </c>
      <c r="B37" s="3" t="s">
        <v>1531</v>
      </c>
      <c r="C37" s="3" t="s">
        <v>1532</v>
      </c>
      <c r="D37" s="4">
        <v>890</v>
      </c>
      <c r="E37" s="3" t="s">
        <v>48</v>
      </c>
      <c r="F37" s="7" t="s">
        <v>1319</v>
      </c>
      <c r="G37" s="4">
        <v>358</v>
      </c>
      <c r="H37" s="3" t="s">
        <v>56</v>
      </c>
      <c r="I37" s="3" t="s">
        <v>57</v>
      </c>
      <c r="J37" s="4">
        <v>3</v>
      </c>
      <c r="K37" s="4">
        <v>436.93810000000002</v>
      </c>
      <c r="L37" s="4" t="str">
        <f>HYPERLINK("http://ms.phosphosite.org:5080/cgi-bin/plot-msms.cgi?MassType=1&amp;NumAxis=1&amp;Mod3=184&amp;Pep=LLRPAANVTPTK&amp;Dta=/var/www/html/dta/yong/23616.6472.3.dta&amp;Global_Mod=CS57.0215", "6472")</f>
        <v>6472</v>
      </c>
      <c r="M37" s="4" t="str">
        <f>HYPERLINK("http://ms.phosphosite.org:5080/cgi-bin/plot-msms.cgi?MassType=1&amp;NumAxis=1&amp;Mod3=184&amp;Pep=LLRPAANVTPTK&amp;Dta=/var/www/html/dta/yong/23617.6543.3.dta&amp;Global_Mod=CS57.0215", "6543")</f>
        <v>6543</v>
      </c>
      <c r="N37" s="5">
        <v>34.25</v>
      </c>
      <c r="O37" s="5">
        <v>34.25</v>
      </c>
      <c r="P37" s="5">
        <v>3.2589999999999999</v>
      </c>
      <c r="Q37" s="5">
        <v>3.266</v>
      </c>
      <c r="R37" s="5">
        <v>-0.15509999999999999</v>
      </c>
      <c r="S37" s="5">
        <v>-0.34799999999999998</v>
      </c>
      <c r="T37" s="5">
        <v>0.27910000000000001</v>
      </c>
      <c r="U37" s="5">
        <v>0.19620000000000001</v>
      </c>
      <c r="V37" s="4">
        <v>3</v>
      </c>
      <c r="W37" s="4">
        <v>1</v>
      </c>
      <c r="X37" s="5">
        <v>2.78</v>
      </c>
      <c r="Y37" s="5">
        <v>2.2799999999999998</v>
      </c>
      <c r="Z37" s="6">
        <v>1000</v>
      </c>
      <c r="AA37" s="6">
        <v>1000</v>
      </c>
      <c r="AB37" s="4" t="s">
        <v>13</v>
      </c>
    </row>
    <row r="38" spans="1:28" s="12" customFormat="1">
      <c r="A38" s="3" t="s">
        <v>21</v>
      </c>
      <c r="B38" s="3" t="s">
        <v>1531</v>
      </c>
      <c r="C38" s="3" t="s">
        <v>1532</v>
      </c>
      <c r="D38" s="4">
        <v>890</v>
      </c>
      <c r="E38" s="3" t="s">
        <v>48</v>
      </c>
      <c r="F38" s="7" t="s">
        <v>1319</v>
      </c>
      <c r="G38" s="4">
        <v>358</v>
      </c>
      <c r="H38" s="3" t="s">
        <v>56</v>
      </c>
      <c r="I38" s="3" t="s">
        <v>58</v>
      </c>
      <c r="J38" s="4">
        <v>3</v>
      </c>
      <c r="K38" s="4">
        <v>491.29259999999999</v>
      </c>
      <c r="L38" s="4" t="str">
        <f>HYPERLINK("http://ms.phosphosite.org:5080/cgi-bin/plot-msms.cgi?MassType=1&amp;NumAxis=1&amp;Mod4=184&amp;Pep=YLLRPAANVTPTK&amp;Dta=/var/www/html/dta/yong/23616.9515.3.dta&amp;Global_Mod=CS57.0215", "9515")</f>
        <v>9515</v>
      </c>
      <c r="M38" s="4" t="str">
        <f>HYPERLINK("http://ms.phosphosite.org:5080/cgi-bin/plot-msms.cgi?MassType=1&amp;NumAxis=1&amp;Mod4=184&amp;Pep=YLLRPAANVTPTK&amp;Dta=/var/www/html/dta/yong/23617.9614.3.dta&amp;Global_Mod=CS57.0215", "9614")</f>
        <v>9614</v>
      </c>
      <c r="N38" s="5">
        <v>47.08</v>
      </c>
      <c r="O38" s="5">
        <v>47.03</v>
      </c>
      <c r="P38" s="5">
        <v>2.9910000000000001</v>
      </c>
      <c r="Q38" s="5">
        <v>3.008</v>
      </c>
      <c r="R38" s="5">
        <v>-1.9442999999999999</v>
      </c>
      <c r="S38" s="5">
        <v>-1.2665999999999999</v>
      </c>
      <c r="T38" s="5">
        <v>0.379</v>
      </c>
      <c r="U38" s="5">
        <v>0.28599999999999998</v>
      </c>
      <c r="V38" s="4">
        <v>2</v>
      </c>
      <c r="W38" s="4">
        <v>1</v>
      </c>
      <c r="X38" s="5">
        <v>3.17</v>
      </c>
      <c r="Y38" s="5">
        <v>2.65</v>
      </c>
      <c r="Z38" s="6">
        <v>1000</v>
      </c>
      <c r="AA38" s="6">
        <v>1000</v>
      </c>
      <c r="AB38" s="4" t="s">
        <v>13</v>
      </c>
    </row>
    <row r="39" spans="1:28" s="12" customFormat="1">
      <c r="A39" s="3" t="s">
        <v>21</v>
      </c>
      <c r="B39" s="3" t="s">
        <v>1531</v>
      </c>
      <c r="C39" s="3" t="s">
        <v>1532</v>
      </c>
      <c r="D39" s="4">
        <v>890</v>
      </c>
      <c r="E39" s="3" t="s">
        <v>48</v>
      </c>
      <c r="F39" s="7" t="s">
        <v>1319</v>
      </c>
      <c r="G39" s="4">
        <v>358</v>
      </c>
      <c r="H39" s="3" t="s">
        <v>56</v>
      </c>
      <c r="I39" s="3" t="s">
        <v>58</v>
      </c>
      <c r="J39" s="4">
        <v>3</v>
      </c>
      <c r="K39" s="4">
        <v>491.29259999999999</v>
      </c>
      <c r="L39" s="4" t="str">
        <f>HYPERLINK("http://ms.phosphosite.org:5080/cgi-bin/plot-msms.cgi?MassType=1&amp;NumAxis=1&amp;Mod4=184&amp;Pep=YLLRPAANVTPTK&amp;Dta=/var/www/html/dta/yong/23616.9536.3.dta&amp;Global_Mod=CS57.0215", "9536")</f>
        <v>9536</v>
      </c>
      <c r="M39" s="4" t="str">
        <f>HYPERLINK("http://ms.phosphosite.org:5080/cgi-bin/plot-msms.cgi?MassType=1&amp;NumAxis=1&amp;Mod4=184&amp;Pep=YLLRPAANVTPTK&amp;Dta=/var/www/html/dta/yong/23617.9621.3.dta&amp;Global_Mod=CS57.0215", "9621")</f>
        <v>9621</v>
      </c>
      <c r="N39" s="5">
        <v>47.17</v>
      </c>
      <c r="O39" s="5">
        <v>47.06</v>
      </c>
      <c r="P39" s="5">
        <v>2.4369999999999998</v>
      </c>
      <c r="Q39" s="5">
        <v>3.5470000000000002</v>
      </c>
      <c r="R39" s="5">
        <v>-1.5835999999999999</v>
      </c>
      <c r="S39" s="5">
        <v>0.36849999999999999</v>
      </c>
      <c r="T39" s="5">
        <v>0.18609999999999999</v>
      </c>
      <c r="U39" s="5">
        <v>0.38219999999999998</v>
      </c>
      <c r="V39" s="4">
        <v>1</v>
      </c>
      <c r="W39" s="4">
        <v>1</v>
      </c>
      <c r="X39" s="5">
        <v>1.94</v>
      </c>
      <c r="Y39" s="5">
        <v>3.43</v>
      </c>
      <c r="Z39" s="6">
        <v>1000</v>
      </c>
      <c r="AA39" s="6">
        <v>1000</v>
      </c>
      <c r="AB39" s="4" t="s">
        <v>13</v>
      </c>
    </row>
    <row r="40" spans="1:28" s="12" customFormat="1">
      <c r="A40" s="3" t="s">
        <v>21</v>
      </c>
      <c r="B40" s="3" t="s">
        <v>1533</v>
      </c>
      <c r="C40" s="3" t="s">
        <v>1534</v>
      </c>
      <c r="D40" s="4">
        <v>233</v>
      </c>
      <c r="E40" s="3" t="s">
        <v>60</v>
      </c>
      <c r="F40" s="7" t="s">
        <v>1320</v>
      </c>
      <c r="G40" s="4">
        <v>78.599999999999994</v>
      </c>
      <c r="H40" s="3" t="s">
        <v>61</v>
      </c>
      <c r="I40" s="3" t="s">
        <v>62</v>
      </c>
      <c r="J40" s="4">
        <v>3</v>
      </c>
      <c r="K40" s="4">
        <v>632.65719999999999</v>
      </c>
      <c r="L40" s="4" t="str">
        <f>HYPERLINK("http://ms.phosphosite.org:5080/cgi-bin/plot-msms.cgi?MassType=1&amp;NumAxis=1&amp;Mod9=184&amp;Pep=GSPGSIYIRQTSQSSSGR&amp;Dta=/var/www/html/dta/yong/23616.7057.3.dta&amp;Global_Mod=CS57.0215", "7057")</f>
        <v>7057</v>
      </c>
      <c r="M40" s="4" t="str">
        <f>HYPERLINK("http://ms.phosphosite.org:5080/cgi-bin/plot-msms.cgi?MassType=1&amp;NumAxis=1&amp;Mod9=184&amp;Pep=GSPGSIYIRQTSQSSSGR&amp;Dta=/var/www/html/dta/yong/23617.7188.3.dta&amp;Global_Mod=CS57.0215", "7188")</f>
        <v>7188</v>
      </c>
      <c r="N40" s="5">
        <v>36.700000000000003</v>
      </c>
      <c r="O40" s="5">
        <v>36.950000000000003</v>
      </c>
      <c r="P40" s="5">
        <v>2.4369999999999998</v>
      </c>
      <c r="Q40" s="5">
        <v>2.98</v>
      </c>
      <c r="R40" s="5">
        <v>0.86209999999999998</v>
      </c>
      <c r="S40" s="5">
        <v>1.24E-2</v>
      </c>
      <c r="T40" s="5">
        <v>0.27710000000000001</v>
      </c>
      <c r="U40" s="5">
        <v>0.33150000000000002</v>
      </c>
      <c r="V40" s="4">
        <v>1</v>
      </c>
      <c r="W40" s="4">
        <v>6</v>
      </c>
      <c r="X40" s="5">
        <v>2.12</v>
      </c>
      <c r="Y40" s="5">
        <v>2.63</v>
      </c>
      <c r="Z40" s="6">
        <v>1000</v>
      </c>
      <c r="AA40" s="6">
        <v>1000</v>
      </c>
      <c r="AB40" s="4" t="s">
        <v>13</v>
      </c>
    </row>
    <row r="41" spans="1:28" s="12" customFormat="1">
      <c r="A41" s="3" t="s">
        <v>21</v>
      </c>
      <c r="B41" s="3" t="s">
        <v>1533</v>
      </c>
      <c r="C41" s="3" t="s">
        <v>1534</v>
      </c>
      <c r="D41" s="4">
        <v>233</v>
      </c>
      <c r="E41" s="3" t="s">
        <v>60</v>
      </c>
      <c r="F41" s="7" t="s">
        <v>1320</v>
      </c>
      <c r="G41" s="4">
        <v>78.599999999999994</v>
      </c>
      <c r="H41" s="3" t="s">
        <v>61</v>
      </c>
      <c r="I41" s="3" t="s">
        <v>63</v>
      </c>
      <c r="J41" s="4">
        <v>2</v>
      </c>
      <c r="K41" s="4">
        <v>617.82860000000005</v>
      </c>
      <c r="L41" s="4"/>
      <c r="M41" s="4" t="str">
        <f>HYPERLINK("http://ms.phosphosite.org:5080/cgi-bin/plot-msms.cgi?MassType=1&amp;NumAxis=1&amp;Mod2=184&amp;Pep=IRQTSQSSSGR&amp;Dta=/var/www/html/dta/yong/23617.692.2.dta&amp;Global_Mod=CS57.0215", "692")</f>
        <v>692</v>
      </c>
      <c r="N41" s="5"/>
      <c r="O41" s="5">
        <v>9.49</v>
      </c>
      <c r="P41" s="5"/>
      <c r="Q41" s="5">
        <v>2.581</v>
      </c>
      <c r="R41" s="5"/>
      <c r="S41" s="5">
        <v>0.61339999999999995</v>
      </c>
      <c r="T41" s="5"/>
      <c r="U41" s="5">
        <v>0.1991</v>
      </c>
      <c r="V41" s="4"/>
      <c r="W41" s="4">
        <v>1</v>
      </c>
      <c r="X41" s="5"/>
      <c r="Y41" s="5">
        <v>1.83</v>
      </c>
      <c r="Z41" s="6"/>
      <c r="AA41" s="6">
        <v>1000</v>
      </c>
      <c r="AB41" s="4" t="s">
        <v>13</v>
      </c>
    </row>
    <row r="42" spans="1:28" s="12" customFormat="1">
      <c r="A42" s="3" t="s">
        <v>21</v>
      </c>
      <c r="B42" s="3" t="s">
        <v>64</v>
      </c>
      <c r="C42" s="3" t="s">
        <v>65</v>
      </c>
      <c r="D42" s="4">
        <v>915</v>
      </c>
      <c r="E42" s="3" t="s">
        <v>66</v>
      </c>
      <c r="F42" s="7" t="s">
        <v>1321</v>
      </c>
      <c r="G42" s="4">
        <v>145.80000000000001</v>
      </c>
      <c r="H42" s="3" t="s">
        <v>75</v>
      </c>
      <c r="I42" s="3" t="s">
        <v>76</v>
      </c>
      <c r="J42" s="4">
        <v>4</v>
      </c>
      <c r="K42" s="4">
        <v>909.97749999999996</v>
      </c>
      <c r="L42" s="4" t="str">
        <f>HYPERLINK("http://ms.phosphosite.org:5080/cgi-bin/plot-msms.cgi?MassType=1&amp;NumAxis=1&amp;Mod9=184&amp;Pep=TPLLGDGPRAPFNQEGQSTGPPPLIPGLGQQGAQGR&amp;Dta=/var/www/html/dta/yong/23616.21312.4.dta&amp;Global_Mod=CS57.0215", "21312")</f>
        <v>21312</v>
      </c>
      <c r="M42" s="4" t="str">
        <f>HYPERLINK("http://ms.phosphosite.org:5080/cgi-bin/plot-msms.cgi?MassType=1&amp;NumAxis=1&amp;Mod9=184&amp;Pep=TPLLGDGPRAPFNQEGQSTGPPPLIPGLGQQGAQGR&amp;Dta=/var/www/html/dta/yong/23617.21506.4.dta&amp;Global_Mod=CS57.0215", "21506")</f>
        <v>21506</v>
      </c>
      <c r="N42" s="5">
        <v>97.34</v>
      </c>
      <c r="O42" s="5">
        <v>97.47</v>
      </c>
      <c r="P42" s="5">
        <v>4.2220000000000004</v>
      </c>
      <c r="Q42" s="5">
        <v>3.581</v>
      </c>
      <c r="R42" s="5">
        <v>1.3158000000000001</v>
      </c>
      <c r="S42" s="5">
        <v>1.1560999999999999</v>
      </c>
      <c r="T42" s="5">
        <v>0.23250000000000001</v>
      </c>
      <c r="U42" s="5">
        <v>0.26340000000000002</v>
      </c>
      <c r="V42" s="4">
        <v>1</v>
      </c>
      <c r="W42" s="4">
        <v>1</v>
      </c>
      <c r="X42" s="5">
        <v>2.39</v>
      </c>
      <c r="Y42" s="5">
        <v>2.4500000000000002</v>
      </c>
      <c r="Z42" s="6">
        <v>1000</v>
      </c>
      <c r="AA42" s="6">
        <v>1000</v>
      </c>
      <c r="AB42" s="4" t="s">
        <v>13</v>
      </c>
    </row>
    <row r="43" spans="1:28" s="12" customFormat="1">
      <c r="A43" s="3" t="s">
        <v>21</v>
      </c>
      <c r="B43" s="3" t="s">
        <v>64</v>
      </c>
      <c r="C43" s="3" t="s">
        <v>65</v>
      </c>
      <c r="D43" s="4">
        <v>915</v>
      </c>
      <c r="E43" s="3" t="s">
        <v>66</v>
      </c>
      <c r="F43" s="7" t="s">
        <v>1321</v>
      </c>
      <c r="G43" s="4">
        <v>145.80000000000001</v>
      </c>
      <c r="H43" s="3" t="s">
        <v>75</v>
      </c>
      <c r="I43" s="3" t="s">
        <v>76</v>
      </c>
      <c r="J43" s="4">
        <v>3</v>
      </c>
      <c r="K43" s="4">
        <v>1212.9675999999999</v>
      </c>
      <c r="L43" s="4" t="str">
        <f>HYPERLINK("http://ms.phosphosite.org:5080/cgi-bin/plot-msms.cgi?MassType=1&amp;NumAxis=1&amp;Mod9=184&amp;Pep=TPLLGDGPRAPFNQEGQSTGPPPLIPGLGQQGAQGR&amp;Dta=/var/www/html/dta/yong/23616.21320.3.dta&amp;Global_Mod=CS57.0215", "21320")</f>
        <v>21320</v>
      </c>
      <c r="M43" s="4" t="str">
        <f>HYPERLINK("http://ms.phosphosite.org:5080/cgi-bin/plot-msms.cgi?MassType=1&amp;NumAxis=1&amp;Mod9=184&amp;Pep=TPLLGDGPRAPFNQEGQSTGPPPLIPGLGQQGAQGR&amp;Dta=/var/www/html/dta/yong/23617.21468.3.dta&amp;Global_Mod=CS57.0215", "21468")</f>
        <v>21468</v>
      </c>
      <c r="N43" s="5">
        <v>97.38</v>
      </c>
      <c r="O43" s="5">
        <v>97.31</v>
      </c>
      <c r="P43" s="5">
        <v>6.7759999999999998</v>
      </c>
      <c r="Q43" s="5">
        <v>4.9219999999999997</v>
      </c>
      <c r="R43" s="5">
        <v>1.0516000000000001</v>
      </c>
      <c r="S43" s="5">
        <v>1.2625</v>
      </c>
      <c r="T43" s="5">
        <v>0.54300000000000004</v>
      </c>
      <c r="U43" s="5">
        <v>0.3997</v>
      </c>
      <c r="V43" s="4">
        <v>1</v>
      </c>
      <c r="W43" s="4">
        <v>1</v>
      </c>
      <c r="X43" s="5">
        <v>4.88</v>
      </c>
      <c r="Y43" s="5">
        <v>3.61</v>
      </c>
      <c r="Z43" s="6">
        <v>1000</v>
      </c>
      <c r="AA43" s="6">
        <v>1000</v>
      </c>
      <c r="AB43" s="4" t="s">
        <v>13</v>
      </c>
    </row>
    <row r="44" spans="1:28" s="13" customFormat="1">
      <c r="A44" s="3" t="s">
        <v>21</v>
      </c>
      <c r="B44" s="3" t="s">
        <v>64</v>
      </c>
      <c r="C44" s="3" t="s">
        <v>65</v>
      </c>
      <c r="D44" s="4">
        <v>915</v>
      </c>
      <c r="E44" s="3" t="s">
        <v>66</v>
      </c>
      <c r="F44" s="7" t="s">
        <v>1321</v>
      </c>
      <c r="G44" s="4">
        <v>145.80000000000001</v>
      </c>
      <c r="H44" s="3" t="s">
        <v>75</v>
      </c>
      <c r="I44" s="3" t="s">
        <v>76</v>
      </c>
      <c r="J44" s="4">
        <v>3</v>
      </c>
      <c r="K44" s="4">
        <v>1212.9675999999999</v>
      </c>
      <c r="L44" s="4" t="str">
        <f>HYPERLINK("http://ms.phosphosite.org:5080/cgi-bin/plot-msms.cgi?MassType=1&amp;NumAxis=1&amp;Mod9=184&amp;Pep=TPLLGDGPRAPFNQEGQSTGPPPLIPGLGQQGAQGR&amp;Dta=/var/www/html/dta/yong/23616.21336.3.dta&amp;Global_Mod=CS57.0215", "21336")</f>
        <v>21336</v>
      </c>
      <c r="M44" s="4" t="str">
        <f>HYPERLINK("http://ms.phosphosite.org:5080/cgi-bin/plot-msms.cgi?MassType=1&amp;NumAxis=1&amp;Mod9=184&amp;Pep=TPLLGDGPRAPFNQEGQSTGPPPLIPGLGQQGAQGR&amp;Dta=/var/www/html/dta/yong/23617.21454.3.dta&amp;Global_Mod=CS57.0215", "21454")</f>
        <v>21454</v>
      </c>
      <c r="N44" s="5">
        <v>97.44</v>
      </c>
      <c r="O44" s="5">
        <v>97.25</v>
      </c>
      <c r="P44" s="5">
        <v>5.476</v>
      </c>
      <c r="Q44" s="5">
        <v>6.5540000000000003</v>
      </c>
      <c r="R44" s="5">
        <v>1.2838000000000001</v>
      </c>
      <c r="S44" s="5">
        <v>1.2625</v>
      </c>
      <c r="T44" s="5">
        <v>0.46260000000000001</v>
      </c>
      <c r="U44" s="5">
        <v>0.40920000000000001</v>
      </c>
      <c r="V44" s="4">
        <v>1</v>
      </c>
      <c r="W44" s="4">
        <v>1</v>
      </c>
      <c r="X44" s="5">
        <v>4.04</v>
      </c>
      <c r="Y44" s="5">
        <v>4.17</v>
      </c>
      <c r="Z44" s="6">
        <v>1000</v>
      </c>
      <c r="AA44" s="6">
        <v>1000</v>
      </c>
      <c r="AB44" s="4" t="s">
        <v>13</v>
      </c>
    </row>
    <row r="45" spans="1:28" s="12" customFormat="1">
      <c r="A45" s="9" t="s">
        <v>21</v>
      </c>
      <c r="B45" s="9" t="s">
        <v>64</v>
      </c>
      <c r="C45" s="9" t="s">
        <v>65</v>
      </c>
      <c r="D45" s="7">
        <v>1315</v>
      </c>
      <c r="E45" s="9" t="s">
        <v>66</v>
      </c>
      <c r="F45" s="7" t="s">
        <v>1321</v>
      </c>
      <c r="G45" s="7">
        <v>145.80000000000001</v>
      </c>
      <c r="H45" s="9" t="s">
        <v>67</v>
      </c>
      <c r="I45" s="9" t="s">
        <v>68</v>
      </c>
      <c r="J45" s="7">
        <v>2</v>
      </c>
      <c r="K45" s="7">
        <v>525.24159999999995</v>
      </c>
      <c r="L45" s="7" t="str">
        <f>HYPERLINK("http://ms.phosphosite.org:5080/cgi-bin/plot-msms.cgi?MassType=1&amp;NumAxis=1&amp;Mod7=184&amp;Pep=SGSNWGRGSN&amp;Dta=/var/www/html/dta/yong/23616.3317.2.dta&amp;Global_Mod=CS57.0215", "3317")</f>
        <v>3317</v>
      </c>
      <c r="M45" s="7" t="str">
        <f>HYPERLINK("http://ms.phosphosite.org:5080/cgi-bin/plot-msms.cgi?MassType=1&amp;NumAxis=1&amp;Mod7=184&amp;Pep=SGSNWGRGSN&amp;Dta=/var/www/html/dta/yong/23617.3386.2.dta&amp;Global_Mod=CS57.0215", "3386")</f>
        <v>3386</v>
      </c>
      <c r="N45" s="10">
        <v>21.01</v>
      </c>
      <c r="O45" s="10">
        <v>21.01</v>
      </c>
      <c r="P45" s="10">
        <v>2.4529999999999998</v>
      </c>
      <c r="Q45" s="10">
        <v>2.4329999999999998</v>
      </c>
      <c r="R45" s="10">
        <v>0.80230000000000001</v>
      </c>
      <c r="S45" s="10">
        <v>0.37</v>
      </c>
      <c r="T45" s="10">
        <v>0.2472</v>
      </c>
      <c r="U45" s="10">
        <v>0.28210000000000002</v>
      </c>
      <c r="V45" s="7">
        <v>1</v>
      </c>
      <c r="W45" s="7">
        <v>1</v>
      </c>
      <c r="X45" s="10">
        <v>2.2000000000000002</v>
      </c>
      <c r="Y45" s="10">
        <v>2.4900000000000002</v>
      </c>
      <c r="Z45" s="11">
        <v>1000</v>
      </c>
      <c r="AA45" s="11">
        <v>1000</v>
      </c>
      <c r="AB45" s="7" t="s">
        <v>13</v>
      </c>
    </row>
    <row r="46" spans="1:28" s="12" customFormat="1">
      <c r="A46" s="9" t="s">
        <v>21</v>
      </c>
      <c r="B46" s="9" t="s">
        <v>64</v>
      </c>
      <c r="C46" s="9" t="s">
        <v>65</v>
      </c>
      <c r="D46" s="7">
        <v>1315</v>
      </c>
      <c r="E46" s="9" t="s">
        <v>66</v>
      </c>
      <c r="F46" s="7" t="s">
        <v>1321</v>
      </c>
      <c r="G46" s="7">
        <v>145.80000000000001</v>
      </c>
      <c r="H46" s="9" t="s">
        <v>67</v>
      </c>
      <c r="I46" s="9" t="s">
        <v>69</v>
      </c>
      <c r="J46" s="7">
        <v>2</v>
      </c>
      <c r="K46" s="7">
        <v>655.7808</v>
      </c>
      <c r="L46" s="7" t="str">
        <f>HYPERLINK("http://ms.phosphosite.org:5080/cgi-bin/plot-msms.cgi?MassType=1&amp;NumAxis=1&amp;Mod7=184&amp;Mod11=147&amp;Pep=SGSNWGRGSNMN&amp;Dta=/var/www/html/dta/yong/23616.3326.2.dta&amp;Global_Mod=CS57.0215", "3326")</f>
        <v>3326</v>
      </c>
      <c r="M46" s="7" t="str">
        <f>HYPERLINK("http://ms.phosphosite.org:5080/cgi-bin/plot-msms.cgi?MassType=1&amp;NumAxis=1&amp;Mod7=184&amp;Mod11=147&amp;Pep=SGSNWGRGSNMN&amp;Dta=/var/www/html/dta/yong/23617.3402.2.dta&amp;Global_Mod=CS57.0215", "3402")</f>
        <v>3402</v>
      </c>
      <c r="N46" s="10">
        <v>21.05</v>
      </c>
      <c r="O46" s="10">
        <v>21.08</v>
      </c>
      <c r="P46" s="10">
        <v>2.4980000000000002</v>
      </c>
      <c r="Q46" s="10">
        <v>2.899</v>
      </c>
      <c r="R46" s="10">
        <v>1.2387999999999999</v>
      </c>
      <c r="S46" s="10">
        <v>0.93889999999999996</v>
      </c>
      <c r="T46" s="10">
        <v>0.24010000000000001</v>
      </c>
      <c r="U46" s="10">
        <v>0.3992</v>
      </c>
      <c r="V46" s="7">
        <v>1</v>
      </c>
      <c r="W46" s="7">
        <v>1</v>
      </c>
      <c r="X46" s="10">
        <v>2.14</v>
      </c>
      <c r="Y46" s="10">
        <v>3.24</v>
      </c>
      <c r="Z46" s="11">
        <v>1000</v>
      </c>
      <c r="AA46" s="11">
        <v>1000</v>
      </c>
      <c r="AB46" s="7" t="s">
        <v>13</v>
      </c>
    </row>
    <row r="47" spans="1:28">
      <c r="A47" s="9" t="s">
        <v>21</v>
      </c>
      <c r="B47" s="9" t="s">
        <v>64</v>
      </c>
      <c r="C47" s="9" t="s">
        <v>65</v>
      </c>
      <c r="D47" s="7">
        <v>1315</v>
      </c>
      <c r="E47" s="9" t="s">
        <v>66</v>
      </c>
      <c r="F47" s="7" t="s">
        <v>1321</v>
      </c>
      <c r="G47" s="7">
        <v>145.80000000000001</v>
      </c>
      <c r="H47" s="9" t="s">
        <v>67</v>
      </c>
      <c r="I47" s="9" t="s">
        <v>70</v>
      </c>
      <c r="J47" s="7">
        <v>3</v>
      </c>
      <c r="K47" s="7">
        <v>602.27629999999999</v>
      </c>
      <c r="L47" s="7" t="str">
        <f>HYPERLINK("http://ms.phosphosite.org:5080/cgi-bin/plot-msms.cgi?MassType=1&amp;NumAxis=1&amp;Mod7=184&amp;Mod11=147&amp;Pep=SGSNWGRGSNMNSGPPR&amp;Dta=/var/www/html/dta/yong/23616.4043.3.dta&amp;Global_Mod=CS57.0215", "4043")</f>
        <v>4043</v>
      </c>
      <c r="M47" s="7" t="str">
        <f>HYPERLINK("http://ms.phosphosite.org:5080/cgi-bin/plot-msms.cgi?MassType=1&amp;NumAxis=1&amp;Mod7=184&amp;Mod11=147&amp;Pep=SGSNWGRGSNMNSGPPR&amp;Dta=/var/www/html/dta/yong/23617.5918.3.dta&amp;Global_Mod=CS57.0215", "5918")</f>
        <v>5918</v>
      </c>
      <c r="N47" s="10">
        <v>24.22</v>
      </c>
      <c r="O47" s="10">
        <v>31.75</v>
      </c>
      <c r="P47" s="10">
        <v>3.8679999999999999</v>
      </c>
      <c r="Q47" s="10">
        <v>2.7410000000000001</v>
      </c>
      <c r="R47" s="10">
        <v>0.9335</v>
      </c>
      <c r="S47" s="10">
        <v>0.85419999999999996</v>
      </c>
      <c r="T47" s="10">
        <v>0.30070000000000002</v>
      </c>
      <c r="U47" s="10">
        <v>0.10390000000000001</v>
      </c>
      <c r="V47" s="7">
        <v>1</v>
      </c>
      <c r="W47" s="7">
        <v>1</v>
      </c>
      <c r="X47" s="10">
        <v>2.86</v>
      </c>
      <c r="Y47" s="10">
        <v>1.49</v>
      </c>
      <c r="Z47" s="11">
        <v>1000</v>
      </c>
      <c r="AA47" s="11">
        <v>1000</v>
      </c>
      <c r="AB47" s="7" t="s">
        <v>13</v>
      </c>
    </row>
    <row r="48" spans="1:28">
      <c r="A48" s="9" t="s">
        <v>21</v>
      </c>
      <c r="B48" s="9" t="s">
        <v>64</v>
      </c>
      <c r="C48" s="9" t="s">
        <v>65</v>
      </c>
      <c r="D48" s="7">
        <v>1315</v>
      </c>
      <c r="E48" s="9" t="s">
        <v>66</v>
      </c>
      <c r="F48" s="7" t="s">
        <v>1321</v>
      </c>
      <c r="G48" s="7">
        <v>145.80000000000001</v>
      </c>
      <c r="H48" s="9" t="s">
        <v>67</v>
      </c>
      <c r="I48" s="9" t="s">
        <v>70</v>
      </c>
      <c r="J48" s="7">
        <v>3</v>
      </c>
      <c r="K48" s="7">
        <v>602.27629999999999</v>
      </c>
      <c r="L48" s="7" t="str">
        <f>HYPERLINK("http://ms.phosphosite.org:5080/cgi-bin/plot-msms.cgi?MassType=1&amp;NumAxis=1&amp;Mod7=184&amp;Mod11=147&amp;Pep=SGSNWGRGSNMNSGPPR&amp;Dta=/var/www/html/dta/yong/23616.4208.3.dta&amp;Global_Mod=CS57.0215", "4208")</f>
        <v>4208</v>
      </c>
      <c r="M48" s="7" t="str">
        <f>HYPERLINK("http://ms.phosphosite.org:5080/cgi-bin/plot-msms.cgi?MassType=1&amp;NumAxis=1&amp;Mod7=184&amp;Mod11=147&amp;Pep=SGSNWGRGSNMNSGPPR&amp;Dta=/var/www/html/dta/yong/23617.6028.3.dta&amp;Global_Mod=CS57.0215", "6028")</f>
        <v>6028</v>
      </c>
      <c r="N48" s="10">
        <v>24.91</v>
      </c>
      <c r="O48" s="10">
        <v>32.18</v>
      </c>
      <c r="P48" s="10">
        <v>4.6260000000000003</v>
      </c>
      <c r="Q48" s="10">
        <v>2.6949999999999998</v>
      </c>
      <c r="R48" s="10">
        <v>0.97799999999999998</v>
      </c>
      <c r="S48" s="10">
        <v>1.0389999999999999</v>
      </c>
      <c r="T48" s="10">
        <v>0.37640000000000001</v>
      </c>
      <c r="U48" s="10">
        <v>8.4900000000000003E-2</v>
      </c>
      <c r="V48" s="7">
        <v>1</v>
      </c>
      <c r="W48" s="7">
        <v>1</v>
      </c>
      <c r="X48" s="10">
        <v>3.5</v>
      </c>
      <c r="Y48" s="10">
        <v>1.36</v>
      </c>
      <c r="Z48" s="11">
        <v>1000</v>
      </c>
      <c r="AA48" s="11">
        <v>1000</v>
      </c>
      <c r="AB48" s="7" t="s">
        <v>13</v>
      </c>
    </row>
    <row r="49" spans="1:28">
      <c r="A49" s="9" t="s">
        <v>21</v>
      </c>
      <c r="B49" s="9" t="s">
        <v>64</v>
      </c>
      <c r="C49" s="9" t="s">
        <v>65</v>
      </c>
      <c r="D49" s="7">
        <v>1315</v>
      </c>
      <c r="E49" s="9" t="s">
        <v>66</v>
      </c>
      <c r="F49" s="7" t="s">
        <v>1321</v>
      </c>
      <c r="G49" s="7">
        <v>145.80000000000001</v>
      </c>
      <c r="H49" s="9" t="s">
        <v>67</v>
      </c>
      <c r="I49" s="9" t="s">
        <v>70</v>
      </c>
      <c r="J49" s="7">
        <v>3</v>
      </c>
      <c r="K49" s="7">
        <v>602.27629999999999</v>
      </c>
      <c r="L49" s="7" t="str">
        <f>HYPERLINK("http://ms.phosphosite.org:5080/cgi-bin/plot-msms.cgi?MassType=1&amp;NumAxis=1&amp;Mod7=184&amp;Mod11=147&amp;Pep=SGSNWGRGSNMNSGPPR&amp;Dta=/var/www/html/dta/yong/23616.4376.3.dta&amp;Global_Mod=CS57.0215", "4376")</f>
        <v>4376</v>
      </c>
      <c r="M49" s="7" t="str">
        <f>HYPERLINK("http://ms.phosphosite.org:5080/cgi-bin/plot-msms.cgi?MassType=1&amp;NumAxis=1&amp;Mod7=184&amp;Mod11=147&amp;Pep=SGSNWGRGSNMNSGPPR&amp;Dta=/var/www/html/dta/yong/23617.5331.3.dta&amp;Global_Mod=CS57.0215", "5331")</f>
        <v>5331</v>
      </c>
      <c r="N49" s="10">
        <v>25.62</v>
      </c>
      <c r="O49" s="10">
        <v>29.26</v>
      </c>
      <c r="P49" s="10">
        <v>4.165</v>
      </c>
      <c r="Q49" s="10">
        <v>2.7989999999999999</v>
      </c>
      <c r="R49" s="10">
        <v>1.0866</v>
      </c>
      <c r="S49" s="10">
        <v>0.83420000000000005</v>
      </c>
      <c r="T49" s="10">
        <v>0.27950000000000003</v>
      </c>
      <c r="U49" s="10">
        <v>0.18</v>
      </c>
      <c r="V49" s="7">
        <v>1</v>
      </c>
      <c r="W49" s="7">
        <v>1</v>
      </c>
      <c r="X49" s="10">
        <v>2.82</v>
      </c>
      <c r="Y49" s="10">
        <v>1.94</v>
      </c>
      <c r="Z49" s="11">
        <v>1000</v>
      </c>
      <c r="AA49" s="11">
        <v>1000</v>
      </c>
      <c r="AB49" s="7" t="s">
        <v>13</v>
      </c>
    </row>
    <row r="50" spans="1:28">
      <c r="A50" s="13" t="s">
        <v>21</v>
      </c>
      <c r="B50" s="13" t="s">
        <v>64</v>
      </c>
      <c r="C50" s="13" t="s">
        <v>65</v>
      </c>
      <c r="D50" s="15">
        <v>1315</v>
      </c>
      <c r="E50" s="13" t="s">
        <v>66</v>
      </c>
      <c r="F50" s="15" t="s">
        <v>1321</v>
      </c>
      <c r="G50" s="15">
        <v>145.80000000000001</v>
      </c>
      <c r="H50" s="13" t="s">
        <v>67</v>
      </c>
      <c r="I50" s="13" t="s">
        <v>71</v>
      </c>
      <c r="J50" s="15">
        <v>3</v>
      </c>
      <c r="K50" s="15">
        <v>606.94820000000004</v>
      </c>
      <c r="L50" s="15" t="str">
        <f>HYPERLINK("http://ms.phosphosite.org:5080/cgi-bin/plot-msms.cgi?MassType=1&amp;NumAxis=1&amp;Mod7=184&amp;Mod11=147&amp;Mod17=170&amp;Pep=SGSNWGRGSNMNSGPPR&amp;Dta=/var/www/html/dta/yong/23616.4404.3.dta&amp;Global_Mod=CS57.0215", "4404")</f>
        <v>4404</v>
      </c>
      <c r="M50" s="15" t="str">
        <f>HYPERLINK("http://ms.phosphosite.org:5080/cgi-bin/plot-msms.cgi?MassType=1&amp;NumAxis=1&amp;Mod7=184&amp;Mod11=147&amp;Mod17=170&amp;Pep=SGSNWGRGSNMNSGPPR&amp;Dta=/var/www/html/dta/yong/23617.4491.3.dta&amp;Global_Mod=CS57.0215", "4491")</f>
        <v>4491</v>
      </c>
      <c r="N50" s="16">
        <v>25.74</v>
      </c>
      <c r="O50" s="16">
        <v>25.76</v>
      </c>
      <c r="P50" s="16">
        <v>2.516</v>
      </c>
      <c r="Q50" s="16">
        <v>2.508</v>
      </c>
      <c r="R50" s="16">
        <v>1.0122</v>
      </c>
      <c r="S50" s="16">
        <v>1.3091999999999999</v>
      </c>
      <c r="T50" s="16">
        <v>0.15720000000000001</v>
      </c>
      <c r="U50" s="16">
        <v>7.4099999999999999E-2</v>
      </c>
      <c r="V50" s="15">
        <v>1</v>
      </c>
      <c r="W50" s="15">
        <v>1</v>
      </c>
      <c r="X50" s="16">
        <v>1.65</v>
      </c>
      <c r="Y50" s="16">
        <v>1.23</v>
      </c>
      <c r="Z50" s="17" t="s">
        <v>1306</v>
      </c>
      <c r="AA50" s="17" t="s">
        <v>1306</v>
      </c>
      <c r="AB50" s="15" t="s">
        <v>13</v>
      </c>
    </row>
    <row r="51" spans="1:28">
      <c r="A51" s="9" t="s">
        <v>21</v>
      </c>
      <c r="B51" s="9" t="s">
        <v>64</v>
      </c>
      <c r="C51" s="9" t="s">
        <v>65</v>
      </c>
      <c r="D51" s="7">
        <v>1315</v>
      </c>
      <c r="E51" s="9" t="s">
        <v>66</v>
      </c>
      <c r="F51" s="7" t="s">
        <v>1321</v>
      </c>
      <c r="G51" s="7">
        <v>145.80000000000001</v>
      </c>
      <c r="H51" s="9" t="s">
        <v>67</v>
      </c>
      <c r="I51" s="9" t="s">
        <v>70</v>
      </c>
      <c r="J51" s="7">
        <v>3</v>
      </c>
      <c r="K51" s="7">
        <v>602.27629999999999</v>
      </c>
      <c r="L51" s="7" t="str">
        <f>HYPERLINK("http://ms.phosphosite.org:5080/cgi-bin/plot-msms.cgi?MassType=1&amp;NumAxis=1&amp;Mod7=184&amp;Mod11=147&amp;Pep=SGSNWGRGSNMNSGPPR&amp;Dta=/var/www/html/dta/yong/23616.4539.3.dta&amp;Global_Mod=CS57.0215", "4539")</f>
        <v>4539</v>
      </c>
      <c r="M51" s="7" t="str">
        <f>HYPERLINK("http://ms.phosphosite.org:5080/cgi-bin/plot-msms.cgi?MassType=1&amp;NumAxis=1&amp;Mod7=184&amp;Mod11=147&amp;Pep=SGSNWGRGSNMNSGPPR&amp;Dta=/var/www/html/dta/yong/23617.4720.3.dta&amp;Global_Mod=CS57.0215", "4720")</f>
        <v>4720</v>
      </c>
      <c r="N51" s="10">
        <v>26.32</v>
      </c>
      <c r="O51" s="10">
        <v>26.74</v>
      </c>
      <c r="P51" s="10">
        <v>3.1749999999999998</v>
      </c>
      <c r="Q51" s="10">
        <v>3.5</v>
      </c>
      <c r="R51" s="10">
        <v>1.2675000000000001</v>
      </c>
      <c r="S51" s="10">
        <v>0.54179999999999995</v>
      </c>
      <c r="T51" s="10">
        <v>0.22750000000000001</v>
      </c>
      <c r="U51" s="10">
        <v>0.33100000000000002</v>
      </c>
      <c r="V51" s="7">
        <v>1</v>
      </c>
      <c r="W51" s="7">
        <v>1</v>
      </c>
      <c r="X51" s="10">
        <v>2.23</v>
      </c>
      <c r="Y51" s="10">
        <v>3.02</v>
      </c>
      <c r="Z51" s="11">
        <v>1000</v>
      </c>
      <c r="AA51" s="11">
        <v>1000</v>
      </c>
      <c r="AB51" s="7" t="s">
        <v>13</v>
      </c>
    </row>
    <row r="52" spans="1:28" s="18" customFormat="1">
      <c r="A52" s="9" t="s">
        <v>21</v>
      </c>
      <c r="B52" s="9" t="s">
        <v>64</v>
      </c>
      <c r="C52" s="9" t="s">
        <v>65</v>
      </c>
      <c r="D52" s="7">
        <v>1315</v>
      </c>
      <c r="E52" s="9" t="s">
        <v>66</v>
      </c>
      <c r="F52" s="7" t="s">
        <v>1321</v>
      </c>
      <c r="G52" s="7">
        <v>145.80000000000001</v>
      </c>
      <c r="H52" s="9" t="s">
        <v>67</v>
      </c>
      <c r="I52" s="9" t="s">
        <v>70</v>
      </c>
      <c r="J52" s="7">
        <v>3</v>
      </c>
      <c r="K52" s="7">
        <v>602.27629999999999</v>
      </c>
      <c r="L52" s="7" t="str">
        <f>HYPERLINK("http://ms.phosphosite.org:5080/cgi-bin/plot-msms.cgi?MassType=1&amp;NumAxis=1&amp;Mod7=184&amp;Mod11=147&amp;Pep=SGSNWGRGSNMNSGPPR&amp;Dta=/var/www/html/dta/yong/23616.4685.3.dta&amp;Global_Mod=CS57.0215", "4685")</f>
        <v>4685</v>
      </c>
      <c r="M52" s="7" t="str">
        <f>HYPERLINK("http://ms.phosphosite.org:5080/cgi-bin/plot-msms.cgi?MassType=1&amp;NumAxis=1&amp;Mod7=184&amp;Mod11=147&amp;Pep=SGSNWGRGSNMNSGPPR&amp;Dta=/var/www/html/dta/yong/23617.5189.3.dta&amp;Global_Mod=CS57.0215", "5189")</f>
        <v>5189</v>
      </c>
      <c r="N52" s="10">
        <v>26.98</v>
      </c>
      <c r="O52" s="10">
        <v>28.72</v>
      </c>
      <c r="P52" s="10">
        <v>3.4129999999999998</v>
      </c>
      <c r="Q52" s="10">
        <v>3.4710000000000001</v>
      </c>
      <c r="R52" s="10">
        <v>1.1793</v>
      </c>
      <c r="S52" s="10">
        <v>1.2585</v>
      </c>
      <c r="T52" s="10">
        <v>0.31530000000000002</v>
      </c>
      <c r="U52" s="10">
        <v>0.31069999999999998</v>
      </c>
      <c r="V52" s="7">
        <v>1</v>
      </c>
      <c r="W52" s="7">
        <v>1</v>
      </c>
      <c r="X52" s="10">
        <v>2.8</v>
      </c>
      <c r="Y52" s="10">
        <v>2.86</v>
      </c>
      <c r="Z52" s="11">
        <v>1000</v>
      </c>
      <c r="AA52" s="11">
        <v>1000</v>
      </c>
      <c r="AB52" s="7" t="s">
        <v>13</v>
      </c>
    </row>
    <row r="53" spans="1:28">
      <c r="A53" s="9" t="s">
        <v>21</v>
      </c>
      <c r="B53" s="9" t="s">
        <v>64</v>
      </c>
      <c r="C53" s="9" t="s">
        <v>65</v>
      </c>
      <c r="D53" s="7">
        <v>1315</v>
      </c>
      <c r="E53" s="9" t="s">
        <v>66</v>
      </c>
      <c r="F53" s="7" t="s">
        <v>1321</v>
      </c>
      <c r="G53" s="7">
        <v>145.80000000000001</v>
      </c>
      <c r="H53" s="9" t="s">
        <v>67</v>
      </c>
      <c r="I53" s="9" t="s">
        <v>70</v>
      </c>
      <c r="J53" s="7">
        <v>3</v>
      </c>
      <c r="K53" s="7">
        <v>602.27629999999999</v>
      </c>
      <c r="L53" s="7" t="str">
        <f>HYPERLINK("http://ms.phosphosite.org:5080/cgi-bin/plot-msms.cgi?MassType=1&amp;NumAxis=1&amp;Mod7=184&amp;Mod11=147&amp;Pep=SGSNWGRGSNMNSGPPR&amp;Dta=/var/www/html/dta/yong/23616.4873.3.dta&amp;Global_Mod=CS57.0215", "4873")</f>
        <v>4873</v>
      </c>
      <c r="M53" s="7" t="str">
        <f>HYPERLINK("http://ms.phosphosite.org:5080/cgi-bin/plot-msms.cgi?MassType=1&amp;NumAxis=1&amp;Mod7=184&amp;Mod11=147&amp;Pep=SGSNWGRGSNMNSGPPR&amp;Dta=/var/www/html/dta/yong/23617.5048.3.dta&amp;Global_Mod=CS57.0215", "5048")</f>
        <v>5048</v>
      </c>
      <c r="N53" s="10">
        <v>27.78</v>
      </c>
      <c r="O53" s="10">
        <v>28.17</v>
      </c>
      <c r="P53" s="10">
        <v>2.516</v>
      </c>
      <c r="Q53" s="10">
        <v>2.8290000000000002</v>
      </c>
      <c r="R53" s="10">
        <v>1.5845</v>
      </c>
      <c r="S53" s="10">
        <v>1.5102</v>
      </c>
      <c r="T53" s="10">
        <v>0.26419999999999999</v>
      </c>
      <c r="U53" s="10">
        <v>0.2959</v>
      </c>
      <c r="V53" s="7">
        <v>1</v>
      </c>
      <c r="W53" s="7">
        <v>1</v>
      </c>
      <c r="X53" s="10">
        <v>2.23</v>
      </c>
      <c r="Y53" s="10">
        <v>2.57</v>
      </c>
      <c r="Z53" s="11">
        <v>1000</v>
      </c>
      <c r="AA53" s="11">
        <v>1000</v>
      </c>
      <c r="AB53" s="7" t="s">
        <v>13</v>
      </c>
    </row>
    <row r="54" spans="1:28">
      <c r="A54" s="9" t="s">
        <v>21</v>
      </c>
      <c r="B54" s="9" t="s">
        <v>64</v>
      </c>
      <c r="C54" s="9" t="s">
        <v>65</v>
      </c>
      <c r="D54" s="7">
        <v>1315</v>
      </c>
      <c r="E54" s="9" t="s">
        <v>66</v>
      </c>
      <c r="F54" s="7" t="s">
        <v>1321</v>
      </c>
      <c r="G54" s="7">
        <v>145.80000000000001</v>
      </c>
      <c r="H54" s="9" t="s">
        <v>67</v>
      </c>
      <c r="I54" s="9" t="s">
        <v>70</v>
      </c>
      <c r="J54" s="7">
        <v>3</v>
      </c>
      <c r="K54" s="7">
        <v>602.27629999999999</v>
      </c>
      <c r="L54" s="7" t="str">
        <f>HYPERLINK("http://ms.phosphosite.org:5080/cgi-bin/plot-msms.cgi?MassType=1&amp;NumAxis=1&amp;Mod7=184&amp;Mod11=147&amp;Pep=SGSNWGRGSNMNSGPPR&amp;Dta=/var/www/html/dta/yong/23616.5033.3.dta&amp;Global_Mod=CS57.0215", "5033")</f>
        <v>5033</v>
      </c>
      <c r="M54" s="7" t="str">
        <f>HYPERLINK("http://ms.phosphosite.org:5080/cgi-bin/plot-msms.cgi?MassType=1&amp;NumAxis=1&amp;Mod7=184&amp;Mod11=147&amp;Pep=SGSNWGRGSNMNSGPPR&amp;Dta=/var/www/html/dta/yong/23617.4360.3.dta&amp;Global_Mod=CS57.0215", "4360")</f>
        <v>4360</v>
      </c>
      <c r="N54" s="10">
        <v>28.46</v>
      </c>
      <c r="O54" s="10">
        <v>25.21</v>
      </c>
      <c r="P54" s="10">
        <v>3.6549999999999998</v>
      </c>
      <c r="Q54" s="10">
        <v>3.536</v>
      </c>
      <c r="R54" s="10">
        <v>-0.19070000000000001</v>
      </c>
      <c r="S54" s="10">
        <v>0.70689999999999997</v>
      </c>
      <c r="T54" s="10">
        <v>0.3478</v>
      </c>
      <c r="U54" s="10">
        <v>0.34339999999999998</v>
      </c>
      <c r="V54" s="7">
        <v>1</v>
      </c>
      <c r="W54" s="7">
        <v>1</v>
      </c>
      <c r="X54" s="10">
        <v>3.06</v>
      </c>
      <c r="Y54" s="10">
        <v>3.09</v>
      </c>
      <c r="Z54" s="11">
        <v>1000</v>
      </c>
      <c r="AA54" s="11">
        <v>1000</v>
      </c>
      <c r="AB54" s="7" t="s">
        <v>13</v>
      </c>
    </row>
    <row r="55" spans="1:28">
      <c r="A55" s="9" t="s">
        <v>21</v>
      </c>
      <c r="B55" s="9" t="s">
        <v>64</v>
      </c>
      <c r="C55" s="9" t="s">
        <v>65</v>
      </c>
      <c r="D55" s="7">
        <v>1315</v>
      </c>
      <c r="E55" s="9" t="s">
        <v>66</v>
      </c>
      <c r="F55" s="7" t="s">
        <v>1321</v>
      </c>
      <c r="G55" s="7">
        <v>145.80000000000001</v>
      </c>
      <c r="H55" s="9" t="s">
        <v>67</v>
      </c>
      <c r="I55" s="9" t="s">
        <v>74</v>
      </c>
      <c r="J55" s="7">
        <v>3</v>
      </c>
      <c r="K55" s="7">
        <v>481.90190000000001</v>
      </c>
      <c r="L55" s="7" t="str">
        <f>HYPERLINK("http://ms.phosphosite.org:5080/cgi-bin/plot-msms.cgi?MassType=1&amp;NumAxis=1&amp;Mod3=184&amp;Pep=WGRGSNMNSGPPR&amp;Dta=/var/www/html/dta/yong/23616.5142.3.dta&amp;Global_Mod=CS57.0215", "5142")</f>
        <v>5142</v>
      </c>
      <c r="M55" s="7" t="str">
        <f>HYPERLINK("http://ms.phosphosite.org:5080/cgi-bin/plot-msms.cgi?MassType=1&amp;NumAxis=1&amp;Mod3=184&amp;Pep=WGRGSNMNSGPPR&amp;Dta=/var/www/html/dta/yong/23617.5237.3.dta&amp;Global_Mod=CS57.0215", "5237")</f>
        <v>5237</v>
      </c>
      <c r="N55" s="10">
        <v>28.86</v>
      </c>
      <c r="O55" s="10">
        <v>28.9</v>
      </c>
      <c r="P55" s="10">
        <v>2.5190000000000001</v>
      </c>
      <c r="Q55" s="10">
        <v>2.17</v>
      </c>
      <c r="R55" s="10">
        <v>0.50409999999999999</v>
      </c>
      <c r="S55" s="10">
        <v>0.84760000000000002</v>
      </c>
      <c r="T55" s="10">
        <v>6.4899999999999999E-2</v>
      </c>
      <c r="U55" s="10">
        <v>9.3700000000000006E-2</v>
      </c>
      <c r="V55" s="7">
        <v>116</v>
      </c>
      <c r="W55" s="7">
        <v>23</v>
      </c>
      <c r="X55" s="10">
        <v>1.1499999999999999</v>
      </c>
      <c r="Y55" s="10">
        <v>1.29</v>
      </c>
      <c r="Z55" s="11">
        <v>1000</v>
      </c>
      <c r="AA55" s="11">
        <v>1000</v>
      </c>
      <c r="AB55" s="7" t="s">
        <v>13</v>
      </c>
    </row>
    <row r="56" spans="1:28">
      <c r="A56" s="9" t="s">
        <v>21</v>
      </c>
      <c r="B56" s="9" t="s">
        <v>64</v>
      </c>
      <c r="C56" s="9" t="s">
        <v>65</v>
      </c>
      <c r="D56" s="7">
        <v>1315</v>
      </c>
      <c r="E56" s="9" t="s">
        <v>66</v>
      </c>
      <c r="F56" s="7" t="s">
        <v>1321</v>
      </c>
      <c r="G56" s="7">
        <v>145.80000000000001</v>
      </c>
      <c r="H56" s="9" t="s">
        <v>67</v>
      </c>
      <c r="I56" s="9" t="s">
        <v>70</v>
      </c>
      <c r="J56" s="7">
        <v>3</v>
      </c>
      <c r="K56" s="7">
        <v>602.27629999999999</v>
      </c>
      <c r="L56" s="7" t="str">
        <f>HYPERLINK("http://ms.phosphosite.org:5080/cgi-bin/plot-msms.cgi?MassType=1&amp;NumAxis=1&amp;Mod7=184&amp;Mod11=147&amp;Pep=SGSNWGRGSNMNSGPPR&amp;Dta=/var/www/html/dta/yong/23616.5165.3.dta&amp;Global_Mod=CS57.0215", "5165")</f>
        <v>5165</v>
      </c>
      <c r="M56" s="7" t="str">
        <f>HYPERLINK("http://ms.phosphosite.org:5080/cgi-bin/plot-msms.cgi?MassType=1&amp;NumAxis=1&amp;Mod7=184&amp;Mod11=147&amp;Pep=SGSNWGRGSNMNSGPPR&amp;Dta=/var/www/html/dta/yong/23617.4178.3.dta&amp;Global_Mod=CS57.0215", "4178")</f>
        <v>4178</v>
      </c>
      <c r="N56" s="10">
        <v>28.95</v>
      </c>
      <c r="O56" s="10">
        <v>24.46</v>
      </c>
      <c r="P56" s="10">
        <v>3.09</v>
      </c>
      <c r="Q56" s="10">
        <v>3.6190000000000002</v>
      </c>
      <c r="R56" s="10">
        <v>0.13009999999999999</v>
      </c>
      <c r="S56" s="10">
        <v>0.4385</v>
      </c>
      <c r="T56" s="10">
        <v>0.27</v>
      </c>
      <c r="U56" s="10">
        <v>0.32340000000000002</v>
      </c>
      <c r="V56" s="7">
        <v>1</v>
      </c>
      <c r="W56" s="7">
        <v>1</v>
      </c>
      <c r="X56" s="10">
        <v>2.4700000000000002</v>
      </c>
      <c r="Y56" s="10">
        <v>3.02</v>
      </c>
      <c r="Z56" s="11">
        <v>1000</v>
      </c>
      <c r="AA56" s="11">
        <v>1000</v>
      </c>
      <c r="AB56" s="7" t="s">
        <v>13</v>
      </c>
    </row>
    <row r="57" spans="1:28">
      <c r="A57" s="9" t="s">
        <v>21</v>
      </c>
      <c r="B57" s="9" t="s">
        <v>64</v>
      </c>
      <c r="C57" s="9" t="s">
        <v>65</v>
      </c>
      <c r="D57" s="7">
        <v>1315</v>
      </c>
      <c r="E57" s="9" t="s">
        <v>66</v>
      </c>
      <c r="F57" s="7" t="s">
        <v>1321</v>
      </c>
      <c r="G57" s="7">
        <v>145.80000000000001</v>
      </c>
      <c r="H57" s="9" t="s">
        <v>67</v>
      </c>
      <c r="I57" s="9" t="s">
        <v>70</v>
      </c>
      <c r="J57" s="7">
        <v>3</v>
      </c>
      <c r="K57" s="7">
        <v>602.27629999999999</v>
      </c>
      <c r="L57" s="7" t="str">
        <f>HYPERLINK("http://ms.phosphosite.org:5080/cgi-bin/plot-msms.cgi?MassType=1&amp;NumAxis=1&amp;Mod7=184&amp;Mod11=147&amp;Pep=SGSNWGRGSNMNSGPPR&amp;Dta=/var/www/html/dta/yong/23616.5293.3.dta&amp;Global_Mod=CS57.0215", "5293")</f>
        <v>5293</v>
      </c>
      <c r="M57" s="7" t="str">
        <f>HYPERLINK("http://ms.phosphosite.org:5080/cgi-bin/plot-msms.cgi?MassType=1&amp;NumAxis=1&amp;Mod7=184&amp;Mod11=147&amp;Pep=SGSNWGRGSNMNSGPPR&amp;Dta=/var/www/html/dta/yong/23617.4892.3.dta&amp;Global_Mod=CS57.0215", "4892")</f>
        <v>4892</v>
      </c>
      <c r="N57" s="10">
        <v>29.41</v>
      </c>
      <c r="O57" s="10">
        <v>27.5</v>
      </c>
      <c r="P57" s="10">
        <v>2.8849999999999998</v>
      </c>
      <c r="Q57" s="10">
        <v>3.399</v>
      </c>
      <c r="R57" s="10">
        <v>0.45479999999999998</v>
      </c>
      <c r="S57" s="10">
        <v>1.3501000000000001</v>
      </c>
      <c r="T57" s="10">
        <v>0.25890000000000002</v>
      </c>
      <c r="U57" s="10">
        <v>0.27100000000000002</v>
      </c>
      <c r="V57" s="7">
        <v>1</v>
      </c>
      <c r="W57" s="7">
        <v>1</v>
      </c>
      <c r="X57" s="10">
        <v>2.36</v>
      </c>
      <c r="Y57" s="10">
        <v>2.61</v>
      </c>
      <c r="Z57" s="11">
        <v>1000</v>
      </c>
      <c r="AA57" s="11">
        <v>1000</v>
      </c>
      <c r="AB57" s="7" t="s">
        <v>13</v>
      </c>
    </row>
    <row r="58" spans="1:28">
      <c r="A58" s="9" t="s">
        <v>21</v>
      </c>
      <c r="B58" s="9" t="s">
        <v>64</v>
      </c>
      <c r="C58" s="9" t="s">
        <v>65</v>
      </c>
      <c r="D58" s="7">
        <v>1315</v>
      </c>
      <c r="E58" s="9" t="s">
        <v>66</v>
      </c>
      <c r="F58" s="7" t="s">
        <v>1321</v>
      </c>
      <c r="G58" s="7">
        <v>145.80000000000001</v>
      </c>
      <c r="H58" s="9" t="s">
        <v>67</v>
      </c>
      <c r="I58" s="9" t="s">
        <v>70</v>
      </c>
      <c r="J58" s="7">
        <v>3</v>
      </c>
      <c r="K58" s="7">
        <v>602.27629999999999</v>
      </c>
      <c r="L58" s="7" t="str">
        <f>HYPERLINK("http://ms.phosphosite.org:5080/cgi-bin/plot-msms.cgi?MassType=1&amp;NumAxis=1&amp;Mod7=184&amp;Mod11=147&amp;Pep=SGSNWGRGSNMNSGPPR&amp;Dta=/var/www/html/dta/yong/23616.5358.3.dta&amp;Global_Mod=CS57.0215", "5358")</f>
        <v>5358</v>
      </c>
      <c r="M58" s="7" t="str">
        <f>HYPERLINK("http://ms.phosphosite.org:5080/cgi-bin/plot-msms.cgi?MassType=1&amp;NumAxis=1&amp;Mod7=184&amp;Mod11=147&amp;Pep=SGSNWGRGSNMNSGPPR&amp;Dta=/var/www/html/dta/yong/23617.4521.3.dta&amp;Global_Mod=CS57.0215", "4521")</f>
        <v>4521</v>
      </c>
      <c r="N58" s="10">
        <v>29.68</v>
      </c>
      <c r="O58" s="10">
        <v>25.89</v>
      </c>
      <c r="P58" s="10">
        <v>2.6219999999999999</v>
      </c>
      <c r="Q58" s="10">
        <v>4.0810000000000004</v>
      </c>
      <c r="R58" s="10">
        <v>0.53759999999999997</v>
      </c>
      <c r="S58" s="10">
        <v>0.99980000000000002</v>
      </c>
      <c r="T58" s="10">
        <v>0.2203</v>
      </c>
      <c r="U58" s="10">
        <v>0.41289999999999999</v>
      </c>
      <c r="V58" s="7">
        <v>1</v>
      </c>
      <c r="W58" s="7">
        <v>1</v>
      </c>
      <c r="X58" s="10">
        <v>2.06</v>
      </c>
      <c r="Y58" s="10">
        <v>3.64</v>
      </c>
      <c r="Z58" s="11">
        <v>1000</v>
      </c>
      <c r="AA58" s="11">
        <v>1000</v>
      </c>
      <c r="AB58" s="7" t="s">
        <v>13</v>
      </c>
    </row>
    <row r="59" spans="1:28">
      <c r="A59" s="9" t="s">
        <v>21</v>
      </c>
      <c r="B59" s="9" t="s">
        <v>64</v>
      </c>
      <c r="C59" s="9" t="s">
        <v>65</v>
      </c>
      <c r="D59" s="7">
        <v>1315</v>
      </c>
      <c r="E59" s="9" t="s">
        <v>66</v>
      </c>
      <c r="F59" s="7" t="s">
        <v>1321</v>
      </c>
      <c r="G59" s="7">
        <v>145.80000000000001</v>
      </c>
      <c r="H59" s="9" t="s">
        <v>67</v>
      </c>
      <c r="I59" s="9" t="s">
        <v>72</v>
      </c>
      <c r="J59" s="7">
        <v>2</v>
      </c>
      <c r="K59" s="7">
        <v>647.78330000000005</v>
      </c>
      <c r="L59" s="7" t="str">
        <f>HYPERLINK("http://ms.phosphosite.org:5080/cgi-bin/plot-msms.cgi?MassType=1&amp;NumAxis=1&amp;Mod7=184&amp;Pep=SGSNWGRGSNMN&amp;Dta=/var/www/html/dta/yong/23616.5388.2.dta&amp;Global_Mod=CS57.0215", "5388")</f>
        <v>5388</v>
      </c>
      <c r="M59" s="7" t="str">
        <f>HYPERLINK("http://ms.phosphosite.org:5080/cgi-bin/plot-msms.cgi?MassType=1&amp;NumAxis=1&amp;Mod7=184&amp;Pep=SGSNWGRGSNMN&amp;Dta=/var/www/html/dta/yong/23617.5469.2.dta&amp;Global_Mod=CS57.0215", "5469")</f>
        <v>5469</v>
      </c>
      <c r="N59" s="10">
        <v>29.8</v>
      </c>
      <c r="O59" s="10">
        <v>29.83</v>
      </c>
      <c r="P59" s="10">
        <v>2.6030000000000002</v>
      </c>
      <c r="Q59" s="10">
        <v>2.7719999999999998</v>
      </c>
      <c r="R59" s="10">
        <v>1.2506999999999999</v>
      </c>
      <c r="S59" s="10">
        <v>0.73229999999999995</v>
      </c>
      <c r="T59" s="10">
        <v>0.21440000000000001</v>
      </c>
      <c r="U59" s="10">
        <v>0.20219999999999999</v>
      </c>
      <c r="V59" s="7">
        <v>5</v>
      </c>
      <c r="W59" s="7">
        <v>5</v>
      </c>
      <c r="X59" s="10">
        <v>2.02</v>
      </c>
      <c r="Y59" s="10">
        <v>2.1</v>
      </c>
      <c r="Z59" s="11">
        <v>1000</v>
      </c>
      <c r="AA59" s="11">
        <v>1000</v>
      </c>
      <c r="AB59" s="7" t="s">
        <v>13</v>
      </c>
    </row>
    <row r="60" spans="1:28">
      <c r="A60" s="9" t="s">
        <v>21</v>
      </c>
      <c r="B60" s="9" t="s">
        <v>64</v>
      </c>
      <c r="C60" s="9" t="s">
        <v>65</v>
      </c>
      <c r="D60" s="7">
        <v>1315</v>
      </c>
      <c r="E60" s="9" t="s">
        <v>66</v>
      </c>
      <c r="F60" s="7" t="s">
        <v>1321</v>
      </c>
      <c r="G60" s="7">
        <v>145.80000000000001</v>
      </c>
      <c r="H60" s="9" t="s">
        <v>67</v>
      </c>
      <c r="I60" s="9" t="s">
        <v>73</v>
      </c>
      <c r="J60" s="7">
        <v>3</v>
      </c>
      <c r="K60" s="7">
        <v>596.94470000000001</v>
      </c>
      <c r="L60" s="7" t="str">
        <f>HYPERLINK("http://ms.phosphosite.org:5080/cgi-bin/plot-msms.cgi?MassType=1&amp;NumAxis=1&amp;Mod7=184&amp;Pep=SGSNWGRGSNMNSGPPR&amp;Dta=/var/www/html/dta/yong/23616.5949.3.dta&amp;Global_Mod=CS57.0215", "5949")</f>
        <v>5949</v>
      </c>
      <c r="M60" s="7" t="str">
        <f>HYPERLINK("http://ms.phosphosite.org:5080/cgi-bin/plot-msms.cgi?MassType=1&amp;NumAxis=1&amp;Mod7=184&amp;Pep=SGSNWGRGSNMNSGPPR&amp;Dta=/var/www/html/dta/yong/23617.6045.3.dta&amp;Global_Mod=CS57.0215", "6045")</f>
        <v>6045</v>
      </c>
      <c r="N60" s="10">
        <v>32.15</v>
      </c>
      <c r="O60" s="10">
        <v>32.25</v>
      </c>
      <c r="P60" s="10">
        <v>4.8319999999999999</v>
      </c>
      <c r="Q60" s="10">
        <v>4.0540000000000003</v>
      </c>
      <c r="R60" s="10">
        <v>0.64319999999999999</v>
      </c>
      <c r="S60" s="10">
        <v>0.42270000000000002</v>
      </c>
      <c r="T60" s="10">
        <v>0.37930000000000003</v>
      </c>
      <c r="U60" s="10">
        <v>0.4027</v>
      </c>
      <c r="V60" s="7">
        <v>1</v>
      </c>
      <c r="W60" s="7">
        <v>1</v>
      </c>
      <c r="X60" s="10">
        <v>3.6</v>
      </c>
      <c r="Y60" s="10">
        <v>3.6</v>
      </c>
      <c r="Z60" s="11">
        <v>1000</v>
      </c>
      <c r="AA60" s="11">
        <v>1000</v>
      </c>
      <c r="AB60" s="7" t="s">
        <v>13</v>
      </c>
    </row>
    <row r="61" spans="1:28">
      <c r="A61" s="9" t="s">
        <v>21</v>
      </c>
      <c r="B61" s="9" t="s">
        <v>64</v>
      </c>
      <c r="C61" s="9" t="s">
        <v>65</v>
      </c>
      <c r="D61" s="7">
        <v>1315</v>
      </c>
      <c r="E61" s="9" t="s">
        <v>66</v>
      </c>
      <c r="F61" s="7" t="s">
        <v>1321</v>
      </c>
      <c r="G61" s="7">
        <v>145.80000000000001</v>
      </c>
      <c r="H61" s="9" t="s">
        <v>67</v>
      </c>
      <c r="I61" s="9" t="s">
        <v>73</v>
      </c>
      <c r="J61" s="7">
        <v>2</v>
      </c>
      <c r="K61" s="7">
        <v>894.91340000000002</v>
      </c>
      <c r="L61" s="7" t="str">
        <f>HYPERLINK("http://ms.phosphosite.org:5080/cgi-bin/plot-msms.cgi?MassType=1&amp;NumAxis=1&amp;Mod7=184&amp;Pep=SGSNWGRGSNMNSGPPR&amp;Dta=/var/www/html/dta/yong/23616.5985.2.dta&amp;Global_Mod=CS57.0215", "5985")</f>
        <v>5985</v>
      </c>
      <c r="M61" s="7" t="str">
        <f>HYPERLINK("http://ms.phosphosite.org:5080/cgi-bin/plot-msms.cgi?MassType=1&amp;NumAxis=1&amp;Mod7=184&amp;Pep=SGSNWGRGSNMNSGPPR&amp;Dta=/var/www/html/dta/yong/23617.6087.2.dta&amp;Global_Mod=CS57.0215", "6087")</f>
        <v>6087</v>
      </c>
      <c r="N61" s="10">
        <v>32.28</v>
      </c>
      <c r="O61" s="10">
        <v>32.43</v>
      </c>
      <c r="P61" s="10">
        <v>2.968</v>
      </c>
      <c r="Q61" s="10">
        <v>3.085</v>
      </c>
      <c r="R61" s="10">
        <v>0.89180000000000004</v>
      </c>
      <c r="S61" s="10">
        <v>0.96</v>
      </c>
      <c r="T61" s="10">
        <v>0.33560000000000001</v>
      </c>
      <c r="U61" s="10">
        <v>0.24679999999999999</v>
      </c>
      <c r="V61" s="7">
        <v>1</v>
      </c>
      <c r="W61" s="7">
        <v>1</v>
      </c>
      <c r="X61" s="10">
        <v>2.78</v>
      </c>
      <c r="Y61" s="10">
        <v>2.39</v>
      </c>
      <c r="Z61" s="11">
        <v>1000</v>
      </c>
      <c r="AA61" s="11">
        <v>1000</v>
      </c>
      <c r="AB61" s="7" t="s">
        <v>13</v>
      </c>
    </row>
    <row r="62" spans="1:28">
      <c r="A62" s="13" t="s">
        <v>21</v>
      </c>
      <c r="B62" s="13" t="s">
        <v>64</v>
      </c>
      <c r="C62" s="13" t="s">
        <v>65</v>
      </c>
      <c r="D62" s="15">
        <v>1315</v>
      </c>
      <c r="E62" s="13" t="s">
        <v>66</v>
      </c>
      <c r="F62" s="15" t="s">
        <v>1321</v>
      </c>
      <c r="G62" s="15">
        <v>145.80000000000001</v>
      </c>
      <c r="H62" s="13" t="s">
        <v>67</v>
      </c>
      <c r="I62" s="13" t="s">
        <v>71</v>
      </c>
      <c r="J62" s="15">
        <v>3</v>
      </c>
      <c r="K62" s="15">
        <v>606.94820000000004</v>
      </c>
      <c r="L62" s="15"/>
      <c r="M62" s="15" t="str">
        <f>HYPERLINK("http://ms.phosphosite.org:5080/cgi-bin/plot-msms.cgi?MassType=1&amp;NumAxis=1&amp;Mod7=184&amp;Mod11=147&amp;Mod17=170&amp;Pep=SGSNWGRGSNMNSGPPR&amp;Dta=/var/www/html/dta/yong/23617.4477.3.dta&amp;Global_Mod=CS57.0215", "4477")</f>
        <v>4477</v>
      </c>
      <c r="N62" s="16"/>
      <c r="O62" s="16">
        <v>25.7</v>
      </c>
      <c r="P62" s="16"/>
      <c r="Q62" s="16">
        <v>3.1680000000000001</v>
      </c>
      <c r="R62" s="16"/>
      <c r="S62" s="16">
        <v>1.3091999999999999</v>
      </c>
      <c r="T62" s="16"/>
      <c r="U62" s="16">
        <v>0.25559999999999999</v>
      </c>
      <c r="V62" s="15"/>
      <c r="W62" s="15">
        <v>1</v>
      </c>
      <c r="X62" s="16"/>
      <c r="Y62" s="16">
        <v>2.46</v>
      </c>
      <c r="Z62" s="17"/>
      <c r="AA62" s="17" t="s">
        <v>1306</v>
      </c>
      <c r="AB62" s="15" t="s">
        <v>13</v>
      </c>
    </row>
    <row r="63" spans="1:28">
      <c r="A63" s="9" t="s">
        <v>21</v>
      </c>
      <c r="B63" s="9" t="s">
        <v>64</v>
      </c>
      <c r="C63" s="9" t="s">
        <v>65</v>
      </c>
      <c r="D63" s="7">
        <v>1315</v>
      </c>
      <c r="E63" s="9" t="s">
        <v>66</v>
      </c>
      <c r="F63" s="7" t="s">
        <v>1321</v>
      </c>
      <c r="G63" s="7">
        <v>145.80000000000001</v>
      </c>
      <c r="H63" s="9" t="s">
        <v>67</v>
      </c>
      <c r="I63" s="9" t="s">
        <v>73</v>
      </c>
      <c r="J63" s="7">
        <v>2</v>
      </c>
      <c r="K63" s="7">
        <v>894.91340000000002</v>
      </c>
      <c r="L63" s="7"/>
      <c r="M63" s="7" t="str">
        <f>HYPERLINK("http://ms.phosphosite.org:5080/cgi-bin/plot-msms.cgi?MassType=1&amp;NumAxis=1&amp;Mod7=184&amp;Pep=SGSNWGRGSNMNSGPPR&amp;Dta=/var/www/html/dta/yong/23617.6082.2.dta&amp;Global_Mod=CS57.0215", "6082")</f>
        <v>6082</v>
      </c>
      <c r="N63" s="10"/>
      <c r="O63" s="10">
        <v>32.409999999999997</v>
      </c>
      <c r="P63" s="10"/>
      <c r="Q63" s="10">
        <v>2.5489999999999999</v>
      </c>
      <c r="R63" s="10"/>
      <c r="S63" s="10">
        <v>0.82589999999999997</v>
      </c>
      <c r="T63" s="10"/>
      <c r="U63" s="10">
        <v>0.1943</v>
      </c>
      <c r="V63" s="7"/>
      <c r="W63" s="7">
        <v>1</v>
      </c>
      <c r="X63" s="10"/>
      <c r="Y63" s="10">
        <v>1.94</v>
      </c>
      <c r="Z63" s="11"/>
      <c r="AA63" s="11">
        <v>1000</v>
      </c>
      <c r="AB63" s="7" t="s">
        <v>13</v>
      </c>
    </row>
    <row r="64" spans="1:28">
      <c r="A64" s="9" t="s">
        <v>21</v>
      </c>
      <c r="B64" s="9" t="s">
        <v>64</v>
      </c>
      <c r="C64" s="9" t="s">
        <v>65</v>
      </c>
      <c r="D64" s="7">
        <v>1315</v>
      </c>
      <c r="E64" s="9" t="s">
        <v>66</v>
      </c>
      <c r="F64" s="7" t="s">
        <v>1321</v>
      </c>
      <c r="G64" s="7">
        <v>145.80000000000001</v>
      </c>
      <c r="H64" s="9" t="s">
        <v>67</v>
      </c>
      <c r="I64" s="9" t="s">
        <v>73</v>
      </c>
      <c r="J64" s="7">
        <v>2</v>
      </c>
      <c r="K64" s="7">
        <v>894.91340000000002</v>
      </c>
      <c r="L64" s="7"/>
      <c r="M64" s="7" t="str">
        <f>HYPERLINK("http://ms.phosphosite.org:5080/cgi-bin/plot-msms.cgi?MassType=1&amp;NumAxis=1&amp;Mod7=184&amp;Pep=SGSNWGRGSNMNSGPPR&amp;Dta=/var/www/html/dta/yong/23617.6113.2.dta&amp;Global_Mod=CS57.0215", "6113")</f>
        <v>6113</v>
      </c>
      <c r="N64" s="10"/>
      <c r="O64" s="10">
        <v>32.54</v>
      </c>
      <c r="P64" s="10"/>
      <c r="Q64" s="10">
        <v>3.09</v>
      </c>
      <c r="R64" s="10"/>
      <c r="S64" s="10">
        <v>0.96819999999999995</v>
      </c>
      <c r="T64" s="10"/>
      <c r="U64" s="10">
        <v>0.26619999999999999</v>
      </c>
      <c r="V64" s="7"/>
      <c r="W64" s="7">
        <v>1</v>
      </c>
      <c r="X64" s="10"/>
      <c r="Y64" s="10">
        <v>2.5</v>
      </c>
      <c r="Z64" s="11"/>
      <c r="AA64" s="11">
        <v>1000</v>
      </c>
      <c r="AB64" s="7" t="s">
        <v>13</v>
      </c>
    </row>
    <row r="65" spans="1:28" s="12" customFormat="1">
      <c r="A65" s="9" t="s">
        <v>77</v>
      </c>
      <c r="B65" s="9" t="s">
        <v>1535</v>
      </c>
      <c r="C65" s="9" t="s">
        <v>1536</v>
      </c>
      <c r="D65" s="7">
        <v>1176</v>
      </c>
      <c r="E65" s="9" t="s">
        <v>78</v>
      </c>
      <c r="F65" s="7" t="s">
        <v>1322</v>
      </c>
      <c r="G65" s="7">
        <v>158.19999999999999</v>
      </c>
      <c r="H65" s="9" t="s">
        <v>79</v>
      </c>
      <c r="I65" s="9" t="s">
        <v>80</v>
      </c>
      <c r="J65" s="7">
        <v>3</v>
      </c>
      <c r="K65" s="7">
        <v>507.27910000000003</v>
      </c>
      <c r="L65" s="7" t="str">
        <f>HYPERLINK("http://ms.phosphosite.org:5080/cgi-bin/plot-msms.cgi?MassType=1&amp;NumAxis=1&amp;Mod1=184&amp;Pep=RVGSEHSLLDPPGK&amp;Dta=/var/www/html/dta/yong/23616.220.3.dta&amp;Global_Mod=CS57.0215", "220")</f>
        <v>220</v>
      </c>
      <c r="M65" s="7"/>
      <c r="N65" s="10">
        <v>3.02</v>
      </c>
      <c r="O65" s="10"/>
      <c r="P65" s="10">
        <v>2.411</v>
      </c>
      <c r="Q65" s="10"/>
      <c r="R65" s="10">
        <v>-1.4007000000000001</v>
      </c>
      <c r="S65" s="10"/>
      <c r="T65" s="10">
        <v>0.13730000000000001</v>
      </c>
      <c r="U65" s="10"/>
      <c r="V65" s="7">
        <v>127</v>
      </c>
      <c r="W65" s="7"/>
      <c r="X65" s="10">
        <v>1.1100000000000001</v>
      </c>
      <c r="Y65" s="10"/>
      <c r="Z65" s="11">
        <v>1000</v>
      </c>
      <c r="AA65" s="11"/>
      <c r="AB65" s="7" t="s">
        <v>13</v>
      </c>
    </row>
    <row r="66" spans="1:28" s="12" customFormat="1">
      <c r="A66" s="9" t="s">
        <v>77</v>
      </c>
      <c r="B66" s="9" t="s">
        <v>81</v>
      </c>
      <c r="C66" s="9" t="s">
        <v>82</v>
      </c>
      <c r="D66" s="7">
        <v>1461</v>
      </c>
      <c r="E66" s="9" t="s">
        <v>83</v>
      </c>
      <c r="F66" s="7" t="s">
        <v>1522</v>
      </c>
      <c r="G66" s="7">
        <v>200.6</v>
      </c>
      <c r="H66" s="9" t="s">
        <v>84</v>
      </c>
      <c r="I66" s="9" t="s">
        <v>85</v>
      </c>
      <c r="J66" s="7">
        <v>3</v>
      </c>
      <c r="K66" s="7">
        <v>457.60160000000002</v>
      </c>
      <c r="L66" s="7" t="str">
        <f>HYPERLINK("http://ms.phosphosite.org:5080/cgi-bin/plot-msms.cgi?MassType=1&amp;NumAxis=1&amp;Mod2=184&amp;Pep=SRLPLSWALGSR&amp;Dta=/var/www/html/dta/yong/23616.17941.3.dta&amp;Global_Mod=CS57.0215", "17941")</f>
        <v>17941</v>
      </c>
      <c r="M66" s="7" t="str">
        <f>HYPERLINK("http://ms.phosphosite.org:5080/cgi-bin/plot-msms.cgi?MassType=1&amp;NumAxis=1&amp;Mod2=184&amp;Pep=SRLPLSWALGSR&amp;Dta=/var/www/html/dta/yong/23617.18092.3.dta&amp;Global_Mod=CS57.0215", "18092")</f>
        <v>18092</v>
      </c>
      <c r="N66" s="10">
        <v>83.03</v>
      </c>
      <c r="O66" s="10">
        <v>82.87</v>
      </c>
      <c r="P66" s="10">
        <v>3.1080000000000001</v>
      </c>
      <c r="Q66" s="10">
        <v>3.4239999999999999</v>
      </c>
      <c r="R66" s="10">
        <v>0.30690000000000001</v>
      </c>
      <c r="S66" s="10">
        <v>0.6593</v>
      </c>
      <c r="T66" s="10">
        <v>0.185</v>
      </c>
      <c r="U66" s="10">
        <v>0.24859999999999999</v>
      </c>
      <c r="V66" s="7">
        <v>9</v>
      </c>
      <c r="W66" s="7">
        <v>15</v>
      </c>
      <c r="X66" s="10">
        <v>1.71</v>
      </c>
      <c r="Y66" s="10">
        <v>2.19</v>
      </c>
      <c r="Z66" s="11">
        <v>1000</v>
      </c>
      <c r="AA66" s="11">
        <v>1000</v>
      </c>
      <c r="AB66" s="7" t="s">
        <v>13</v>
      </c>
    </row>
    <row r="67" spans="1:28" s="12" customFormat="1">
      <c r="A67" s="9" t="s">
        <v>77</v>
      </c>
      <c r="B67" s="9" t="s">
        <v>1537</v>
      </c>
      <c r="C67" s="9" t="s">
        <v>1538</v>
      </c>
      <c r="D67" s="7" t="s">
        <v>1765</v>
      </c>
      <c r="E67" s="9" t="s">
        <v>86</v>
      </c>
      <c r="F67" s="7" t="s">
        <v>1323</v>
      </c>
      <c r="G67" s="7">
        <v>213.6</v>
      </c>
      <c r="H67" s="9" t="s">
        <v>87</v>
      </c>
      <c r="I67" s="9" t="s">
        <v>90</v>
      </c>
      <c r="J67" s="7">
        <v>5</v>
      </c>
      <c r="K67" s="7">
        <v>644.16539999999998</v>
      </c>
      <c r="L67" s="7" t="str">
        <f>HYPERLINK("http://ms.phosphosite.org:5080/cgi-bin/plot-msms.cgi?MassType=1&amp;NumAxis=1&amp;Mod3=184&amp;Mod13=147&amp;Mod14=184&amp;Mod20=184&amp;Pep=GPRPLPPPFGPGMRPPLGLREFAPGVPPGR&amp;Dta=/var/www/html/dta/yong/23616.18994.5.dta&amp;Global_Mod=CS57.0215", "18994")</f>
        <v>18994</v>
      </c>
      <c r="M67" s="7" t="str">
        <f>HYPERLINK("http://ms.phosphosite.org:5080/cgi-bin/plot-msms.cgi?MassType=1&amp;NumAxis=1&amp;Mod3=184&amp;Mod13=147&amp;Mod14=184&amp;Mod20=184&amp;Pep=GPRPLPPPFGPGMRPPLGLREFAPGVPPGR&amp;Dta=/var/www/html/dta/yong/23617.20455.5.dta&amp;Global_Mod=CS57.0215", "20455")</f>
        <v>20455</v>
      </c>
      <c r="N67" s="10">
        <v>87.67</v>
      </c>
      <c r="O67" s="10">
        <v>93.05</v>
      </c>
      <c r="P67" s="10">
        <v>2.83</v>
      </c>
      <c r="Q67" s="10">
        <v>2.6080000000000001</v>
      </c>
      <c r="R67" s="10">
        <v>0.85819999999999996</v>
      </c>
      <c r="S67" s="10">
        <v>0.50639999999999996</v>
      </c>
      <c r="T67" s="10">
        <v>0.16750000000000001</v>
      </c>
      <c r="U67" s="10">
        <v>7.4899999999999994E-2</v>
      </c>
      <c r="V67" s="7">
        <v>33</v>
      </c>
      <c r="W67" s="7">
        <v>125</v>
      </c>
      <c r="X67" s="10">
        <v>1.86</v>
      </c>
      <c r="Y67" s="10">
        <v>1.25</v>
      </c>
      <c r="Z67" s="11" t="s">
        <v>1307</v>
      </c>
      <c r="AA67" s="11" t="s">
        <v>1307</v>
      </c>
      <c r="AB67" s="7" t="s">
        <v>13</v>
      </c>
    </row>
    <row r="68" spans="1:28" s="12" customFormat="1">
      <c r="A68" s="9" t="s">
        <v>77</v>
      </c>
      <c r="B68" s="9" t="s">
        <v>1537</v>
      </c>
      <c r="C68" s="9" t="s">
        <v>1538</v>
      </c>
      <c r="D68" s="7" t="s">
        <v>1765</v>
      </c>
      <c r="E68" s="9" t="s">
        <v>86</v>
      </c>
      <c r="F68" s="7" t="s">
        <v>1323</v>
      </c>
      <c r="G68" s="7">
        <v>213.6</v>
      </c>
      <c r="H68" s="9" t="s">
        <v>87</v>
      </c>
      <c r="I68" s="9" t="s">
        <v>90</v>
      </c>
      <c r="J68" s="7">
        <v>5</v>
      </c>
      <c r="K68" s="7">
        <v>644.16539999999998</v>
      </c>
      <c r="L68" s="7" t="str">
        <f>HYPERLINK("http://ms.phosphosite.org:5080/cgi-bin/plot-msms.cgi?MassType=1&amp;NumAxis=1&amp;Mod3=184&amp;Mod13=147&amp;Mod14=184&amp;Mod20=184&amp;Pep=GPRPLPPPFGPGMRPPLGLREFAPGVPPGR&amp;Dta=/var/www/html/dta/yong/23616.19154.5.dta&amp;Global_Mod=CS57.0215", "19154")</f>
        <v>19154</v>
      </c>
      <c r="M68" s="7" t="str">
        <f>HYPERLINK("http://ms.phosphosite.org:5080/cgi-bin/plot-msms.cgi?MassType=1&amp;NumAxis=1&amp;Mod3=184&amp;Mod13=147&amp;Mod14=184&amp;Mod20=184&amp;Pep=GPRPLPPPFGPGMRPPLGLREFAPGVPPGR&amp;Dta=/var/www/html/dta/yong/23617.19189.5.dta&amp;Global_Mod=CS57.0215", "19189")</f>
        <v>19189</v>
      </c>
      <c r="N68" s="10">
        <v>88.4</v>
      </c>
      <c r="O68" s="10">
        <v>87.74</v>
      </c>
      <c r="P68" s="10">
        <v>2.7810000000000001</v>
      </c>
      <c r="Q68" s="10">
        <v>3.5649999999999999</v>
      </c>
      <c r="R68" s="10">
        <v>0.86809999999999998</v>
      </c>
      <c r="S68" s="10">
        <v>0.78700000000000003</v>
      </c>
      <c r="T68" s="10">
        <v>0.2215</v>
      </c>
      <c r="U68" s="10">
        <v>0.2208</v>
      </c>
      <c r="V68" s="7">
        <v>151</v>
      </c>
      <c r="W68" s="7">
        <v>16</v>
      </c>
      <c r="X68" s="10">
        <v>2.1</v>
      </c>
      <c r="Y68" s="10">
        <v>2.4</v>
      </c>
      <c r="Z68" s="11" t="s">
        <v>1307</v>
      </c>
      <c r="AA68" s="11" t="s">
        <v>1307</v>
      </c>
      <c r="AB68" s="7" t="s">
        <v>13</v>
      </c>
    </row>
    <row r="69" spans="1:28" s="12" customFormat="1">
      <c r="A69" s="9" t="s">
        <v>77</v>
      </c>
      <c r="B69" s="9" t="s">
        <v>1537</v>
      </c>
      <c r="C69" s="9" t="s">
        <v>1538</v>
      </c>
      <c r="D69" s="7" t="s">
        <v>1765</v>
      </c>
      <c r="E69" s="9" t="s">
        <v>86</v>
      </c>
      <c r="F69" s="7" t="s">
        <v>1323</v>
      </c>
      <c r="G69" s="7">
        <v>213.6</v>
      </c>
      <c r="H69" s="9" t="s">
        <v>87</v>
      </c>
      <c r="I69" s="9" t="s">
        <v>90</v>
      </c>
      <c r="J69" s="7">
        <v>5</v>
      </c>
      <c r="K69" s="7">
        <v>644.16539999999998</v>
      </c>
      <c r="L69" s="7" t="str">
        <f>HYPERLINK("http://ms.phosphosite.org:5080/cgi-bin/plot-msms.cgi?MassType=1&amp;NumAxis=1&amp;Mod3=184&amp;Mod13=147&amp;Mod14=184&amp;Mod20=184&amp;Pep=GPRPLPPPFGPGMRPPLGLREFAPGVPPGR&amp;Dta=/var/www/html/dta/yong/23616.19686.5.dta&amp;Global_Mod=CS57.0215", "19686")</f>
        <v>19686</v>
      </c>
      <c r="M69" s="7" t="str">
        <f>HYPERLINK("http://ms.phosphosite.org:5080/cgi-bin/plot-msms.cgi?MassType=1&amp;NumAxis=1&amp;Mod3=184&amp;Mod13=147&amp;Mod14=184&amp;Mod20=184&amp;Pep=GPRPLPPPFGPGMRPPLGLREFAPGVPPGR&amp;Dta=/var/www/html/dta/yong/23617.19523.5.dta&amp;Global_Mod=CS57.0215", "19523")</f>
        <v>19523</v>
      </c>
      <c r="N69" s="10">
        <v>90.56</v>
      </c>
      <c r="O69" s="10">
        <v>89.17</v>
      </c>
      <c r="P69" s="10">
        <v>2.9660000000000002</v>
      </c>
      <c r="Q69" s="10">
        <v>3.16</v>
      </c>
      <c r="R69" s="10">
        <v>0.72560000000000002</v>
      </c>
      <c r="S69" s="10">
        <v>0.52159999999999995</v>
      </c>
      <c r="T69" s="10">
        <v>0.1857</v>
      </c>
      <c r="U69" s="10">
        <v>0.2349</v>
      </c>
      <c r="V69" s="7">
        <v>8</v>
      </c>
      <c r="W69" s="7">
        <v>17</v>
      </c>
      <c r="X69" s="10">
        <v>2.0099999999999998</v>
      </c>
      <c r="Y69" s="10">
        <v>2.37</v>
      </c>
      <c r="Z69" s="11" t="s">
        <v>1307</v>
      </c>
      <c r="AA69" s="11" t="s">
        <v>1307</v>
      </c>
      <c r="AB69" s="7" t="s">
        <v>13</v>
      </c>
    </row>
    <row r="70" spans="1:28" s="12" customFormat="1">
      <c r="A70" s="9" t="s">
        <v>77</v>
      </c>
      <c r="B70" s="9" t="s">
        <v>1537</v>
      </c>
      <c r="C70" s="9" t="s">
        <v>1538</v>
      </c>
      <c r="D70" s="7" t="s">
        <v>1765</v>
      </c>
      <c r="E70" s="9" t="s">
        <v>86</v>
      </c>
      <c r="F70" s="7" t="s">
        <v>1323</v>
      </c>
      <c r="G70" s="7">
        <v>213.6</v>
      </c>
      <c r="H70" s="9" t="s">
        <v>87</v>
      </c>
      <c r="I70" s="9" t="s">
        <v>90</v>
      </c>
      <c r="J70" s="7">
        <v>5</v>
      </c>
      <c r="K70" s="7">
        <v>644.16539999999998</v>
      </c>
      <c r="L70" s="7" t="str">
        <f>HYPERLINK("http://ms.phosphosite.org:5080/cgi-bin/plot-msms.cgi?MassType=1&amp;NumAxis=1&amp;Mod3=184&amp;Mod13=147&amp;Mod14=184&amp;Mod20=184&amp;Pep=GPRPLPPPFGPGMRPPLGLREFAPGVPPGR&amp;Dta=/var/www/html/dta/yong/23616.19878.5.dta&amp;Global_Mod=CS57.0215", "19878")</f>
        <v>19878</v>
      </c>
      <c r="M70" s="7" t="str">
        <f>HYPERLINK("http://ms.phosphosite.org:5080/cgi-bin/plot-msms.cgi?MassType=1&amp;NumAxis=1&amp;Mod3=184&amp;Mod13=147&amp;Mod14=184&amp;Mod20=184&amp;Pep=GPRPLPPPFGPGMRPPLGLREFAPGVPPGR&amp;Dta=/var/www/html/dta/yong/23617.20279.5.dta&amp;Global_Mod=CS57.0215", "20279")</f>
        <v>20279</v>
      </c>
      <c r="N70" s="10">
        <v>91.35</v>
      </c>
      <c r="O70" s="10">
        <v>92.33</v>
      </c>
      <c r="P70" s="10">
        <v>3.0459999999999998</v>
      </c>
      <c r="Q70" s="10">
        <v>3.3290000000000002</v>
      </c>
      <c r="R70" s="10">
        <v>0.90159999999999996</v>
      </c>
      <c r="S70" s="10">
        <v>0.16739999999999999</v>
      </c>
      <c r="T70" s="10">
        <v>0.24759999999999999</v>
      </c>
      <c r="U70" s="10">
        <v>5.7099999999999998E-2</v>
      </c>
      <c r="V70" s="7">
        <v>5</v>
      </c>
      <c r="W70" s="7">
        <v>158</v>
      </c>
      <c r="X70" s="10">
        <v>2.38</v>
      </c>
      <c r="Y70" s="10">
        <v>1.35</v>
      </c>
      <c r="Z70" s="11" t="s">
        <v>1307</v>
      </c>
      <c r="AA70" s="11" t="s">
        <v>1307</v>
      </c>
      <c r="AB70" s="7" t="s">
        <v>13</v>
      </c>
    </row>
    <row r="71" spans="1:28" s="12" customFormat="1">
      <c r="A71" s="9" t="s">
        <v>77</v>
      </c>
      <c r="B71" s="9" t="s">
        <v>1537</v>
      </c>
      <c r="C71" s="9" t="s">
        <v>1538</v>
      </c>
      <c r="D71" s="7" t="s">
        <v>1765</v>
      </c>
      <c r="E71" s="9" t="s">
        <v>86</v>
      </c>
      <c r="F71" s="7" t="s">
        <v>1323</v>
      </c>
      <c r="G71" s="7">
        <v>213.6</v>
      </c>
      <c r="H71" s="9" t="s">
        <v>87</v>
      </c>
      <c r="I71" s="9" t="s">
        <v>90</v>
      </c>
      <c r="J71" s="7">
        <v>5</v>
      </c>
      <c r="K71" s="7">
        <v>644.16539999999998</v>
      </c>
      <c r="L71" s="7" t="str">
        <f>HYPERLINK("http://ms.phosphosite.org:5080/cgi-bin/plot-msms.cgi?MassType=1&amp;NumAxis=1&amp;Mod3=184&amp;Mod13=147&amp;Mod14=184&amp;Mod20=184&amp;Pep=GPRPLPPPFGPGMRPPLGLREFAPGVPPGR&amp;Dta=/var/www/html/dta/yong/23616.20048.5.dta&amp;Global_Mod=CS57.0215", "20048")</f>
        <v>20048</v>
      </c>
      <c r="M71" s="7" t="str">
        <f>HYPERLINK("http://ms.phosphosite.org:5080/cgi-bin/plot-msms.cgi?MassType=1&amp;NumAxis=1&amp;Mod3=184&amp;Mod13=147&amp;Mod14=184&amp;Mod20=184&amp;Pep=GPRPLPPPFGPGMRPPLGLREFAPGVPPGR&amp;Dta=/var/www/html/dta/yong/23617.20233.5.dta&amp;Global_Mod=CS57.0215", "20233")</f>
        <v>20233</v>
      </c>
      <c r="N71" s="10">
        <v>92.04</v>
      </c>
      <c r="O71" s="10">
        <v>92.14</v>
      </c>
      <c r="P71" s="10">
        <v>2.9569999999999999</v>
      </c>
      <c r="Q71" s="10">
        <v>3.351</v>
      </c>
      <c r="R71" s="10">
        <v>0.57050000000000001</v>
      </c>
      <c r="S71" s="10">
        <v>0.1459</v>
      </c>
      <c r="T71" s="10">
        <v>0.12740000000000001</v>
      </c>
      <c r="U71" s="10">
        <v>0.27710000000000001</v>
      </c>
      <c r="V71" s="7">
        <v>17</v>
      </c>
      <c r="W71" s="7">
        <v>7</v>
      </c>
      <c r="X71" s="10">
        <v>1.69</v>
      </c>
      <c r="Y71" s="10">
        <v>2.67</v>
      </c>
      <c r="Z71" s="11" t="s">
        <v>1307</v>
      </c>
      <c r="AA71" s="11" t="s">
        <v>1307</v>
      </c>
      <c r="AB71" s="7" t="s">
        <v>13</v>
      </c>
    </row>
    <row r="72" spans="1:28" s="12" customFormat="1">
      <c r="A72" s="9" t="s">
        <v>77</v>
      </c>
      <c r="B72" s="9" t="s">
        <v>1537</v>
      </c>
      <c r="C72" s="9" t="s">
        <v>1538</v>
      </c>
      <c r="D72" s="7" t="s">
        <v>1765</v>
      </c>
      <c r="E72" s="9" t="s">
        <v>86</v>
      </c>
      <c r="F72" s="7" t="s">
        <v>1323</v>
      </c>
      <c r="G72" s="7">
        <v>213.6</v>
      </c>
      <c r="H72" s="9" t="s">
        <v>87</v>
      </c>
      <c r="I72" s="9" t="s">
        <v>89</v>
      </c>
      <c r="J72" s="7">
        <v>5</v>
      </c>
      <c r="K72" s="7">
        <v>704.39390000000003</v>
      </c>
      <c r="L72" s="7" t="str">
        <f>HYPERLINK("http://ms.phosphosite.org:5080/cgi-bin/plot-msms.cgi?MassType=1&amp;NumAxis=1&amp;Mod6=184&amp;Mod16=147&amp;Mod17=184&amp;Mod23=184&amp;Pep=GPFGPRPLPPPFGPGMRPPLGLREFAPGVPPGR&amp;Dta=/var/www/html/dta/yong/23616.21868.5.dta&amp;Global_Mod=CS57.0215", "21868")</f>
        <v>21868</v>
      </c>
      <c r="M72" s="7" t="str">
        <f>HYPERLINK("http://ms.phosphosite.org:5080/cgi-bin/plot-msms.cgi?MassType=1&amp;NumAxis=1&amp;Mod6=184&amp;Mod16=147&amp;Mod17=184&amp;Mod23=184&amp;Pep=GPFGPRPLPPPFGPGMRPPLGLREFAPGVPPGR&amp;Dta=/var/www/html/dta/yong/23617.21754.5.dta&amp;Global_Mod=CS57.0215", "21754")</f>
        <v>21754</v>
      </c>
      <c r="N72" s="10">
        <v>99.58</v>
      </c>
      <c r="O72" s="10">
        <v>98.45</v>
      </c>
      <c r="P72" s="10">
        <v>2.64</v>
      </c>
      <c r="Q72" s="10">
        <v>2.5459999999999998</v>
      </c>
      <c r="R72" s="10">
        <v>0.93930000000000002</v>
      </c>
      <c r="S72" s="10">
        <v>-0.1053</v>
      </c>
      <c r="T72" s="10">
        <v>0.14460000000000001</v>
      </c>
      <c r="U72" s="10">
        <v>5.8700000000000002E-2</v>
      </c>
      <c r="V72" s="7">
        <v>2</v>
      </c>
      <c r="W72" s="7">
        <v>2</v>
      </c>
      <c r="X72" s="10">
        <v>1.65</v>
      </c>
      <c r="Y72" s="10">
        <v>1.1599999999999999</v>
      </c>
      <c r="Z72" s="11" t="s">
        <v>1307</v>
      </c>
      <c r="AA72" s="11" t="s">
        <v>1307</v>
      </c>
      <c r="AB72" s="7" t="s">
        <v>13</v>
      </c>
    </row>
    <row r="73" spans="1:28" s="12" customFormat="1">
      <c r="A73" s="9" t="s">
        <v>77</v>
      </c>
      <c r="B73" s="9" t="s">
        <v>1537</v>
      </c>
      <c r="C73" s="9" t="s">
        <v>1538</v>
      </c>
      <c r="D73" s="7" t="s">
        <v>1765</v>
      </c>
      <c r="E73" s="9" t="s">
        <v>86</v>
      </c>
      <c r="F73" s="7" t="s">
        <v>1323</v>
      </c>
      <c r="G73" s="7">
        <v>213.6</v>
      </c>
      <c r="H73" s="9" t="s">
        <v>87</v>
      </c>
      <c r="I73" s="9" t="s">
        <v>88</v>
      </c>
      <c r="J73" s="7">
        <v>5</v>
      </c>
      <c r="K73" s="7">
        <v>736.40009999999995</v>
      </c>
      <c r="L73" s="7" t="str">
        <f>HYPERLINK("http://ms.phosphosite.org:5080/cgi-bin/plot-msms.cgi?MassType=1&amp;NumAxis=1&amp;Mod7=184&amp;Mod17=147&amp;Mod18=184&amp;Mod24=184&amp;Pep=CGPFGPRPLPPPFGPGMRPPLGLREFAPGVPPGR&amp;Dta=/var/www/html/dta/yong/23616.22054.5.dta&amp;Global_Mod=CS57.0215", "22054")</f>
        <v>22054</v>
      </c>
      <c r="M73" s="7" t="str">
        <f>HYPERLINK("http://ms.phosphosite.org:5080/cgi-bin/plot-msms.cgi?MassType=1&amp;NumAxis=1&amp;Mod7=184&amp;Mod17=147&amp;Mod18=184&amp;Mod24=184&amp;Pep=CGPFGPRPLPPPFGPGMRPPLGLREFAPGVPPGR&amp;Dta=/var/www/html/dta/yong/23617.22356.5.dta&amp;Global_Mod=CS57.0215", "22356")</f>
        <v>22356</v>
      </c>
      <c r="N73" s="10">
        <v>100.35</v>
      </c>
      <c r="O73" s="10">
        <v>100.91</v>
      </c>
      <c r="P73" s="10">
        <v>3.0830000000000002</v>
      </c>
      <c r="Q73" s="10">
        <v>2.6019999999999999</v>
      </c>
      <c r="R73" s="10">
        <v>1.3722000000000001</v>
      </c>
      <c r="S73" s="10">
        <v>0.33600000000000002</v>
      </c>
      <c r="T73" s="10">
        <v>6.7500000000000004E-2</v>
      </c>
      <c r="U73" s="10">
        <v>8.8800000000000004E-2</v>
      </c>
      <c r="V73" s="7">
        <v>35</v>
      </c>
      <c r="W73" s="7">
        <v>7</v>
      </c>
      <c r="X73" s="10">
        <v>1.3</v>
      </c>
      <c r="Y73" s="10">
        <v>1.35</v>
      </c>
      <c r="Z73" s="11" t="s">
        <v>1307</v>
      </c>
      <c r="AA73" s="11" t="s">
        <v>1307</v>
      </c>
      <c r="AB73" s="7" t="s">
        <v>13</v>
      </c>
    </row>
    <row r="74" spans="1:28" s="12" customFormat="1">
      <c r="A74" s="9" t="s">
        <v>77</v>
      </c>
      <c r="B74" s="9" t="s">
        <v>1537</v>
      </c>
      <c r="C74" s="9" t="s">
        <v>1538</v>
      </c>
      <c r="D74" s="7" t="s">
        <v>1765</v>
      </c>
      <c r="E74" s="9" t="s">
        <v>86</v>
      </c>
      <c r="F74" s="7" t="s">
        <v>1323</v>
      </c>
      <c r="G74" s="7">
        <v>213.6</v>
      </c>
      <c r="H74" s="9" t="s">
        <v>87</v>
      </c>
      <c r="I74" s="9" t="s">
        <v>88</v>
      </c>
      <c r="J74" s="7">
        <v>5</v>
      </c>
      <c r="K74" s="7">
        <v>736.40009999999995</v>
      </c>
      <c r="L74" s="7" t="str">
        <f>HYPERLINK("http://ms.phosphosite.org:5080/cgi-bin/plot-msms.cgi?MassType=1&amp;NumAxis=1&amp;Mod7=184&amp;Mod17=147&amp;Mod18=184&amp;Mod24=184&amp;Pep=CGPFGPRPLPPPFGPGMRPPLGLREFAPGVPPGR&amp;Dta=/var/www/html/dta/yong/23616.22282.5.dta&amp;Global_Mod=CS57.0215", "22282")</f>
        <v>22282</v>
      </c>
      <c r="M74" s="7" t="str">
        <f>HYPERLINK("http://ms.phosphosite.org:5080/cgi-bin/plot-msms.cgi?MassType=1&amp;NumAxis=1&amp;Mod7=184&amp;Mod17=147&amp;Mod18=184&amp;Mod24=184&amp;Pep=CGPFGPRPLPPPFGPGMRPPLGLREFAPGVPPGR&amp;Dta=/var/www/html/dta/yong/23617.22370.5.dta&amp;Global_Mod=CS57.0215", "22370")</f>
        <v>22370</v>
      </c>
      <c r="N74" s="10">
        <v>101.29</v>
      </c>
      <c r="O74" s="10">
        <v>100.98</v>
      </c>
      <c r="P74" s="10">
        <v>3.2349999999999999</v>
      </c>
      <c r="Q74" s="10">
        <v>2.847</v>
      </c>
      <c r="R74" s="10">
        <v>1.0895999999999999</v>
      </c>
      <c r="S74" s="10">
        <v>1.4025000000000001</v>
      </c>
      <c r="T74" s="10">
        <v>0.1036</v>
      </c>
      <c r="U74" s="10">
        <v>8.9700000000000002E-2</v>
      </c>
      <c r="V74" s="7">
        <v>8</v>
      </c>
      <c r="W74" s="7">
        <v>80</v>
      </c>
      <c r="X74" s="10">
        <v>1.57</v>
      </c>
      <c r="Y74" s="10">
        <v>1.34</v>
      </c>
      <c r="Z74" s="11" t="s">
        <v>1307</v>
      </c>
      <c r="AA74" s="11" t="s">
        <v>1307</v>
      </c>
      <c r="AB74" s="7" t="s">
        <v>13</v>
      </c>
    </row>
    <row r="75" spans="1:28" s="12" customFormat="1">
      <c r="A75" s="9" t="s">
        <v>77</v>
      </c>
      <c r="B75" s="9" t="s">
        <v>1537</v>
      </c>
      <c r="C75" s="9" t="s">
        <v>1538</v>
      </c>
      <c r="D75" s="7" t="s">
        <v>1765</v>
      </c>
      <c r="E75" s="9" t="s">
        <v>86</v>
      </c>
      <c r="F75" s="7" t="s">
        <v>1323</v>
      </c>
      <c r="G75" s="7">
        <v>213.6</v>
      </c>
      <c r="H75" s="9" t="s">
        <v>87</v>
      </c>
      <c r="I75" s="9" t="s">
        <v>90</v>
      </c>
      <c r="J75" s="7">
        <v>5</v>
      </c>
      <c r="K75" s="7">
        <v>644.16539999999998</v>
      </c>
      <c r="L75" s="7"/>
      <c r="M75" s="7" t="str">
        <f>HYPERLINK("http://ms.phosphosite.org:5080/cgi-bin/plot-msms.cgi?MassType=1&amp;NumAxis=1&amp;Mod3=184&amp;Mod13=147&amp;Mod14=184&amp;Mod20=184&amp;Pep=GPRPLPPPFGPGMRPPLGLREFAPGVPPGR&amp;Dta=/var/www/html/dta/yong/23617.19137.5.dta&amp;Global_Mod=CS57.0215", "19137")</f>
        <v>19137</v>
      </c>
      <c r="N75" s="10"/>
      <c r="O75" s="10">
        <v>87.51</v>
      </c>
      <c r="P75" s="10"/>
      <c r="Q75" s="10">
        <v>2.9089999999999998</v>
      </c>
      <c r="R75" s="10"/>
      <c r="S75" s="10">
        <v>0.82979999999999998</v>
      </c>
      <c r="T75" s="10"/>
      <c r="U75" s="10">
        <v>0.15629999999999999</v>
      </c>
      <c r="V75" s="7"/>
      <c r="W75" s="7">
        <v>62</v>
      </c>
      <c r="X75" s="10"/>
      <c r="Y75" s="10">
        <v>1.82</v>
      </c>
      <c r="Z75" s="11"/>
      <c r="AA75" s="11" t="s">
        <v>1307</v>
      </c>
      <c r="AB75" s="7" t="s">
        <v>13</v>
      </c>
    </row>
    <row r="76" spans="1:28" s="12" customFormat="1">
      <c r="A76" s="9" t="s">
        <v>77</v>
      </c>
      <c r="B76" s="9" t="s">
        <v>1537</v>
      </c>
      <c r="C76" s="9" t="s">
        <v>1538</v>
      </c>
      <c r="D76" s="7" t="s">
        <v>1765</v>
      </c>
      <c r="E76" s="9" t="s">
        <v>86</v>
      </c>
      <c r="F76" s="7" t="s">
        <v>1323</v>
      </c>
      <c r="G76" s="7">
        <v>213.6</v>
      </c>
      <c r="H76" s="9" t="s">
        <v>87</v>
      </c>
      <c r="I76" s="9" t="s">
        <v>90</v>
      </c>
      <c r="J76" s="7">
        <v>5</v>
      </c>
      <c r="K76" s="7">
        <v>644.16539999999998</v>
      </c>
      <c r="L76" s="7"/>
      <c r="M76" s="7" t="str">
        <f>HYPERLINK("http://ms.phosphosite.org:5080/cgi-bin/plot-msms.cgi?MassType=1&amp;NumAxis=1&amp;Mod3=184&amp;Mod13=147&amp;Mod14=184&amp;Mod20=184&amp;Pep=GPRPLPPPFGPGMRPPLGLREFAPGVPPGR&amp;Dta=/var/www/html/dta/yong/23617.19546.5.dta&amp;Global_Mod=CS57.0215", "19546")</f>
        <v>19546</v>
      </c>
      <c r="N76" s="10"/>
      <c r="O76" s="10">
        <v>89.25</v>
      </c>
      <c r="P76" s="10"/>
      <c r="Q76" s="10">
        <v>3.1949999999999998</v>
      </c>
      <c r="R76" s="10"/>
      <c r="S76" s="10">
        <v>0.2591</v>
      </c>
      <c r="T76" s="10"/>
      <c r="U76" s="10">
        <v>0.12529999999999999</v>
      </c>
      <c r="V76" s="7"/>
      <c r="W76" s="7">
        <v>19</v>
      </c>
      <c r="X76" s="10"/>
      <c r="Y76" s="10">
        <v>1.77</v>
      </c>
      <c r="Z76" s="11"/>
      <c r="AA76" s="11" t="s">
        <v>1307</v>
      </c>
      <c r="AB76" s="7" t="s">
        <v>13</v>
      </c>
    </row>
    <row r="77" spans="1:28" s="12" customFormat="1">
      <c r="A77" s="9" t="s">
        <v>77</v>
      </c>
      <c r="B77" s="9" t="s">
        <v>1537</v>
      </c>
      <c r="C77" s="9" t="s">
        <v>1538</v>
      </c>
      <c r="D77" s="7" t="s">
        <v>1765</v>
      </c>
      <c r="E77" s="9" t="s">
        <v>86</v>
      </c>
      <c r="F77" s="7" t="s">
        <v>1323</v>
      </c>
      <c r="G77" s="7">
        <v>213.6</v>
      </c>
      <c r="H77" s="9" t="s">
        <v>87</v>
      </c>
      <c r="I77" s="9" t="s">
        <v>90</v>
      </c>
      <c r="J77" s="7">
        <v>5</v>
      </c>
      <c r="K77" s="7">
        <v>644.16539999999998</v>
      </c>
      <c r="L77" s="7"/>
      <c r="M77" s="7" t="str">
        <f>HYPERLINK("http://ms.phosphosite.org:5080/cgi-bin/plot-msms.cgi?MassType=1&amp;NumAxis=1&amp;Mod3=184&amp;Mod13=147&amp;Mod14=184&amp;Mod20=184&amp;Pep=GPRPLPPPFGPGMRPPLGLREFAPGVPPGR&amp;Dta=/var/www/html/dta/yong/23617.19895.5.dta&amp;Global_Mod=CS57.0215", "19895")</f>
        <v>19895</v>
      </c>
      <c r="N77" s="10"/>
      <c r="O77" s="10">
        <v>90.68</v>
      </c>
      <c r="P77" s="10"/>
      <c r="Q77" s="10">
        <v>3.5609999999999999</v>
      </c>
      <c r="R77" s="10"/>
      <c r="S77" s="10">
        <v>0.7681</v>
      </c>
      <c r="T77" s="10"/>
      <c r="U77" s="10">
        <v>0.27039999999999997</v>
      </c>
      <c r="V77" s="7"/>
      <c r="W77" s="7">
        <v>57</v>
      </c>
      <c r="X77" s="10"/>
      <c r="Y77" s="10">
        <v>2.66</v>
      </c>
      <c r="Z77" s="11"/>
      <c r="AA77" s="11" t="s">
        <v>1307</v>
      </c>
      <c r="AB77" s="7" t="s">
        <v>13</v>
      </c>
    </row>
    <row r="78" spans="1:28" s="12" customFormat="1">
      <c r="A78" s="9" t="s">
        <v>77</v>
      </c>
      <c r="B78" s="9" t="s">
        <v>1537</v>
      </c>
      <c r="C78" s="9" t="s">
        <v>1538</v>
      </c>
      <c r="D78" s="7" t="s">
        <v>1765</v>
      </c>
      <c r="E78" s="9" t="s">
        <v>86</v>
      </c>
      <c r="F78" s="7" t="s">
        <v>1323</v>
      </c>
      <c r="G78" s="7">
        <v>213.6</v>
      </c>
      <c r="H78" s="9" t="s">
        <v>87</v>
      </c>
      <c r="I78" s="9" t="s">
        <v>89</v>
      </c>
      <c r="J78" s="7">
        <v>5</v>
      </c>
      <c r="K78" s="7">
        <v>704.39390000000003</v>
      </c>
      <c r="L78" s="7"/>
      <c r="M78" s="7" t="str">
        <f>HYPERLINK("http://ms.phosphosite.org:5080/cgi-bin/plot-msms.cgi?MassType=1&amp;NumAxis=1&amp;Mod6=184&amp;Mod16=147&amp;Mod17=184&amp;Mod23=184&amp;Pep=GPFGPRPLPPPFGPGMRPPLGLREFAPGVPPGR&amp;Dta=/var/www/html/dta/yong/23617.22188.5.dta&amp;Global_Mod=CS57.0215", "22188")</f>
        <v>22188</v>
      </c>
      <c r="N78" s="10"/>
      <c r="O78" s="10">
        <v>100.22</v>
      </c>
      <c r="P78" s="10"/>
      <c r="Q78" s="10">
        <v>2.9220000000000002</v>
      </c>
      <c r="R78" s="10"/>
      <c r="S78" s="10">
        <v>0.94530000000000003</v>
      </c>
      <c r="T78" s="10"/>
      <c r="U78" s="10">
        <v>0.13289999999999999</v>
      </c>
      <c r="V78" s="7"/>
      <c r="W78" s="7">
        <v>2</v>
      </c>
      <c r="X78" s="10"/>
      <c r="Y78" s="10">
        <v>1.68</v>
      </c>
      <c r="Z78" s="11"/>
      <c r="AA78" s="11" t="s">
        <v>1307</v>
      </c>
      <c r="AB78" s="7" t="s">
        <v>13</v>
      </c>
    </row>
    <row r="79" spans="1:28" s="12" customFormat="1">
      <c r="A79" s="3" t="s">
        <v>77</v>
      </c>
      <c r="B79" s="9" t="s">
        <v>1537</v>
      </c>
      <c r="C79" s="9" t="s">
        <v>1538</v>
      </c>
      <c r="D79" s="4" t="s">
        <v>1766</v>
      </c>
      <c r="E79" s="3" t="s">
        <v>86</v>
      </c>
      <c r="F79" s="7" t="s">
        <v>1323</v>
      </c>
      <c r="G79" s="4">
        <v>213.6</v>
      </c>
      <c r="H79" s="3" t="s">
        <v>87</v>
      </c>
      <c r="I79" s="3" t="s">
        <v>93</v>
      </c>
      <c r="J79" s="4">
        <v>5</v>
      </c>
      <c r="K79" s="4">
        <v>644.16539999999998</v>
      </c>
      <c r="L79" s="4" t="str">
        <f>HYPERLINK("http://ms.phosphosite.org:5080/cgi-bin/plot-msms.cgi?MassType=1&amp;NumAxis=1&amp;Mod3=184&amp;Mod13=147&amp;Mod20=184&amp;Mod30=184&amp;Pep=GPRPLPPPFGPGMRPPLGLREFAPGVPPGR&amp;Dta=/var/www/html/dta/yong/23616.19313.5.dta&amp;Global_Mod=CS57.0215", "19313")</f>
        <v>19313</v>
      </c>
      <c r="M79" s="4" t="str">
        <f>HYPERLINK("http://ms.phosphosite.org:5080/cgi-bin/plot-msms.cgi?MassType=1&amp;NumAxis=1&amp;Mod3=184&amp;Mod13=147&amp;Mod20=184&amp;Mod30=184&amp;Pep=GPRPLPPPFGPGMRPPLGLREFAPGVPPGR&amp;Dta=/var/www/html/dta/yong/23617.19706.5.dta&amp;Global_Mod=CS57.0215", "19706")</f>
        <v>19706</v>
      </c>
      <c r="N79" s="5">
        <v>89.09</v>
      </c>
      <c r="O79" s="5">
        <v>89.89</v>
      </c>
      <c r="P79" s="5">
        <v>2.6840000000000002</v>
      </c>
      <c r="Q79" s="5">
        <v>2.923</v>
      </c>
      <c r="R79" s="5">
        <v>0.81240000000000001</v>
      </c>
      <c r="S79" s="5">
        <v>0.70609999999999995</v>
      </c>
      <c r="T79" s="5">
        <v>0.2072</v>
      </c>
      <c r="U79" s="5">
        <v>0.14269999999999999</v>
      </c>
      <c r="V79" s="4">
        <v>34</v>
      </c>
      <c r="W79" s="4">
        <v>151</v>
      </c>
      <c r="X79" s="5">
        <v>2.04</v>
      </c>
      <c r="Y79" s="5">
        <v>1.7</v>
      </c>
      <c r="Z79" s="6" t="s">
        <v>1307</v>
      </c>
      <c r="AA79" s="6" t="s">
        <v>1307</v>
      </c>
      <c r="AB79" s="4" t="s">
        <v>13</v>
      </c>
    </row>
    <row r="80" spans="1:28" s="12" customFormat="1">
      <c r="A80" s="3" t="s">
        <v>77</v>
      </c>
      <c r="B80" s="9" t="s">
        <v>1537</v>
      </c>
      <c r="C80" s="9" t="s">
        <v>1538</v>
      </c>
      <c r="D80" s="4" t="s">
        <v>1766</v>
      </c>
      <c r="E80" s="3" t="s">
        <v>86</v>
      </c>
      <c r="F80" s="7" t="s">
        <v>1323</v>
      </c>
      <c r="G80" s="4">
        <v>213.6</v>
      </c>
      <c r="H80" s="3" t="s">
        <v>87</v>
      </c>
      <c r="I80" s="3" t="s">
        <v>93</v>
      </c>
      <c r="J80" s="4">
        <v>5</v>
      </c>
      <c r="K80" s="4">
        <v>644.16539999999998</v>
      </c>
      <c r="L80" s="4" t="str">
        <f>HYPERLINK("http://ms.phosphosite.org:5080/cgi-bin/plot-msms.cgi?MassType=1&amp;NumAxis=1&amp;Mod3=184&amp;Mod13=147&amp;Mod20=184&amp;Mod30=184&amp;Pep=GPRPLPPPFGPGMRPPLGLREFAPGVPPGR&amp;Dta=/var/www/html/dta/yong/23616.19387.5.dta&amp;Global_Mod=CS57.0215", "19387")</f>
        <v>19387</v>
      </c>
      <c r="M80" s="4" t="str">
        <f>HYPERLINK("http://ms.phosphosite.org:5080/cgi-bin/plot-msms.cgi?MassType=1&amp;NumAxis=1&amp;Mod3=184&amp;Mod13=147&amp;Mod20=184&amp;Mod30=184&amp;Pep=GPRPLPPPFGPGMRPPLGLREFAPGVPPGR&amp;Dta=/var/www/html/dta/yong/23617.19550.5.dta&amp;Global_Mod=CS57.0215", "19550")</f>
        <v>19550</v>
      </c>
      <c r="N80" s="5">
        <v>89.36</v>
      </c>
      <c r="O80" s="5">
        <v>89.27</v>
      </c>
      <c r="P80" s="5">
        <v>2.657</v>
      </c>
      <c r="Q80" s="5">
        <v>2.9350000000000001</v>
      </c>
      <c r="R80" s="5">
        <v>0.2195</v>
      </c>
      <c r="S80" s="5">
        <v>0.26450000000000001</v>
      </c>
      <c r="T80" s="5">
        <v>0.22009999999999999</v>
      </c>
      <c r="U80" s="5">
        <v>0.22500000000000001</v>
      </c>
      <c r="V80" s="4">
        <v>56</v>
      </c>
      <c r="W80" s="4">
        <v>87</v>
      </c>
      <c r="X80" s="5">
        <v>2.1</v>
      </c>
      <c r="Y80" s="5">
        <v>2.2200000000000002</v>
      </c>
      <c r="Z80" s="6" t="s">
        <v>1307</v>
      </c>
      <c r="AA80" s="6" t="s">
        <v>1307</v>
      </c>
      <c r="AB80" s="4" t="s">
        <v>13</v>
      </c>
    </row>
    <row r="81" spans="1:28" s="12" customFormat="1">
      <c r="A81" s="3" t="s">
        <v>77</v>
      </c>
      <c r="B81" s="9" t="s">
        <v>1537</v>
      </c>
      <c r="C81" s="9" t="s">
        <v>1538</v>
      </c>
      <c r="D81" s="4" t="s">
        <v>1766</v>
      </c>
      <c r="E81" s="3" t="s">
        <v>86</v>
      </c>
      <c r="F81" s="7" t="s">
        <v>1323</v>
      </c>
      <c r="G81" s="4">
        <v>213.6</v>
      </c>
      <c r="H81" s="3" t="s">
        <v>87</v>
      </c>
      <c r="I81" s="3" t="s">
        <v>93</v>
      </c>
      <c r="J81" s="4">
        <v>5</v>
      </c>
      <c r="K81" s="4">
        <v>644.16539999999998</v>
      </c>
      <c r="L81" s="4" t="str">
        <f>HYPERLINK("http://ms.phosphosite.org:5080/cgi-bin/plot-msms.cgi?MassType=1&amp;NumAxis=1&amp;Mod3=184&amp;Mod13=147&amp;Mod20=184&amp;Mod30=184&amp;Pep=GPRPLPPPFGPGMRPPLGLREFAPGVPPGR&amp;Dta=/var/www/html/dta/yong/23616.19522.5.dta&amp;Global_Mod=CS57.0215", "19522")</f>
        <v>19522</v>
      </c>
      <c r="M81" s="4" t="str">
        <f>HYPERLINK("http://ms.phosphosite.org:5080/cgi-bin/plot-msms.cgi?MassType=1&amp;NumAxis=1&amp;Mod3=184&amp;Mod13=147&amp;Mod20=184&amp;Mod30=184&amp;Pep=GPRPLPPPFGPGMRPPLGLREFAPGVPPGR&amp;Dta=/var/www/html/dta/yong/23617.19352.5.dta&amp;Global_Mod=CS57.0215", "19352")</f>
        <v>19352</v>
      </c>
      <c r="N81" s="5">
        <v>89.89</v>
      </c>
      <c r="O81" s="5">
        <v>88.47</v>
      </c>
      <c r="P81" s="5">
        <v>3.07</v>
      </c>
      <c r="Q81" s="5">
        <v>2.7250000000000001</v>
      </c>
      <c r="R81" s="5">
        <v>0.66590000000000005</v>
      </c>
      <c r="S81" s="5">
        <v>0.63009999999999999</v>
      </c>
      <c r="T81" s="5">
        <v>0.20499999999999999</v>
      </c>
      <c r="U81" s="5">
        <v>8.1000000000000003E-2</v>
      </c>
      <c r="V81" s="4">
        <v>38</v>
      </c>
      <c r="W81" s="4">
        <v>154</v>
      </c>
      <c r="X81" s="5">
        <v>2.15</v>
      </c>
      <c r="Y81" s="5">
        <v>1.3</v>
      </c>
      <c r="Z81" s="6" t="s">
        <v>1307</v>
      </c>
      <c r="AA81" s="6" t="s">
        <v>1307</v>
      </c>
      <c r="AB81" s="4" t="s">
        <v>13</v>
      </c>
    </row>
    <row r="82" spans="1:28" s="12" customFormat="1">
      <c r="A82" s="3" t="s">
        <v>77</v>
      </c>
      <c r="B82" s="9" t="s">
        <v>1537</v>
      </c>
      <c r="C82" s="9" t="s">
        <v>1538</v>
      </c>
      <c r="D82" s="4" t="s">
        <v>1766</v>
      </c>
      <c r="E82" s="3" t="s">
        <v>86</v>
      </c>
      <c r="F82" s="7" t="s">
        <v>1323</v>
      </c>
      <c r="G82" s="4">
        <v>213.6</v>
      </c>
      <c r="H82" s="3" t="s">
        <v>87</v>
      </c>
      <c r="I82" s="3" t="s">
        <v>93</v>
      </c>
      <c r="J82" s="4">
        <v>5</v>
      </c>
      <c r="K82" s="4">
        <v>644.16539999999998</v>
      </c>
      <c r="L82" s="4" t="str">
        <f>HYPERLINK("http://ms.phosphosite.org:5080/cgi-bin/plot-msms.cgi?MassType=1&amp;NumAxis=1&amp;Mod3=184&amp;Mod13=147&amp;Mod20=184&amp;Mod30=184&amp;Pep=GPRPLPPPFGPGMRPPLGLREFAPGVPPGR&amp;Dta=/var/www/html/dta/yong/23616.20134.5.dta&amp;Global_Mod=CS57.0215", "20134")</f>
        <v>20134</v>
      </c>
      <c r="M82" s="4" t="str">
        <f>HYPERLINK("http://ms.phosphosite.org:5080/cgi-bin/plot-msms.cgi?MassType=1&amp;NumAxis=1&amp;Mod3=184&amp;Mod13=147&amp;Mod20=184&amp;Mod30=184&amp;Pep=GPRPLPPPFGPGMRPPLGLREFAPGVPPGR&amp;Dta=/var/www/html/dta/yong/23617.20068.5.dta&amp;Global_Mod=CS57.0215", "20068")</f>
        <v>20068</v>
      </c>
      <c r="N82" s="5">
        <v>92.4</v>
      </c>
      <c r="O82" s="5">
        <v>91.43</v>
      </c>
      <c r="P82" s="5">
        <v>2.9550000000000001</v>
      </c>
      <c r="Q82" s="5">
        <v>3.3380000000000001</v>
      </c>
      <c r="R82" s="5">
        <v>0.92079999999999995</v>
      </c>
      <c r="S82" s="5">
        <v>0.4168</v>
      </c>
      <c r="T82" s="5">
        <v>0.12770000000000001</v>
      </c>
      <c r="U82" s="5">
        <v>0.2445</v>
      </c>
      <c r="V82" s="4">
        <v>18</v>
      </c>
      <c r="W82" s="4">
        <v>9</v>
      </c>
      <c r="X82" s="5">
        <v>1.67</v>
      </c>
      <c r="Y82" s="5">
        <v>2.4900000000000002</v>
      </c>
      <c r="Z82" s="6" t="s">
        <v>1307</v>
      </c>
      <c r="AA82" s="6" t="s">
        <v>1307</v>
      </c>
      <c r="AB82" s="4" t="s">
        <v>13</v>
      </c>
    </row>
    <row r="83" spans="1:28" s="12" customFormat="1">
      <c r="A83" s="3" t="s">
        <v>77</v>
      </c>
      <c r="B83" s="9" t="s">
        <v>1537</v>
      </c>
      <c r="C83" s="9" t="s">
        <v>1538</v>
      </c>
      <c r="D83" s="4" t="s">
        <v>1766</v>
      </c>
      <c r="E83" s="3" t="s">
        <v>86</v>
      </c>
      <c r="F83" s="7" t="s">
        <v>1323</v>
      </c>
      <c r="G83" s="4">
        <v>213.6</v>
      </c>
      <c r="H83" s="3" t="s">
        <v>87</v>
      </c>
      <c r="I83" s="3" t="s">
        <v>92</v>
      </c>
      <c r="J83" s="4">
        <v>5</v>
      </c>
      <c r="K83" s="4">
        <v>704.39390000000003</v>
      </c>
      <c r="L83" s="4" t="str">
        <f>HYPERLINK("http://ms.phosphosite.org:5080/cgi-bin/plot-msms.cgi?MassType=1&amp;NumAxis=1&amp;Mod6=184&amp;Mod16=147&amp;Mod23=184&amp;Mod33=184&amp;Pep=GPFGPRPLPPPFGPGMRPPLGLREFAPGVPPGR&amp;Dta=/var/www/html/dta/yong/23616.21636.5.dta&amp;Global_Mod=CS57.0215", "21636")</f>
        <v>21636</v>
      </c>
      <c r="M83" s="4" t="str">
        <f>HYPERLINK("http://ms.phosphosite.org:5080/cgi-bin/plot-msms.cgi?MassType=1&amp;NumAxis=1&amp;Mod6=184&amp;Mod16=147&amp;Mod23=184&amp;Mod33=184&amp;Pep=GPFGPRPLPPPFGPGMRPPLGLREFAPGVPPGR&amp;Dta=/var/www/html/dta/yong/23617.22168.5.dta&amp;Global_Mod=CS57.0215", "22168")</f>
        <v>22168</v>
      </c>
      <c r="N83" s="5">
        <v>98.62</v>
      </c>
      <c r="O83" s="5">
        <v>100.15</v>
      </c>
      <c r="P83" s="5">
        <v>3.0630000000000002</v>
      </c>
      <c r="Q83" s="5">
        <v>3.2629999999999999</v>
      </c>
      <c r="R83" s="5">
        <v>1.323</v>
      </c>
      <c r="S83" s="5">
        <v>0.63370000000000004</v>
      </c>
      <c r="T83" s="5">
        <v>0.24560000000000001</v>
      </c>
      <c r="U83" s="5">
        <v>0.16</v>
      </c>
      <c r="V83" s="4">
        <v>26</v>
      </c>
      <c r="W83" s="4">
        <v>18</v>
      </c>
      <c r="X83" s="5">
        <v>2.3199999999999998</v>
      </c>
      <c r="Y83" s="5">
        <v>1.95</v>
      </c>
      <c r="Z83" s="6" t="s">
        <v>1307</v>
      </c>
      <c r="AA83" s="6" t="s">
        <v>1307</v>
      </c>
      <c r="AB83" s="4" t="s">
        <v>13</v>
      </c>
    </row>
    <row r="84" spans="1:28" s="12" customFormat="1">
      <c r="A84" s="3" t="s">
        <v>77</v>
      </c>
      <c r="B84" s="9" t="s">
        <v>1537</v>
      </c>
      <c r="C84" s="9" t="s">
        <v>1538</v>
      </c>
      <c r="D84" s="4" t="s">
        <v>1766</v>
      </c>
      <c r="E84" s="3" t="s">
        <v>86</v>
      </c>
      <c r="F84" s="7" t="s">
        <v>1323</v>
      </c>
      <c r="G84" s="4">
        <v>213.6</v>
      </c>
      <c r="H84" s="3" t="s">
        <v>87</v>
      </c>
      <c r="I84" s="3" t="s">
        <v>92</v>
      </c>
      <c r="J84" s="4">
        <v>5</v>
      </c>
      <c r="K84" s="4">
        <v>704.39390000000003</v>
      </c>
      <c r="L84" s="4" t="str">
        <f>HYPERLINK("http://ms.phosphosite.org:5080/cgi-bin/plot-msms.cgi?MassType=1&amp;NumAxis=1&amp;Mod6=184&amp;Mod16=147&amp;Mod23=184&amp;Mod33=184&amp;Pep=GPFGPRPLPPPFGPGMRPPLGLREFAPGVPPGR&amp;Dta=/var/www/html/dta/yong/23616.21707.5.dta&amp;Global_Mod=CS57.0215", "21707")</f>
        <v>21707</v>
      </c>
      <c r="M84" s="4"/>
      <c r="N84" s="5">
        <v>98.9</v>
      </c>
      <c r="O84" s="5"/>
      <c r="P84" s="5">
        <v>2.6440000000000001</v>
      </c>
      <c r="Q84" s="5"/>
      <c r="R84" s="5">
        <v>0.73299999999999998</v>
      </c>
      <c r="S84" s="5"/>
      <c r="T84" s="5">
        <v>9.5299999999999996E-2</v>
      </c>
      <c r="U84" s="5"/>
      <c r="V84" s="4">
        <v>19</v>
      </c>
      <c r="W84" s="4"/>
      <c r="X84" s="5">
        <v>1.38</v>
      </c>
      <c r="Y84" s="5"/>
      <c r="Z84" s="6" t="s">
        <v>1307</v>
      </c>
      <c r="AA84" s="6"/>
      <c r="AB84" s="4" t="s">
        <v>13</v>
      </c>
    </row>
    <row r="85" spans="1:28" s="12" customFormat="1">
      <c r="A85" s="3" t="s">
        <v>77</v>
      </c>
      <c r="B85" s="9" t="s">
        <v>1537</v>
      </c>
      <c r="C85" s="9" t="s">
        <v>1538</v>
      </c>
      <c r="D85" s="4" t="s">
        <v>1766</v>
      </c>
      <c r="E85" s="3" t="s">
        <v>86</v>
      </c>
      <c r="F85" s="7" t="s">
        <v>1323</v>
      </c>
      <c r="G85" s="4">
        <v>213.6</v>
      </c>
      <c r="H85" s="3" t="s">
        <v>87</v>
      </c>
      <c r="I85" s="3" t="s">
        <v>91</v>
      </c>
      <c r="J85" s="4">
        <v>5</v>
      </c>
      <c r="K85" s="4">
        <v>736.40009999999995</v>
      </c>
      <c r="L85" s="4" t="str">
        <f>HYPERLINK("http://ms.phosphosite.org:5080/cgi-bin/plot-msms.cgi?MassType=1&amp;NumAxis=1&amp;Mod7=184&amp;Mod17=147&amp;Mod24=184&amp;Mod34=184&amp;Pep=CGPFGPRPLPPPFGPGMRPPLGLREFAPGVPPGR&amp;Dta=/var/www/html/dta/yong/23616.21856.5.dta&amp;Global_Mod=CS57.0215", "21856")</f>
        <v>21856</v>
      </c>
      <c r="M85" s="4"/>
      <c r="N85" s="5">
        <v>99.52</v>
      </c>
      <c r="O85" s="5"/>
      <c r="P85" s="5">
        <v>3.2890000000000001</v>
      </c>
      <c r="Q85" s="5"/>
      <c r="R85" s="5">
        <v>1.0271999999999999</v>
      </c>
      <c r="S85" s="5"/>
      <c r="T85" s="5">
        <v>0.19320000000000001</v>
      </c>
      <c r="U85" s="5"/>
      <c r="V85" s="4">
        <v>19</v>
      </c>
      <c r="W85" s="4"/>
      <c r="X85" s="5">
        <v>2.09</v>
      </c>
      <c r="Y85" s="5"/>
      <c r="Z85" s="6" t="s">
        <v>1307</v>
      </c>
      <c r="AA85" s="6"/>
      <c r="AB85" s="4" t="s">
        <v>13</v>
      </c>
    </row>
    <row r="86" spans="1:28">
      <c r="A86" s="3" t="s">
        <v>77</v>
      </c>
      <c r="B86" s="9" t="s">
        <v>1537</v>
      </c>
      <c r="C86" s="9" t="s">
        <v>1538</v>
      </c>
      <c r="D86" s="4" t="s">
        <v>1766</v>
      </c>
      <c r="E86" s="3" t="s">
        <v>86</v>
      </c>
      <c r="F86" s="7" t="s">
        <v>1323</v>
      </c>
      <c r="G86" s="4">
        <v>213.6</v>
      </c>
      <c r="H86" s="3" t="s">
        <v>87</v>
      </c>
      <c r="I86" s="3" t="s">
        <v>92</v>
      </c>
      <c r="J86" s="4">
        <v>5</v>
      </c>
      <c r="K86" s="4">
        <v>704.39390000000003</v>
      </c>
      <c r="L86" s="4" t="str">
        <f>HYPERLINK("http://ms.phosphosite.org:5080/cgi-bin/plot-msms.cgi?MassType=1&amp;NumAxis=1&amp;Mod6=184&amp;Mod16=147&amp;Mod23=184&amp;Mod33=184&amp;Pep=GPFGPRPLPPPFGPGMRPPLGLREFAPGVPPGR&amp;Dta=/var/www/html/dta/yong/23616.22033.5.dta&amp;Global_Mod=CS57.0215", "22033")</f>
        <v>22033</v>
      </c>
      <c r="M86" s="4" t="str">
        <f>HYPERLINK("http://ms.phosphosite.org:5080/cgi-bin/plot-msms.cgi?MassType=1&amp;NumAxis=1&amp;Mod6=184&amp;Mod16=147&amp;Mod23=184&amp;Mod33=184&amp;Pep=GPFGPRPLPPPFGPGMRPPLGLREFAPGVPPGR&amp;Dta=/var/www/html/dta/yong/23617.21796.5.dta&amp;Global_Mod=CS57.0215", "21796")</f>
        <v>21796</v>
      </c>
      <c r="N86" s="5">
        <v>100.26</v>
      </c>
      <c r="O86" s="5">
        <v>98.6</v>
      </c>
      <c r="P86" s="5">
        <v>2.4540000000000002</v>
      </c>
      <c r="Q86" s="5">
        <v>3.2320000000000002</v>
      </c>
      <c r="R86" s="5">
        <v>0.77400000000000002</v>
      </c>
      <c r="S86" s="5">
        <v>-9.1399999999999995E-2</v>
      </c>
      <c r="T86" s="5">
        <v>0.18779999999999999</v>
      </c>
      <c r="U86" s="5">
        <v>0.19159999999999999</v>
      </c>
      <c r="V86" s="4">
        <v>13</v>
      </c>
      <c r="W86" s="4">
        <v>2</v>
      </c>
      <c r="X86" s="5">
        <v>1.84</v>
      </c>
      <c r="Y86" s="5">
        <v>2.12</v>
      </c>
      <c r="Z86" s="6" t="s">
        <v>1307</v>
      </c>
      <c r="AA86" s="6" t="s">
        <v>1307</v>
      </c>
      <c r="AB86" s="4" t="s">
        <v>13</v>
      </c>
    </row>
    <row r="87" spans="1:28">
      <c r="A87" s="3" t="s">
        <v>77</v>
      </c>
      <c r="B87" s="9" t="s">
        <v>1537</v>
      </c>
      <c r="C87" s="9" t="s">
        <v>1538</v>
      </c>
      <c r="D87" s="4" t="s">
        <v>1766</v>
      </c>
      <c r="E87" s="3" t="s">
        <v>86</v>
      </c>
      <c r="F87" s="7" t="s">
        <v>1323</v>
      </c>
      <c r="G87" s="4">
        <v>213.6</v>
      </c>
      <c r="H87" s="3" t="s">
        <v>87</v>
      </c>
      <c r="I87" s="3" t="s">
        <v>92</v>
      </c>
      <c r="J87" s="4">
        <v>5</v>
      </c>
      <c r="K87" s="4">
        <v>704.39390000000003</v>
      </c>
      <c r="L87" s="4" t="str">
        <f>HYPERLINK("http://ms.phosphosite.org:5080/cgi-bin/plot-msms.cgi?MassType=1&amp;NumAxis=1&amp;Mod6=184&amp;Mod16=147&amp;Mod23=184&amp;Mod33=184&amp;Pep=GPFGPRPLPPPFGPGMRPPLGLREFAPGVPPGR&amp;Dta=/var/www/html/dta/yong/23616.22053.5.dta&amp;Global_Mod=CS57.0215", "22053")</f>
        <v>22053</v>
      </c>
      <c r="M87" s="4" t="str">
        <f>HYPERLINK("http://ms.phosphosite.org:5080/cgi-bin/plot-msms.cgi?MassType=1&amp;NumAxis=1&amp;Mod6=184&amp;Mod16=147&amp;Mod23=184&amp;Mod33=184&amp;Pep=GPFGPRPLPPPFGPGMRPPLGLREFAPGVPPGR&amp;Dta=/var/www/html/dta/yong/23617.21998.5.dta&amp;Global_Mod=CS57.0215", "21998")</f>
        <v>21998</v>
      </c>
      <c r="N87" s="5">
        <v>100.35</v>
      </c>
      <c r="O87" s="5">
        <v>99.44</v>
      </c>
      <c r="P87" s="5">
        <v>2.6230000000000002</v>
      </c>
      <c r="Q87" s="5">
        <v>3.0939999999999999</v>
      </c>
      <c r="R87" s="5">
        <v>0.96740000000000004</v>
      </c>
      <c r="S87" s="5">
        <v>0.53990000000000005</v>
      </c>
      <c r="T87" s="5">
        <v>0.1125</v>
      </c>
      <c r="U87" s="5">
        <v>0.2074</v>
      </c>
      <c r="V87" s="4">
        <v>12</v>
      </c>
      <c r="W87" s="4">
        <v>3</v>
      </c>
      <c r="X87" s="5">
        <v>1.46</v>
      </c>
      <c r="Y87" s="5">
        <v>2.17</v>
      </c>
      <c r="Z87" s="6" t="s">
        <v>1307</v>
      </c>
      <c r="AA87" s="6" t="s">
        <v>1307</v>
      </c>
      <c r="AB87" s="4" t="s">
        <v>13</v>
      </c>
    </row>
    <row r="88" spans="1:28">
      <c r="A88" s="3" t="s">
        <v>77</v>
      </c>
      <c r="B88" s="9" t="s">
        <v>1537</v>
      </c>
      <c r="C88" s="9" t="s">
        <v>1538</v>
      </c>
      <c r="D88" s="4" t="s">
        <v>1766</v>
      </c>
      <c r="E88" s="3" t="s">
        <v>86</v>
      </c>
      <c r="F88" s="7" t="s">
        <v>1323</v>
      </c>
      <c r="G88" s="4">
        <v>213.6</v>
      </c>
      <c r="H88" s="3" t="s">
        <v>87</v>
      </c>
      <c r="I88" s="3" t="s">
        <v>92</v>
      </c>
      <c r="J88" s="4">
        <v>5</v>
      </c>
      <c r="K88" s="4">
        <v>704.39390000000003</v>
      </c>
      <c r="L88" s="4" t="str">
        <f>HYPERLINK("http://ms.phosphosite.org:5080/cgi-bin/plot-msms.cgi?MassType=1&amp;NumAxis=1&amp;Mod6=184&amp;Mod16=147&amp;Mod23=184&amp;Mod33=184&amp;Pep=GPFGPRPLPPPFGPGMRPPLGLREFAPGVPPGR&amp;Dta=/var/www/html/dta/yong/23616.22264.5.dta&amp;Global_Mod=CS57.0215", "22264")</f>
        <v>22264</v>
      </c>
      <c r="M88" s="4"/>
      <c r="N88" s="5">
        <v>101.21</v>
      </c>
      <c r="O88" s="5"/>
      <c r="P88" s="5">
        <v>2.585</v>
      </c>
      <c r="Q88" s="5"/>
      <c r="R88" s="5">
        <v>1.1988000000000001</v>
      </c>
      <c r="S88" s="5"/>
      <c r="T88" s="5">
        <v>7.1499999999999994E-2</v>
      </c>
      <c r="U88" s="5"/>
      <c r="V88" s="4">
        <v>7</v>
      </c>
      <c r="W88" s="4"/>
      <c r="X88" s="5">
        <v>1.21</v>
      </c>
      <c r="Y88" s="5"/>
      <c r="Z88" s="6" t="s">
        <v>1307</v>
      </c>
      <c r="AA88" s="6"/>
      <c r="AB88" s="4" t="s">
        <v>13</v>
      </c>
    </row>
    <row r="89" spans="1:28">
      <c r="A89" s="9" t="s">
        <v>77</v>
      </c>
      <c r="B89" s="9" t="s">
        <v>1537</v>
      </c>
      <c r="C89" s="9" t="s">
        <v>1538</v>
      </c>
      <c r="D89" s="7">
        <v>1798</v>
      </c>
      <c r="E89" s="9" t="s">
        <v>86</v>
      </c>
      <c r="F89" s="7" t="s">
        <v>1323</v>
      </c>
      <c r="G89" s="7">
        <v>213.6</v>
      </c>
      <c r="H89" s="9" t="s">
        <v>94</v>
      </c>
      <c r="I89" s="9" t="s">
        <v>95</v>
      </c>
      <c r="J89" s="7">
        <v>4</v>
      </c>
      <c r="K89" s="7">
        <v>546.06740000000002</v>
      </c>
      <c r="L89" s="7" t="str">
        <f>HYPERLINK("http://ms.phosphosite.org:5080/cgi-bin/plot-msms.cgi?MassType=1&amp;NumAxis=1&amp;Mod3=184&amp;Mod13=147&amp;Mod20=184&amp;Pep=GPRPLPPPFGPGMRPPLGLR&amp;Dta=/var/www/html/dta/yong/23616.16216.4.dta&amp;Global_Mod=CS57.0215", "16216")</f>
        <v>16216</v>
      </c>
      <c r="M89" s="7" t="str">
        <f>HYPERLINK("http://ms.phosphosite.org:5080/cgi-bin/plot-msms.cgi?MassType=1&amp;NumAxis=1&amp;Mod3=184&amp;Mod13=147&amp;Mod20=184&amp;Pep=GPRPLPPPFGPGMRPPLGLR&amp;Dta=/var/www/html/dta/yong/23617.16409.4.dta&amp;Global_Mod=CS57.0215", "16409")</f>
        <v>16409</v>
      </c>
      <c r="N89" s="10">
        <v>75.78</v>
      </c>
      <c r="O89" s="10">
        <v>75.8</v>
      </c>
      <c r="P89" s="10">
        <v>2.9209999999999998</v>
      </c>
      <c r="Q89" s="10">
        <v>2.94</v>
      </c>
      <c r="R89" s="10">
        <v>0.91679999999999995</v>
      </c>
      <c r="S89" s="10">
        <v>0.26590000000000003</v>
      </c>
      <c r="T89" s="10">
        <v>0.14199999999999999</v>
      </c>
      <c r="U89" s="10">
        <v>5.9299999999999999E-2</v>
      </c>
      <c r="V89" s="7">
        <v>2</v>
      </c>
      <c r="W89" s="7">
        <v>3</v>
      </c>
      <c r="X89" s="10">
        <v>2</v>
      </c>
      <c r="Y89" s="10">
        <v>1.6</v>
      </c>
      <c r="Z89" s="11" t="s">
        <v>1306</v>
      </c>
      <c r="AA89" s="11" t="s">
        <v>1306</v>
      </c>
      <c r="AB89" s="7" t="s">
        <v>13</v>
      </c>
    </row>
    <row r="90" spans="1:28">
      <c r="A90" s="18" t="s">
        <v>77</v>
      </c>
      <c r="B90" s="9" t="s">
        <v>1537</v>
      </c>
      <c r="C90" s="9" t="s">
        <v>1538</v>
      </c>
      <c r="D90" s="19">
        <v>1798</v>
      </c>
      <c r="E90" s="18" t="s">
        <v>86</v>
      </c>
      <c r="F90" s="15" t="s">
        <v>1323</v>
      </c>
      <c r="G90" s="19">
        <v>213.6</v>
      </c>
      <c r="H90" s="18" t="s">
        <v>96</v>
      </c>
      <c r="I90" s="18" t="s">
        <v>97</v>
      </c>
      <c r="J90" s="19">
        <v>4</v>
      </c>
      <c r="K90" s="19">
        <v>546.06740000000002</v>
      </c>
      <c r="L90" s="19" t="str">
        <f>HYPERLINK("http://ms.phosphosite.org:5080/cgi-bin/plot-msms.cgi?MassType=1&amp;NumAxis=1&amp;Mod3=184&amp;Mod13=147&amp;Mod14=170&amp;Mod20=170&amp;Pep=GPRPLPPPFGPGMRPPLGLR&amp;Dta=/var/www/html/dta/yong/23616.16272.4.dta&amp;Global_Mod=CS57.0215", "16272")</f>
        <v>16272</v>
      </c>
      <c r="M90" s="19" t="str">
        <f>HYPERLINK("http://ms.phosphosite.org:5080/cgi-bin/plot-msms.cgi?MassType=1&amp;NumAxis=1&amp;Mod3=184&amp;Mod13=147&amp;Mod14=170&amp;Mod20=170&amp;Pep=GPRPLPPPFGPGMRPPLGLR&amp;Dta=/var/www/html/dta/yong/23617.16549.4.dta&amp;Global_Mod=CS57.0215", "16549")</f>
        <v>16549</v>
      </c>
      <c r="N90" s="20">
        <v>76</v>
      </c>
      <c r="O90" s="20">
        <v>76.349999999999994</v>
      </c>
      <c r="P90" s="20">
        <v>2.8</v>
      </c>
      <c r="Q90" s="20">
        <v>2.7170000000000001</v>
      </c>
      <c r="R90" s="20">
        <v>1.0387</v>
      </c>
      <c r="S90" s="20">
        <v>0.43690000000000001</v>
      </c>
      <c r="T90" s="20">
        <v>0.1424</v>
      </c>
      <c r="U90" s="20">
        <v>0.10489999999999999</v>
      </c>
      <c r="V90" s="19">
        <v>2</v>
      </c>
      <c r="W90" s="19">
        <v>1</v>
      </c>
      <c r="X90" s="20">
        <v>1.97</v>
      </c>
      <c r="Y90" s="20">
        <v>1.79</v>
      </c>
      <c r="Z90" s="21" t="s">
        <v>1307</v>
      </c>
      <c r="AA90" s="21" t="s">
        <v>1307</v>
      </c>
      <c r="AB90" s="19" t="s">
        <v>13</v>
      </c>
    </row>
    <row r="91" spans="1:28">
      <c r="A91" s="9" t="s">
        <v>77</v>
      </c>
      <c r="B91" s="9" t="s">
        <v>1537</v>
      </c>
      <c r="C91" s="9" t="s">
        <v>1538</v>
      </c>
      <c r="D91" s="7">
        <v>1833</v>
      </c>
      <c r="E91" s="9" t="s">
        <v>86</v>
      </c>
      <c r="F91" s="7" t="s">
        <v>1323</v>
      </c>
      <c r="G91" s="7">
        <v>213.6</v>
      </c>
      <c r="H91" s="9" t="s">
        <v>98</v>
      </c>
      <c r="I91" s="9" t="s">
        <v>99</v>
      </c>
      <c r="J91" s="7">
        <v>3</v>
      </c>
      <c r="K91" s="7">
        <v>600.32989999999995</v>
      </c>
      <c r="L91" s="7" t="str">
        <f>HYPERLINK("http://ms.phosphosite.org:5080/cgi-bin/plot-msms.cgi?MassType=1&amp;NumAxis=1&amp;Mod7=184&amp;Pep=DLPLHPRGFLPGHAPF&amp;Dta=/var/www/html/dta/yong/23616.18942.3.dta&amp;Global_Mod=CS57.0215", "18942")</f>
        <v>18942</v>
      </c>
      <c r="M91" s="7" t="str">
        <f>HYPERLINK("http://ms.phosphosite.org:5080/cgi-bin/plot-msms.cgi?MassType=1&amp;NumAxis=1&amp;Mod7=184&amp;Pep=DLPLHPRGFLPGHAPF&amp;Dta=/var/www/html/dta/yong/23617.19111.3.dta&amp;Global_Mod=CS57.0215", "19111")</f>
        <v>19111</v>
      </c>
      <c r="N91" s="10">
        <v>87.45</v>
      </c>
      <c r="O91" s="10">
        <v>87.39</v>
      </c>
      <c r="P91" s="10">
        <v>2.0840000000000001</v>
      </c>
      <c r="Q91" s="10">
        <v>2.0939999999999999</v>
      </c>
      <c r="R91" s="10">
        <v>0.89670000000000005</v>
      </c>
      <c r="S91" s="10">
        <v>0.73429999999999995</v>
      </c>
      <c r="T91" s="10">
        <v>9.98E-2</v>
      </c>
      <c r="U91" s="10">
        <v>0.1729</v>
      </c>
      <c r="V91" s="7">
        <v>3</v>
      </c>
      <c r="W91" s="7">
        <v>3</v>
      </c>
      <c r="X91" s="10">
        <v>1.37</v>
      </c>
      <c r="Y91" s="10">
        <v>1.82</v>
      </c>
      <c r="Z91" s="11">
        <v>1000</v>
      </c>
      <c r="AA91" s="11">
        <v>1000</v>
      </c>
      <c r="AB91" s="7" t="s">
        <v>13</v>
      </c>
    </row>
    <row r="92" spans="1:28">
      <c r="A92" s="3" t="s">
        <v>77</v>
      </c>
      <c r="B92" s="9" t="s">
        <v>1537</v>
      </c>
      <c r="C92" s="9" t="s">
        <v>1538</v>
      </c>
      <c r="D92" s="4" t="s">
        <v>1767</v>
      </c>
      <c r="E92" s="3" t="s">
        <v>86</v>
      </c>
      <c r="F92" s="7" t="s">
        <v>1323</v>
      </c>
      <c r="G92" s="4">
        <v>213.6</v>
      </c>
      <c r="H92" s="3" t="s">
        <v>100</v>
      </c>
      <c r="I92" s="3" t="s">
        <v>101</v>
      </c>
      <c r="J92" s="4">
        <v>5</v>
      </c>
      <c r="K92" s="4">
        <v>787.03570000000002</v>
      </c>
      <c r="L92" s="4" t="str">
        <f>HYPERLINK("http://ms.phosphosite.org:5080/cgi-bin/plot-msms.cgi?MassType=1&amp;NumAxis=1&amp;Mod1=184&amp;Mod9=184&amp;Mod17=184&amp;Pep=RPLGSLGPREYFIPGTRLPPPTHGPQEYPPPPAVR&amp;Dta=/var/www/html/dta/yong/23616.16480.5.dta&amp;Global_Mod=CS57.0215", "16480")</f>
        <v>16480</v>
      </c>
      <c r="M92" s="4"/>
      <c r="N92" s="5">
        <v>76.87</v>
      </c>
      <c r="O92" s="5"/>
      <c r="P92" s="5">
        <v>3.359</v>
      </c>
      <c r="Q92" s="5"/>
      <c r="R92" s="5">
        <v>0.9425</v>
      </c>
      <c r="S92" s="5"/>
      <c r="T92" s="5">
        <v>0.20780000000000001</v>
      </c>
      <c r="U92" s="5"/>
      <c r="V92" s="4">
        <v>9</v>
      </c>
      <c r="W92" s="4"/>
      <c r="X92" s="5">
        <v>2.02</v>
      </c>
      <c r="Y92" s="5"/>
      <c r="Z92" s="6" t="s">
        <v>1307</v>
      </c>
      <c r="AA92" s="6"/>
      <c r="AB92" s="4" t="s">
        <v>13</v>
      </c>
    </row>
    <row r="93" spans="1:28">
      <c r="A93" s="9" t="s">
        <v>77</v>
      </c>
      <c r="B93" s="9" t="s">
        <v>1537</v>
      </c>
      <c r="C93" s="9" t="s">
        <v>1538</v>
      </c>
      <c r="D93" s="7" t="s">
        <v>1768</v>
      </c>
      <c r="E93" s="9" t="s">
        <v>86</v>
      </c>
      <c r="F93" s="7" t="s">
        <v>1323</v>
      </c>
      <c r="G93" s="7">
        <v>213.6</v>
      </c>
      <c r="H93" s="9" t="s">
        <v>102</v>
      </c>
      <c r="I93" s="9" t="s">
        <v>103</v>
      </c>
      <c r="J93" s="7">
        <v>4</v>
      </c>
      <c r="K93" s="7">
        <v>884.97550000000001</v>
      </c>
      <c r="L93" s="7" t="str">
        <f>HYPERLINK("http://ms.phosphosite.org:5080/cgi-bin/plot-msms.cgi?MassType=1&amp;NumAxis=1&amp;Mod6=184&amp;Mod14=184&amp;Pep=GSLGPREYFIPGTRLPPPTHGPQEYPPPPAVR&amp;Dta=/var/www/html/dta/yong/23616.15973.4.dta&amp;Global_Mod=CS57.0215", "15973")</f>
        <v>15973</v>
      </c>
      <c r="M93" s="7" t="str">
        <f>HYPERLINK("http://ms.phosphosite.org:5080/cgi-bin/plot-msms.cgi?MassType=1&amp;NumAxis=1&amp;Mod6=184&amp;Mod14=184&amp;Pep=GSLGPREYFIPGTRLPPPTHGPQEYPPPPAVR&amp;Dta=/var/www/html/dta/yong/23617.16149.4.dta&amp;Global_Mod=CS57.0215", "16149")</f>
        <v>16149</v>
      </c>
      <c r="N93" s="10">
        <v>74.75</v>
      </c>
      <c r="O93" s="10">
        <v>74.67</v>
      </c>
      <c r="P93" s="10">
        <v>4.181</v>
      </c>
      <c r="Q93" s="10">
        <v>3.496</v>
      </c>
      <c r="R93" s="10">
        <v>1.7926</v>
      </c>
      <c r="S93" s="10">
        <v>1.7901</v>
      </c>
      <c r="T93" s="10">
        <v>0.32019999999999998</v>
      </c>
      <c r="U93" s="10">
        <v>0.107</v>
      </c>
      <c r="V93" s="7">
        <v>2</v>
      </c>
      <c r="W93" s="7">
        <v>1</v>
      </c>
      <c r="X93" s="10">
        <v>2.86</v>
      </c>
      <c r="Y93" s="10">
        <v>1.49</v>
      </c>
      <c r="Z93" s="11" t="s">
        <v>1306</v>
      </c>
      <c r="AA93" s="11" t="s">
        <v>1306</v>
      </c>
      <c r="AB93" s="7" t="s">
        <v>13</v>
      </c>
    </row>
    <row r="94" spans="1:28">
      <c r="A94" s="9" t="s">
        <v>77</v>
      </c>
      <c r="B94" s="9" t="s">
        <v>1537</v>
      </c>
      <c r="C94" s="9" t="s">
        <v>1538</v>
      </c>
      <c r="D94" s="7" t="s">
        <v>1768</v>
      </c>
      <c r="E94" s="9" t="s">
        <v>86</v>
      </c>
      <c r="F94" s="7" t="s">
        <v>1323</v>
      </c>
      <c r="G94" s="7">
        <v>213.6</v>
      </c>
      <c r="H94" s="9" t="s">
        <v>102</v>
      </c>
      <c r="I94" s="9" t="s">
        <v>103</v>
      </c>
      <c r="J94" s="7">
        <v>4</v>
      </c>
      <c r="K94" s="7">
        <v>884.97550000000001</v>
      </c>
      <c r="L94" s="7" t="str">
        <f>HYPERLINK("http://ms.phosphosite.org:5080/cgi-bin/plot-msms.cgi?MassType=1&amp;NumAxis=1&amp;Mod6=184&amp;Mod14=184&amp;Pep=GSLGPREYFIPGTRLPPPTHGPQEYPPPPAVR&amp;Dta=/var/www/html/dta/yong/23616.16000.4.dta&amp;Global_Mod=CS57.0215", "16000")</f>
        <v>16000</v>
      </c>
      <c r="M94" s="7" t="str">
        <f>HYPERLINK("http://ms.phosphosite.org:5080/cgi-bin/plot-msms.cgi?MassType=1&amp;NumAxis=1&amp;Mod6=184&amp;Mod14=184&amp;Pep=GSLGPREYFIPGTRLPPPTHGPQEYPPPPAVR&amp;Dta=/var/www/html/dta/yong/23617.16253.4.dta&amp;Global_Mod=CS57.0215", "16253")</f>
        <v>16253</v>
      </c>
      <c r="N94" s="10">
        <v>74.86</v>
      </c>
      <c r="O94" s="10">
        <v>75.12</v>
      </c>
      <c r="P94" s="10">
        <v>3.11</v>
      </c>
      <c r="Q94" s="10">
        <v>3.4350000000000001</v>
      </c>
      <c r="R94" s="10">
        <v>1.4184000000000001</v>
      </c>
      <c r="S94" s="10">
        <v>1.8018000000000001</v>
      </c>
      <c r="T94" s="10">
        <v>0.1193</v>
      </c>
      <c r="U94" s="10">
        <v>0.14860000000000001</v>
      </c>
      <c r="V94" s="7">
        <v>7</v>
      </c>
      <c r="W94" s="7">
        <v>81</v>
      </c>
      <c r="X94" s="10">
        <v>1.43</v>
      </c>
      <c r="Y94" s="10">
        <v>1.67</v>
      </c>
      <c r="Z94" s="11" t="s">
        <v>1306</v>
      </c>
      <c r="AA94" s="11" t="s">
        <v>1306</v>
      </c>
      <c r="AB94" s="7" t="s">
        <v>13</v>
      </c>
    </row>
    <row r="95" spans="1:28">
      <c r="A95" s="9" t="s">
        <v>77</v>
      </c>
      <c r="B95" s="9" t="s">
        <v>1537</v>
      </c>
      <c r="C95" s="9" t="s">
        <v>1538</v>
      </c>
      <c r="D95" s="7" t="s">
        <v>1768</v>
      </c>
      <c r="E95" s="9" t="s">
        <v>86</v>
      </c>
      <c r="F95" s="7" t="s">
        <v>1323</v>
      </c>
      <c r="G95" s="7">
        <v>213.6</v>
      </c>
      <c r="H95" s="9" t="s">
        <v>102</v>
      </c>
      <c r="I95" s="9" t="s">
        <v>103</v>
      </c>
      <c r="J95" s="7">
        <v>5</v>
      </c>
      <c r="K95" s="7">
        <v>708.18190000000004</v>
      </c>
      <c r="L95" s="7" t="str">
        <f>HYPERLINK("http://ms.phosphosite.org:5080/cgi-bin/plot-msms.cgi?MassType=1&amp;NumAxis=1&amp;Mod6=184&amp;Mod14=184&amp;Pep=GSLGPREYFIPGTRLPPPTHGPQEYPPPPAVR&amp;Dta=/var/www/html/dta/yong/23616.16360.5.dta&amp;Global_Mod=CS57.0215", "16360")</f>
        <v>16360</v>
      </c>
      <c r="M95" s="7"/>
      <c r="N95" s="10">
        <v>76.349999999999994</v>
      </c>
      <c r="O95" s="10"/>
      <c r="P95" s="10">
        <v>2.758</v>
      </c>
      <c r="Q95" s="10"/>
      <c r="R95" s="10">
        <v>1.3212999999999999</v>
      </c>
      <c r="S95" s="10"/>
      <c r="T95" s="10">
        <v>0.16769999999999999</v>
      </c>
      <c r="U95" s="10"/>
      <c r="V95" s="7">
        <v>75</v>
      </c>
      <c r="W95" s="7"/>
      <c r="X95" s="10">
        <v>1.6</v>
      </c>
      <c r="Y95" s="10"/>
      <c r="Z95" s="11" t="s">
        <v>1306</v>
      </c>
      <c r="AA95" s="11"/>
      <c r="AB95" s="7" t="s">
        <v>13</v>
      </c>
    </row>
    <row r="96" spans="1:28" s="18" customFormat="1">
      <c r="A96" s="9" t="s">
        <v>77</v>
      </c>
      <c r="B96" s="9" t="s">
        <v>1537</v>
      </c>
      <c r="C96" s="9" t="s">
        <v>1538</v>
      </c>
      <c r="D96" s="7">
        <v>1859</v>
      </c>
      <c r="E96" s="9" t="s">
        <v>86</v>
      </c>
      <c r="F96" s="7" t="s">
        <v>1323</v>
      </c>
      <c r="G96" s="7">
        <v>213.6</v>
      </c>
      <c r="H96" s="9" t="s">
        <v>104</v>
      </c>
      <c r="I96" s="9" t="s">
        <v>105</v>
      </c>
      <c r="J96" s="7">
        <v>4</v>
      </c>
      <c r="K96" s="7">
        <v>663.11300000000006</v>
      </c>
      <c r="L96" s="7"/>
      <c r="M96" s="7" t="str">
        <f>HYPERLINK("http://ms.phosphosite.org:5080/cgi-bin/plot-msms.cgi?MassType=1&amp;NumAxis=1&amp;Mod6=184&amp;Pep=FIPGTRLPPPTHGPQEYPPPPAVR&amp;Dta=/var/www/html/dta/yong/23617.12917.4.dta&amp;Global_Mod=CS57.0215", "12917")</f>
        <v>12917</v>
      </c>
      <c r="N96" s="10"/>
      <c r="O96" s="10">
        <v>60.96</v>
      </c>
      <c r="P96" s="10"/>
      <c r="Q96" s="10">
        <v>2.6150000000000002</v>
      </c>
      <c r="R96" s="10"/>
      <c r="S96" s="10">
        <v>0.41489999999999999</v>
      </c>
      <c r="T96" s="10"/>
      <c r="U96" s="10">
        <v>5.4899999999999997E-2</v>
      </c>
      <c r="V96" s="7"/>
      <c r="W96" s="7">
        <v>9</v>
      </c>
      <c r="X96" s="10"/>
      <c r="Y96" s="10">
        <v>1.25</v>
      </c>
      <c r="Z96" s="11"/>
      <c r="AA96" s="11">
        <v>1000</v>
      </c>
      <c r="AB96" s="7" t="s">
        <v>13</v>
      </c>
    </row>
    <row r="97" spans="1:28">
      <c r="A97" s="9" t="s">
        <v>77</v>
      </c>
      <c r="B97" s="9" t="s">
        <v>1539</v>
      </c>
      <c r="C97" s="9" t="s">
        <v>1540</v>
      </c>
      <c r="D97" s="7">
        <v>626</v>
      </c>
      <c r="E97" s="9" t="s">
        <v>106</v>
      </c>
      <c r="F97" s="7" t="s">
        <v>1324</v>
      </c>
      <c r="G97" s="7">
        <v>575.20000000000005</v>
      </c>
      <c r="H97" s="9" t="s">
        <v>107</v>
      </c>
      <c r="I97" s="9" t="s">
        <v>108</v>
      </c>
      <c r="J97" s="7">
        <v>4</v>
      </c>
      <c r="K97" s="7">
        <v>941.18939999999998</v>
      </c>
      <c r="L97" s="7" t="str">
        <f>HYPERLINK("http://ms.phosphosite.org:5080/cgi-bin/plot-msms.cgi?MassType=1&amp;NumAxis=1&amp;Mod5=184&amp;Pep=DYFFRQVGADPSAIDVCKPCDCDTVGTRNGSIL&amp;Dta=/var/www/html/dta/yong/23616.21488.4.dta&amp;Global_Mod=CS57.0215", "21488")</f>
        <v>21488</v>
      </c>
      <c r="M97" s="7"/>
      <c r="N97" s="10">
        <v>98.07</v>
      </c>
      <c r="O97" s="10"/>
      <c r="P97" s="10">
        <v>3.6989999999999998</v>
      </c>
      <c r="Q97" s="10"/>
      <c r="R97" s="10">
        <v>0.87919999999999998</v>
      </c>
      <c r="S97" s="10"/>
      <c r="T97" s="10">
        <v>0.15079999999999999</v>
      </c>
      <c r="U97" s="10"/>
      <c r="V97" s="7">
        <v>46</v>
      </c>
      <c r="W97" s="7"/>
      <c r="X97" s="10">
        <v>1.31</v>
      </c>
      <c r="Y97" s="10"/>
      <c r="Z97" s="11">
        <v>38</v>
      </c>
      <c r="AA97" s="11"/>
      <c r="AB97" s="7" t="s">
        <v>13</v>
      </c>
    </row>
    <row r="98" spans="1:28" s="12" customFormat="1">
      <c r="A98" s="9" t="s">
        <v>109</v>
      </c>
      <c r="B98" s="9" t="s">
        <v>113</v>
      </c>
      <c r="C98" s="9" t="s">
        <v>113</v>
      </c>
      <c r="D98" s="7">
        <v>391</v>
      </c>
      <c r="E98" s="9" t="s">
        <v>114</v>
      </c>
      <c r="F98" s="7" t="s">
        <v>1326</v>
      </c>
      <c r="G98" s="7">
        <v>123.5</v>
      </c>
      <c r="H98" s="9" t="s">
        <v>115</v>
      </c>
      <c r="I98" s="9" t="s">
        <v>116</v>
      </c>
      <c r="J98" s="7">
        <v>3</v>
      </c>
      <c r="K98" s="7">
        <v>793.74689999999998</v>
      </c>
      <c r="L98" s="7" t="str">
        <f>HYPERLINK("http://ms.phosphosite.org:5080/cgi-bin/plot-msms.cgi?MassType=1&amp;NumAxis=1&amp;Mod6=184&amp;Pep=SQAPARYSLQSANASSLSSGQLK&amp;Dta=/var/www/html/dta/yong/23616.11841.3.dta&amp;Global_Mod=CS57.0215", "11841")</f>
        <v>11841</v>
      </c>
      <c r="M98" s="7" t="str">
        <f>HYPERLINK("http://ms.phosphosite.org:5080/cgi-bin/plot-msms.cgi?MassType=1&amp;NumAxis=1&amp;Mod6=184&amp;Pep=SQAPARYSLQSANASSLSSGQLK&amp;Dta=/var/www/html/dta/yong/23617.11952.3.dta&amp;Global_Mod=CS57.0215", "11952")</f>
        <v>11952</v>
      </c>
      <c r="N98" s="10">
        <v>56.94</v>
      </c>
      <c r="O98" s="10">
        <v>56.85</v>
      </c>
      <c r="P98" s="10">
        <v>4.2089999999999996</v>
      </c>
      <c r="Q98" s="10">
        <v>4.0659999999999998</v>
      </c>
      <c r="R98" s="10">
        <v>1.8606</v>
      </c>
      <c r="S98" s="10">
        <v>2.0097999999999998</v>
      </c>
      <c r="T98" s="10">
        <v>0.28720000000000001</v>
      </c>
      <c r="U98" s="10">
        <v>0.2467</v>
      </c>
      <c r="V98" s="7">
        <v>1</v>
      </c>
      <c r="W98" s="7">
        <v>2</v>
      </c>
      <c r="X98" s="10">
        <v>2.44</v>
      </c>
      <c r="Y98" s="10">
        <v>2.19</v>
      </c>
      <c r="Z98" s="11">
        <v>1000</v>
      </c>
      <c r="AA98" s="11">
        <v>1000</v>
      </c>
      <c r="AB98" s="7" t="s">
        <v>13</v>
      </c>
    </row>
    <row r="99" spans="1:28">
      <c r="A99" s="3" t="s">
        <v>109</v>
      </c>
      <c r="B99" s="3" t="s">
        <v>1541</v>
      </c>
      <c r="C99" s="3" t="s">
        <v>1542</v>
      </c>
      <c r="D99" s="4">
        <v>296</v>
      </c>
      <c r="E99" s="3" t="s">
        <v>110</v>
      </c>
      <c r="F99" s="7" t="s">
        <v>1325</v>
      </c>
      <c r="G99" s="4">
        <v>151.80000000000001</v>
      </c>
      <c r="H99" s="3" t="s">
        <v>111</v>
      </c>
      <c r="I99" s="3" t="s">
        <v>112</v>
      </c>
      <c r="J99" s="4">
        <v>3</v>
      </c>
      <c r="K99" s="4">
        <v>1275.8298</v>
      </c>
      <c r="L99" s="4"/>
      <c r="M99" s="4" t="str">
        <f>HYPERLINK("http://ms.phosphosite.org:5080/cgi-bin/plot-msms.cgi?MassType=1&amp;NumAxis=1&amp;Mod28=184&amp;Pep=TEEEEEEEEEEEEDDEEEEGDDEGQKSREAPI&amp;Dta=/var/www/html/dta/yong/23617.24341.3.dta&amp;Global_Mod=CS57.0215", "24341")</f>
        <v>24341</v>
      </c>
      <c r="N99" s="5"/>
      <c r="O99" s="5">
        <v>108.97</v>
      </c>
      <c r="P99" s="5"/>
      <c r="Q99" s="5">
        <v>3.153</v>
      </c>
      <c r="R99" s="5"/>
      <c r="S99" s="5">
        <v>8.8284000000000002</v>
      </c>
      <c r="T99" s="5"/>
      <c r="U99" s="5">
        <v>0.26279999999999998</v>
      </c>
      <c r="V99" s="4"/>
      <c r="W99" s="4">
        <v>125</v>
      </c>
      <c r="X99" s="5"/>
      <c r="Y99" s="5">
        <v>1.32</v>
      </c>
      <c r="Z99" s="6"/>
      <c r="AA99" s="6">
        <v>1000</v>
      </c>
      <c r="AB99" s="4" t="s">
        <v>13</v>
      </c>
    </row>
    <row r="100" spans="1:28">
      <c r="A100" s="3" t="s">
        <v>117</v>
      </c>
      <c r="B100" s="3" t="s">
        <v>118</v>
      </c>
      <c r="C100" s="3" t="s">
        <v>119</v>
      </c>
      <c r="D100" s="4">
        <v>580</v>
      </c>
      <c r="E100" s="3" t="s">
        <v>120</v>
      </c>
      <c r="F100" s="7" t="s">
        <v>1327</v>
      </c>
      <c r="G100" s="4">
        <v>58.2</v>
      </c>
      <c r="H100" s="3" t="s">
        <v>121</v>
      </c>
      <c r="I100" s="3" t="s">
        <v>127</v>
      </c>
      <c r="J100" s="4">
        <v>2</v>
      </c>
      <c r="K100" s="4">
        <v>756.89390000000003</v>
      </c>
      <c r="L100" s="4" t="str">
        <f>HYPERLINK("http://ms.phosphosite.org:5080/cgi-bin/plot-msms.cgi?MassType=1&amp;NumAxis=1&amp;Mod4=184&amp;Pep=YGQRLASASALGYQ&amp;Dta=/var/www/html/dta/yong/23616.11479.2.dta&amp;Global_Mod=CS57.0215", "11479")</f>
        <v>11479</v>
      </c>
      <c r="M100" s="4" t="str">
        <f>HYPERLINK("http://ms.phosphosite.org:5080/cgi-bin/plot-msms.cgi?MassType=1&amp;NumAxis=1&amp;Mod4=184&amp;Pep=YGQRLASASALGYQ&amp;Dta=/var/www/html/dta/yong/23617.11597.2.dta&amp;Global_Mod=CS57.0215", "11597")</f>
        <v>11597</v>
      </c>
      <c r="N100" s="5">
        <v>55.34</v>
      </c>
      <c r="O100" s="5">
        <v>55.32</v>
      </c>
      <c r="P100" s="5">
        <v>3.4089999999999998</v>
      </c>
      <c r="Q100" s="5">
        <v>3.0590000000000002</v>
      </c>
      <c r="R100" s="5">
        <v>0.58620000000000005</v>
      </c>
      <c r="S100" s="5">
        <v>0.48549999999999999</v>
      </c>
      <c r="T100" s="5">
        <v>0.30859999999999999</v>
      </c>
      <c r="U100" s="5">
        <v>0.22220000000000001</v>
      </c>
      <c r="V100" s="4">
        <v>1</v>
      </c>
      <c r="W100" s="4">
        <v>1</v>
      </c>
      <c r="X100" s="5">
        <v>2.68</v>
      </c>
      <c r="Y100" s="5">
        <v>2.13</v>
      </c>
      <c r="Z100" s="6">
        <v>1000</v>
      </c>
      <c r="AA100" s="6">
        <v>1000</v>
      </c>
      <c r="AB100" s="4" t="s">
        <v>13</v>
      </c>
    </row>
    <row r="101" spans="1:28">
      <c r="A101" s="3" t="s">
        <v>117</v>
      </c>
      <c r="B101" s="3" t="s">
        <v>118</v>
      </c>
      <c r="C101" s="3" t="s">
        <v>119</v>
      </c>
      <c r="D101" s="4">
        <v>580</v>
      </c>
      <c r="E101" s="3" t="s">
        <v>120</v>
      </c>
      <c r="F101" s="7" t="s">
        <v>1327</v>
      </c>
      <c r="G101" s="4">
        <v>58.2</v>
      </c>
      <c r="H101" s="3" t="s">
        <v>121</v>
      </c>
      <c r="I101" s="3" t="s">
        <v>122</v>
      </c>
      <c r="J101" s="4">
        <v>2</v>
      </c>
      <c r="K101" s="4">
        <v>848.95450000000005</v>
      </c>
      <c r="L101" s="4" t="str">
        <f>HYPERLINK("http://ms.phosphosite.org:5080/cgi-bin/plot-msms.cgi?MassType=1&amp;NumAxis=1&amp;Mod6=184&amp;Pep=ALYGQRLASASALGYQ&amp;Dta=/var/www/html/dta/yong/23616.15179.2.dta&amp;Global_Mod=CS57.0215", "15179")</f>
        <v>15179</v>
      </c>
      <c r="M101" s="4" t="str">
        <f>HYPERLINK("http://ms.phosphosite.org:5080/cgi-bin/plot-msms.cgi?MassType=1&amp;NumAxis=1&amp;Mod6=184&amp;Pep=ALYGQRLASASALGYQ&amp;Dta=/var/www/html/dta/yong/23617.15308.2.dta&amp;Global_Mod=CS57.0215", "15308")</f>
        <v>15308</v>
      </c>
      <c r="N101" s="5">
        <v>71.47</v>
      </c>
      <c r="O101" s="5">
        <v>71.239999999999995</v>
      </c>
      <c r="P101" s="5">
        <v>3.8570000000000002</v>
      </c>
      <c r="Q101" s="5">
        <v>3.226</v>
      </c>
      <c r="R101" s="5">
        <v>0.93269999999999997</v>
      </c>
      <c r="S101" s="5">
        <v>0.67010000000000003</v>
      </c>
      <c r="T101" s="5">
        <v>0.41539999999999999</v>
      </c>
      <c r="U101" s="5">
        <v>0.25369999999999998</v>
      </c>
      <c r="V101" s="4">
        <v>1</v>
      </c>
      <c r="W101" s="4">
        <v>1</v>
      </c>
      <c r="X101" s="5">
        <v>3.38</v>
      </c>
      <c r="Y101" s="5">
        <v>2.33</v>
      </c>
      <c r="Z101" s="6">
        <v>1000</v>
      </c>
      <c r="AA101" s="6">
        <v>1000</v>
      </c>
      <c r="AB101" s="4" t="s">
        <v>13</v>
      </c>
    </row>
    <row r="102" spans="1:28">
      <c r="A102" s="3" t="s">
        <v>117</v>
      </c>
      <c r="B102" s="3" t="s">
        <v>118</v>
      </c>
      <c r="C102" s="3" t="s">
        <v>119</v>
      </c>
      <c r="D102" s="4">
        <v>580</v>
      </c>
      <c r="E102" s="3" t="s">
        <v>120</v>
      </c>
      <c r="F102" s="7" t="s">
        <v>1327</v>
      </c>
      <c r="G102" s="4">
        <v>58.2</v>
      </c>
      <c r="H102" s="3" t="s">
        <v>121</v>
      </c>
      <c r="I102" s="3" t="s">
        <v>122</v>
      </c>
      <c r="J102" s="4">
        <v>3</v>
      </c>
      <c r="K102" s="4">
        <v>566.30539999999996</v>
      </c>
      <c r="L102" s="4" t="str">
        <f>HYPERLINK("http://ms.phosphosite.org:5080/cgi-bin/plot-msms.cgi?MassType=1&amp;NumAxis=1&amp;Mod6=184&amp;Pep=ALYGQRLASASALGYQ&amp;Dta=/var/www/html/dta/yong/23616.15182.3.dta&amp;Global_Mod=CS57.0215", "15182")</f>
        <v>15182</v>
      </c>
      <c r="M102" s="4" t="str">
        <f>HYPERLINK("http://ms.phosphosite.org:5080/cgi-bin/plot-msms.cgi?MassType=1&amp;NumAxis=1&amp;Mod6=184&amp;Pep=ALYGQRLASASALGYQ&amp;Dta=/var/www/html/dta/yong/23617.15355.3.dta&amp;Global_Mod=CS57.0215", "15355")</f>
        <v>15355</v>
      </c>
      <c r="N102" s="5">
        <v>71.48</v>
      </c>
      <c r="O102" s="5">
        <v>71.44</v>
      </c>
      <c r="P102" s="5">
        <v>2.9540000000000002</v>
      </c>
      <c r="Q102" s="5">
        <v>2.129</v>
      </c>
      <c r="R102" s="5">
        <v>1.0501</v>
      </c>
      <c r="S102" s="5">
        <v>0.30399999999999999</v>
      </c>
      <c r="T102" s="5">
        <v>0.25080000000000002</v>
      </c>
      <c r="U102" s="5">
        <v>0.1167</v>
      </c>
      <c r="V102" s="4">
        <v>1</v>
      </c>
      <c r="W102" s="4">
        <v>4</v>
      </c>
      <c r="X102" s="5">
        <v>2.2000000000000002</v>
      </c>
      <c r="Y102" s="5">
        <v>1.25</v>
      </c>
      <c r="Z102" s="6">
        <v>1000</v>
      </c>
      <c r="AA102" s="6">
        <v>1000</v>
      </c>
      <c r="AB102" s="4" t="s">
        <v>13</v>
      </c>
    </row>
    <row r="103" spans="1:28">
      <c r="A103" s="3" t="s">
        <v>117</v>
      </c>
      <c r="B103" s="3" t="s">
        <v>118</v>
      </c>
      <c r="C103" s="3" t="s">
        <v>119</v>
      </c>
      <c r="D103" s="4">
        <v>580</v>
      </c>
      <c r="E103" s="3" t="s">
        <v>120</v>
      </c>
      <c r="F103" s="7" t="s">
        <v>1327</v>
      </c>
      <c r="G103" s="4">
        <v>58.2</v>
      </c>
      <c r="H103" s="3" t="s">
        <v>121</v>
      </c>
      <c r="I103" s="3" t="s">
        <v>128</v>
      </c>
      <c r="J103" s="4">
        <v>3</v>
      </c>
      <c r="K103" s="4">
        <v>736.3759</v>
      </c>
      <c r="L103" s="4" t="str">
        <f>HYPERLINK("http://ms.phosphosite.org:5080/cgi-bin/plot-msms.cgi?MassType=1&amp;NumAxis=1&amp;Mod10=184&amp;Pep=YSPYALYGQRLASASALGYQ&amp;Dta=/var/www/html/dta/yong/23616.21220.3.dta&amp;Global_Mod=CS57.0215", "21220")</f>
        <v>21220</v>
      </c>
      <c r="M103" s="4"/>
      <c r="N103" s="5">
        <v>96.97</v>
      </c>
      <c r="O103" s="5"/>
      <c r="P103" s="5">
        <v>2.3460000000000001</v>
      </c>
      <c r="Q103" s="5"/>
      <c r="R103" s="5">
        <v>0.47060000000000002</v>
      </c>
      <c r="S103" s="5"/>
      <c r="T103" s="5">
        <v>0.1794</v>
      </c>
      <c r="U103" s="5"/>
      <c r="V103" s="4">
        <v>18</v>
      </c>
      <c r="W103" s="4"/>
      <c r="X103" s="5">
        <v>1.6</v>
      </c>
      <c r="Y103" s="5"/>
      <c r="Z103" s="6">
        <v>1000</v>
      </c>
      <c r="AA103" s="6"/>
      <c r="AB103" s="4" t="s">
        <v>13</v>
      </c>
    </row>
    <row r="104" spans="1:28">
      <c r="A104" s="3" t="s">
        <v>117</v>
      </c>
      <c r="B104" s="3" t="s">
        <v>118</v>
      </c>
      <c r="C104" s="3" t="s">
        <v>119</v>
      </c>
      <c r="D104" s="4">
        <v>580</v>
      </c>
      <c r="E104" s="3" t="s">
        <v>120</v>
      </c>
      <c r="F104" s="7" t="s">
        <v>1327</v>
      </c>
      <c r="G104" s="4">
        <v>58.2</v>
      </c>
      <c r="H104" s="3" t="s">
        <v>121</v>
      </c>
      <c r="I104" s="3" t="s">
        <v>124</v>
      </c>
      <c r="J104" s="4">
        <v>3</v>
      </c>
      <c r="K104" s="4">
        <v>1184.6105</v>
      </c>
      <c r="L104" s="4" t="str">
        <f>HYPERLINK("http://ms.phosphosite.org:5080/cgi-bin/plot-msms.cgi?MassType=1&amp;NumAxis=1&amp;Mod30=184&amp;Pep=SHLSTAGGLAVPSLPTAGPYYSPYALYGQRLASAS&amp;Dta=/var/www/html/dta/yong/23616.25201.3.dta&amp;Global_Mod=CS57.0215", "25201")</f>
        <v>25201</v>
      </c>
      <c r="M104" s="4"/>
      <c r="N104" s="5">
        <v>112.98</v>
      </c>
      <c r="O104" s="5"/>
      <c r="P104" s="5">
        <v>4.5060000000000002</v>
      </c>
      <c r="Q104" s="5"/>
      <c r="R104" s="5">
        <v>1.1361000000000001</v>
      </c>
      <c r="S104" s="5"/>
      <c r="T104" s="5">
        <v>0.43340000000000001</v>
      </c>
      <c r="U104" s="5"/>
      <c r="V104" s="4">
        <v>1</v>
      </c>
      <c r="W104" s="4"/>
      <c r="X104" s="5">
        <v>3.49</v>
      </c>
      <c r="Y104" s="5"/>
      <c r="Z104" s="6">
        <v>1000</v>
      </c>
      <c r="AA104" s="6"/>
      <c r="AB104" s="4" t="s">
        <v>13</v>
      </c>
    </row>
    <row r="105" spans="1:28">
      <c r="A105" s="3" t="s">
        <v>117</v>
      </c>
      <c r="B105" s="3" t="s">
        <v>118</v>
      </c>
      <c r="C105" s="3" t="s">
        <v>119</v>
      </c>
      <c r="D105" s="4">
        <v>580</v>
      </c>
      <c r="E105" s="3" t="s">
        <v>120</v>
      </c>
      <c r="F105" s="7" t="s">
        <v>1327</v>
      </c>
      <c r="G105" s="4">
        <v>58.2</v>
      </c>
      <c r="H105" s="3" t="s">
        <v>121</v>
      </c>
      <c r="I105" s="3" t="s">
        <v>124</v>
      </c>
      <c r="J105" s="4">
        <v>3</v>
      </c>
      <c r="K105" s="4">
        <v>1184.6105</v>
      </c>
      <c r="L105" s="4" t="str">
        <f>HYPERLINK("http://ms.phosphosite.org:5080/cgi-bin/plot-msms.cgi?MassType=1&amp;NumAxis=1&amp;Mod30=184&amp;Pep=SHLSTAGGLAVPSLPTAGPYYSPYALYGQRLASAS&amp;Dta=/var/www/html/dta/yong/23616.25218.3.dta&amp;Global_Mod=CS57.0215", "25218")</f>
        <v>25218</v>
      </c>
      <c r="M105" s="4"/>
      <c r="N105" s="5">
        <v>113.05</v>
      </c>
      <c r="O105" s="5"/>
      <c r="P105" s="5">
        <v>4.2350000000000003</v>
      </c>
      <c r="Q105" s="5"/>
      <c r="R105" s="5">
        <v>1.708</v>
      </c>
      <c r="S105" s="5"/>
      <c r="T105" s="5">
        <v>0.30609999999999998</v>
      </c>
      <c r="U105" s="5"/>
      <c r="V105" s="4">
        <v>1</v>
      </c>
      <c r="W105" s="4"/>
      <c r="X105" s="5">
        <v>2.67</v>
      </c>
      <c r="Y105" s="5"/>
      <c r="Z105" s="6">
        <v>1000</v>
      </c>
      <c r="AA105" s="6"/>
      <c r="AB105" s="4" t="s">
        <v>13</v>
      </c>
    </row>
    <row r="106" spans="1:28">
      <c r="A106" s="3" t="s">
        <v>117</v>
      </c>
      <c r="B106" s="3" t="s">
        <v>118</v>
      </c>
      <c r="C106" s="3" t="s">
        <v>119</v>
      </c>
      <c r="D106" s="4">
        <v>580</v>
      </c>
      <c r="E106" s="3" t="s">
        <v>120</v>
      </c>
      <c r="F106" s="7" t="s">
        <v>1327</v>
      </c>
      <c r="G106" s="4">
        <v>58.2</v>
      </c>
      <c r="H106" s="3" t="s">
        <v>121</v>
      </c>
      <c r="I106" s="3" t="s">
        <v>125</v>
      </c>
      <c r="J106" s="4">
        <v>3</v>
      </c>
      <c r="K106" s="4">
        <v>1264.9914000000001</v>
      </c>
      <c r="L106" s="4" t="str">
        <f>HYPERLINK("http://ms.phosphosite.org:5080/cgi-bin/plot-msms.cgi?MassType=1&amp;NumAxis=1&amp;Mod30=184&amp;Pep=SHLSTAGGLAVPSLPTAGPYYSPYALYGQRLASASALG&amp;Dta=/var/www/html/dta/yong/23616.26945.3.dta&amp;Global_Mod=CS57.0215", "26945")</f>
        <v>26945</v>
      </c>
      <c r="M106" s="4" t="str">
        <f>HYPERLINK("http://ms.phosphosite.org:5080/cgi-bin/plot-msms.cgi?MassType=1&amp;NumAxis=1&amp;Mod30=184&amp;Pep=SHLSTAGGLAVPSLPTAGPYYSPYALYGQRLASASALG&amp;Dta=/var/www/html/dta/yong/23617.27006.3.dta&amp;Global_Mod=CS57.0215", "27006")</f>
        <v>27006</v>
      </c>
      <c r="N106" s="5">
        <v>120.43</v>
      </c>
      <c r="O106" s="5">
        <v>120.25</v>
      </c>
      <c r="P106" s="5">
        <v>3.5449999999999999</v>
      </c>
      <c r="Q106" s="5">
        <v>3.8090000000000002</v>
      </c>
      <c r="R106" s="5">
        <v>3.1110000000000002</v>
      </c>
      <c r="S106" s="5">
        <v>3.0687000000000002</v>
      </c>
      <c r="T106" s="5">
        <v>0.14399999999999999</v>
      </c>
      <c r="U106" s="5">
        <v>0.28050000000000003</v>
      </c>
      <c r="V106" s="4">
        <v>1</v>
      </c>
      <c r="W106" s="4">
        <v>1</v>
      </c>
      <c r="X106" s="5">
        <v>1.45</v>
      </c>
      <c r="Y106" s="5">
        <v>2.33</v>
      </c>
      <c r="Z106" s="6">
        <v>1000</v>
      </c>
      <c r="AA106" s="6">
        <v>1000</v>
      </c>
      <c r="AB106" s="4" t="s">
        <v>13</v>
      </c>
    </row>
    <row r="107" spans="1:28">
      <c r="A107" s="3" t="s">
        <v>117</v>
      </c>
      <c r="B107" s="3" t="s">
        <v>118</v>
      </c>
      <c r="C107" s="3" t="s">
        <v>119</v>
      </c>
      <c r="D107" s="4">
        <v>580</v>
      </c>
      <c r="E107" s="3" t="s">
        <v>120</v>
      </c>
      <c r="F107" s="7" t="s">
        <v>1327</v>
      </c>
      <c r="G107" s="4">
        <v>58.2</v>
      </c>
      <c r="H107" s="3" t="s">
        <v>121</v>
      </c>
      <c r="I107" s="3" t="s">
        <v>126</v>
      </c>
      <c r="J107" s="4">
        <v>3</v>
      </c>
      <c r="K107" s="4">
        <v>1362.0319999999999</v>
      </c>
      <c r="L107" s="4" t="str">
        <f>HYPERLINK("http://ms.phosphosite.org:5080/cgi-bin/plot-msms.cgi?MassType=1&amp;NumAxis=1&amp;Mod30=184&amp;Pep=SHLSTAGGLAVPSLPTAGPYYSPYALYGQRLASASALGYQ&amp;Dta=/var/www/html/dta/yong/23616.27100.3.dta&amp;Global_Mod=CS57.0215", "27100")</f>
        <v>27100</v>
      </c>
      <c r="M107" s="4" t="str">
        <f>HYPERLINK("http://ms.phosphosite.org:5080/cgi-bin/plot-msms.cgi?MassType=1&amp;NumAxis=1&amp;Mod30=184&amp;Pep=SHLSTAGGLAVPSLPTAGPYYSPYALYGQRLASASALGYQ&amp;Dta=/var/www/html/dta/yong/23617.27207.3.dta&amp;Global_Mod=CS57.0215", "27207")</f>
        <v>27207</v>
      </c>
      <c r="N107" s="5">
        <v>121.16</v>
      </c>
      <c r="O107" s="5">
        <v>121.19</v>
      </c>
      <c r="P107" s="5">
        <v>4.3070000000000004</v>
      </c>
      <c r="Q107" s="5">
        <v>4.806</v>
      </c>
      <c r="R107" s="5">
        <v>1.18</v>
      </c>
      <c r="S107" s="5">
        <v>1.3547</v>
      </c>
      <c r="T107" s="5">
        <v>0.37569999999999998</v>
      </c>
      <c r="U107" s="5">
        <v>0.46689999999999998</v>
      </c>
      <c r="V107" s="4">
        <v>1</v>
      </c>
      <c r="W107" s="4">
        <v>1</v>
      </c>
      <c r="X107" s="5">
        <v>3.06</v>
      </c>
      <c r="Y107" s="5">
        <v>3.74</v>
      </c>
      <c r="Z107" s="6">
        <v>1000</v>
      </c>
      <c r="AA107" s="6">
        <v>1000</v>
      </c>
      <c r="AB107" s="4" t="s">
        <v>13</v>
      </c>
    </row>
    <row r="108" spans="1:28">
      <c r="A108" s="3" t="s">
        <v>117</v>
      </c>
      <c r="B108" s="3" t="s">
        <v>118</v>
      </c>
      <c r="C108" s="3" t="s">
        <v>119</v>
      </c>
      <c r="D108" s="4">
        <v>580</v>
      </c>
      <c r="E108" s="3" t="s">
        <v>120</v>
      </c>
      <c r="F108" s="7" t="s">
        <v>1327</v>
      </c>
      <c r="G108" s="4">
        <v>58.2</v>
      </c>
      <c r="H108" s="3" t="s">
        <v>121</v>
      </c>
      <c r="I108" s="3" t="s">
        <v>126</v>
      </c>
      <c r="J108" s="4">
        <v>3</v>
      </c>
      <c r="K108" s="4">
        <v>1362.0319999999999</v>
      </c>
      <c r="L108" s="4" t="str">
        <f>HYPERLINK("http://ms.phosphosite.org:5080/cgi-bin/plot-msms.cgi?MassType=1&amp;NumAxis=1&amp;Mod30=184&amp;Pep=SHLSTAGGLAVPSLPTAGPYYSPYALYGQRLASASALGYQ&amp;Dta=/var/www/html/dta/yong/23616.27134.3.dta&amp;Global_Mod=CS57.0215", "27134")</f>
        <v>27134</v>
      </c>
      <c r="M108" s="4" t="str">
        <f>HYPERLINK("http://ms.phosphosite.org:5080/cgi-bin/plot-msms.cgi?MassType=1&amp;NumAxis=1&amp;Mod30=184&amp;Pep=SHLSTAGGLAVPSLPTAGPYYSPYALYGQRLASASALGYQ&amp;Dta=/var/www/html/dta/yong/23617.27221.3.dta&amp;Global_Mod=CS57.0215", "27221")</f>
        <v>27221</v>
      </c>
      <c r="N108" s="5">
        <v>121.32</v>
      </c>
      <c r="O108" s="5">
        <v>121.26</v>
      </c>
      <c r="P108" s="5">
        <v>5.548</v>
      </c>
      <c r="Q108" s="5">
        <v>5.6859999999999999</v>
      </c>
      <c r="R108" s="5">
        <v>1.2037</v>
      </c>
      <c r="S108" s="5">
        <v>1.323</v>
      </c>
      <c r="T108" s="5">
        <v>0.49859999999999999</v>
      </c>
      <c r="U108" s="5">
        <v>0.46039999999999998</v>
      </c>
      <c r="V108" s="4">
        <v>1</v>
      </c>
      <c r="W108" s="4">
        <v>1</v>
      </c>
      <c r="X108" s="5">
        <v>4.1100000000000003</v>
      </c>
      <c r="Y108" s="5">
        <v>3.98</v>
      </c>
      <c r="Z108" s="6">
        <v>1000</v>
      </c>
      <c r="AA108" s="6">
        <v>1000</v>
      </c>
      <c r="AB108" s="4" t="s">
        <v>13</v>
      </c>
    </row>
    <row r="109" spans="1:28">
      <c r="A109" s="3" t="s">
        <v>117</v>
      </c>
      <c r="B109" s="3" t="s">
        <v>118</v>
      </c>
      <c r="C109" s="3" t="s">
        <v>119</v>
      </c>
      <c r="D109" s="4">
        <v>580</v>
      </c>
      <c r="E109" s="3" t="s">
        <v>120</v>
      </c>
      <c r="F109" s="7" t="s">
        <v>1327</v>
      </c>
      <c r="G109" s="4">
        <v>58.2</v>
      </c>
      <c r="H109" s="3" t="s">
        <v>121</v>
      </c>
      <c r="I109" s="3" t="s">
        <v>123</v>
      </c>
      <c r="J109" s="4">
        <v>2</v>
      </c>
      <c r="K109" s="4">
        <v>675.36220000000003</v>
      </c>
      <c r="L109" s="4" t="str">
        <f>HYPERLINK("http://ms.phosphosite.org:5080/cgi-bin/plot-msms.cgi?MassType=1&amp;NumAxis=1&amp;Mod3=184&amp;Pep=GQRLASASALGYQ&amp;Dta=/var/www/html/dta/yong/23616.9857.2.dta&amp;Global_Mod=CS57.0215", "9857")</f>
        <v>9857</v>
      </c>
      <c r="M109" s="4" t="str">
        <f>HYPERLINK("http://ms.phosphosite.org:5080/cgi-bin/plot-msms.cgi?MassType=1&amp;NumAxis=1&amp;Mod3=184&amp;Pep=GQRLASASALGYQ&amp;Dta=/var/www/html/dta/yong/23617.9970.2.dta&amp;Global_Mod=CS57.0215", "9970")</f>
        <v>9970</v>
      </c>
      <c r="N109" s="5">
        <v>48.55</v>
      </c>
      <c r="O109" s="5">
        <v>48.5</v>
      </c>
      <c r="P109" s="5">
        <v>2.9350000000000001</v>
      </c>
      <c r="Q109" s="5">
        <v>2.9060000000000001</v>
      </c>
      <c r="R109" s="5">
        <v>0.8407</v>
      </c>
      <c r="S109" s="5">
        <v>0.39779999999999999</v>
      </c>
      <c r="T109" s="5">
        <v>0.32090000000000002</v>
      </c>
      <c r="U109" s="5">
        <v>0.38009999999999999</v>
      </c>
      <c r="V109" s="4">
        <v>1</v>
      </c>
      <c r="W109" s="4">
        <v>1</v>
      </c>
      <c r="X109" s="5">
        <v>2.61</v>
      </c>
      <c r="Y109" s="5">
        <v>2.99</v>
      </c>
      <c r="Z109" s="6">
        <v>1000</v>
      </c>
      <c r="AA109" s="6">
        <v>1000</v>
      </c>
      <c r="AB109" s="4" t="s">
        <v>13</v>
      </c>
    </row>
    <row r="110" spans="1:28" s="18" customFormat="1">
      <c r="A110" s="18" t="s">
        <v>117</v>
      </c>
      <c r="B110" s="18" t="s">
        <v>129</v>
      </c>
      <c r="C110" s="18" t="s">
        <v>130</v>
      </c>
      <c r="D110" s="19"/>
      <c r="E110" s="18" t="s">
        <v>131</v>
      </c>
      <c r="F110" s="15" t="s">
        <v>1328</v>
      </c>
      <c r="G110" s="19">
        <v>60.5</v>
      </c>
      <c r="I110" s="18" t="s">
        <v>132</v>
      </c>
      <c r="J110" s="19">
        <v>3</v>
      </c>
      <c r="K110" s="19">
        <v>747.38530000000003</v>
      </c>
      <c r="L110" s="19"/>
      <c r="M110" s="19" t="str">
        <f>HYPERLINK("http://ms.phosphosite.org:5080/cgi-bin/plot-msms.cgi?MassType=1&amp;NumAxis=1&amp;Mod5=170&amp;Mod8=147&amp;Mod18=170&amp;Pep=ELFKRSLMSGLEQMEELR&amp;Dta=/var/www/html/dta/yong/23617.18972.3.dta&amp;Global_Mod=CS57.0215", "18972")</f>
        <v>18972</v>
      </c>
      <c r="N110" s="20"/>
      <c r="O110" s="20">
        <v>86.78</v>
      </c>
      <c r="P110" s="20"/>
      <c r="Q110" s="20">
        <v>3.9</v>
      </c>
      <c r="R110" s="20"/>
      <c r="S110" s="20">
        <v>-8.5068000000000001</v>
      </c>
      <c r="T110" s="20"/>
      <c r="U110" s="20">
        <v>0.1852</v>
      </c>
      <c r="V110" s="19"/>
      <c r="W110" s="19">
        <v>1</v>
      </c>
      <c r="X110" s="20"/>
      <c r="Y110" s="20">
        <v>1.3</v>
      </c>
      <c r="Z110" s="21"/>
      <c r="AA110" s="21" t="s">
        <v>1306</v>
      </c>
      <c r="AB110" s="19" t="s">
        <v>13</v>
      </c>
    </row>
    <row r="111" spans="1:28" s="18" customFormat="1">
      <c r="A111" s="18" t="s">
        <v>133</v>
      </c>
      <c r="B111" s="18" t="s">
        <v>134</v>
      </c>
      <c r="C111" s="18" t="s">
        <v>135</v>
      </c>
      <c r="D111" s="19">
        <v>677</v>
      </c>
      <c r="E111" s="18" t="s">
        <v>136</v>
      </c>
      <c r="F111" s="15" t="s">
        <v>1329</v>
      </c>
      <c r="G111" s="19">
        <v>157.1</v>
      </c>
      <c r="H111" s="18" t="s">
        <v>137</v>
      </c>
      <c r="I111" s="18" t="s">
        <v>138</v>
      </c>
      <c r="J111" s="19">
        <v>4</v>
      </c>
      <c r="K111" s="19">
        <v>622.11210000000005</v>
      </c>
      <c r="L111" s="19" t="str">
        <f>HYPERLINK("http://ms.phosphosite.org:5080/cgi-bin/plot-msms.cgi?MassType=1&amp;NumAxis=1&amp;Mod12=170&amp;Mod13=184&amp;Pep=QFGVPQALFGVRRMLPLIWSK&amp;Dta=/var/www/html/dta/yong/23616.20343.4.dta&amp;Global_Mod=CS57.0215", "20343")</f>
        <v>20343</v>
      </c>
      <c r="M111" s="19"/>
      <c r="N111" s="20">
        <v>93.25</v>
      </c>
      <c r="O111" s="20"/>
      <c r="P111" s="20">
        <v>3.379</v>
      </c>
      <c r="Q111" s="20"/>
      <c r="R111" s="20">
        <v>-13.7186</v>
      </c>
      <c r="S111" s="20"/>
      <c r="T111" s="20">
        <v>0.2382</v>
      </c>
      <c r="U111" s="20"/>
      <c r="V111" s="19">
        <v>2</v>
      </c>
      <c r="W111" s="19"/>
      <c r="X111" s="20">
        <v>1.1499999999999999</v>
      </c>
      <c r="Y111" s="20"/>
      <c r="Z111" s="21" t="s">
        <v>1306</v>
      </c>
      <c r="AA111" s="21"/>
      <c r="AB111" s="19" t="s">
        <v>13</v>
      </c>
    </row>
    <row r="112" spans="1:28" s="12" customFormat="1">
      <c r="A112" s="9" t="s">
        <v>133</v>
      </c>
      <c r="B112" s="9" t="s">
        <v>139</v>
      </c>
      <c r="C112" s="9" t="s">
        <v>139</v>
      </c>
      <c r="D112" s="7">
        <v>50</v>
      </c>
      <c r="E112" s="9" t="s">
        <v>140</v>
      </c>
      <c r="F112" s="7" t="s">
        <v>1330</v>
      </c>
      <c r="G112" s="7">
        <v>8.1999999999999993</v>
      </c>
      <c r="H112" s="22" t="s">
        <v>1526</v>
      </c>
      <c r="I112" s="9" t="s">
        <v>141</v>
      </c>
      <c r="J112" s="7">
        <v>3</v>
      </c>
      <c r="K112" s="7">
        <v>1219.5754999999999</v>
      </c>
      <c r="L112" s="7" t="str">
        <f>HYPERLINK("http://ms.phosphosite.org:5080/cgi-bin/plot-msms.cgi?MassType=1&amp;NumAxis=1&amp;Mod2=147&amp;Mod5=184&amp;Mod26=147&amp;Pep=GMRGRELMGGIGKTMMQSGGTFGTFMAIGMGIRC&amp;Dta=/var/www/html/dta/yong/23616.32789.3.dta&amp;Global_Mod=CS57.0215", "32789")</f>
        <v>32789</v>
      </c>
      <c r="M112" s="7"/>
      <c r="N112" s="10">
        <v>148.19</v>
      </c>
      <c r="O112" s="10"/>
      <c r="P112" s="10">
        <v>2.0259999999999998</v>
      </c>
      <c r="Q112" s="10"/>
      <c r="R112" s="10">
        <v>-30.5791</v>
      </c>
      <c r="S112" s="10"/>
      <c r="T112" s="10">
        <v>0.80630000000000002</v>
      </c>
      <c r="U112" s="10"/>
      <c r="V112" s="7">
        <v>105</v>
      </c>
      <c r="W112" s="7"/>
      <c r="X112" s="10">
        <v>2.62</v>
      </c>
      <c r="Y112" s="10"/>
      <c r="Z112" s="11">
        <v>11</v>
      </c>
      <c r="AA112" s="11"/>
      <c r="AB112" s="7" t="s">
        <v>13</v>
      </c>
    </row>
    <row r="113" spans="1:28" s="12" customFormat="1">
      <c r="A113" s="9" t="s">
        <v>142</v>
      </c>
      <c r="B113" s="9" t="s">
        <v>1543</v>
      </c>
      <c r="C113" s="9" t="s">
        <v>1544</v>
      </c>
      <c r="D113" s="7">
        <v>608</v>
      </c>
      <c r="E113" s="9" t="s">
        <v>143</v>
      </c>
      <c r="F113" s="7" t="s">
        <v>1331</v>
      </c>
      <c r="G113" s="7">
        <v>78.3</v>
      </c>
      <c r="H113" s="9" t="s">
        <v>144</v>
      </c>
      <c r="I113" s="9" t="s">
        <v>145</v>
      </c>
      <c r="J113" s="7">
        <v>2</v>
      </c>
      <c r="K113" s="7">
        <v>656.81769999999995</v>
      </c>
      <c r="L113" s="7"/>
      <c r="M113" s="7" t="str">
        <f>HYPERLINK("http://ms.phosphosite.org:5080/cgi-bin/plot-msms.cgi?MassType=1&amp;NumAxis=1&amp;Mod9=184&amp;Pep=SNQPYYNSRGV&amp;Dta=/var/www/html/dta/yong/23617.7618.2.dta&amp;Global_Mod=CS57.0215", "7618")</f>
        <v>7618</v>
      </c>
      <c r="N113" s="10"/>
      <c r="O113" s="10">
        <v>38.78</v>
      </c>
      <c r="P113" s="10"/>
      <c r="Q113" s="10">
        <v>2.2759999999999998</v>
      </c>
      <c r="R113" s="10"/>
      <c r="S113" s="10">
        <v>1.2277</v>
      </c>
      <c r="T113" s="10"/>
      <c r="U113" s="10">
        <v>0.19009999999999999</v>
      </c>
      <c r="V113" s="7"/>
      <c r="W113" s="7">
        <v>3</v>
      </c>
      <c r="X113" s="10"/>
      <c r="Y113" s="10">
        <v>1.6</v>
      </c>
      <c r="Z113" s="11"/>
      <c r="AA113" s="11">
        <v>1000</v>
      </c>
      <c r="AB113" s="7" t="s">
        <v>13</v>
      </c>
    </row>
    <row r="114" spans="1:28" s="12" customFormat="1">
      <c r="A114" s="9" t="s">
        <v>142</v>
      </c>
      <c r="B114" s="9" t="s">
        <v>1543</v>
      </c>
      <c r="C114" s="9" t="s">
        <v>1544</v>
      </c>
      <c r="D114" s="7">
        <v>619</v>
      </c>
      <c r="E114" s="9" t="s">
        <v>143</v>
      </c>
      <c r="F114" s="7" t="s">
        <v>1331</v>
      </c>
      <c r="G114" s="7">
        <v>78.3</v>
      </c>
      <c r="H114" s="9" t="s">
        <v>146</v>
      </c>
      <c r="I114" s="9" t="s">
        <v>147</v>
      </c>
      <c r="J114" s="7">
        <v>2</v>
      </c>
      <c r="K114" s="7">
        <v>497.76620000000003</v>
      </c>
      <c r="L114" s="7" t="str">
        <f>HYPERLINK("http://ms.phosphosite.org:5080/cgi-bin/plot-msms.cgi?MassType=1&amp;NumAxis=1&amp;Mod1=184&amp;Pep=RGLMNGYR&amp;Dta=/var/www/html/dta/yong/23616.5364.2.dta&amp;Global_Mod=CS57.0215", "5364")</f>
        <v>5364</v>
      </c>
      <c r="M114" s="7" t="str">
        <f>HYPERLINK("http://ms.phosphosite.org:5080/cgi-bin/plot-msms.cgi?MassType=1&amp;NumAxis=1&amp;Mod1=184&amp;Pep=RGLMNGYR&amp;Dta=/var/www/html/dta/yong/23617.5450.2.dta&amp;Global_Mod=CS57.0215", "5450")</f>
        <v>5450</v>
      </c>
      <c r="N114" s="10">
        <v>29.7</v>
      </c>
      <c r="O114" s="10">
        <v>29.75</v>
      </c>
      <c r="P114" s="10">
        <v>2.1579999999999999</v>
      </c>
      <c r="Q114" s="10">
        <v>2.1819999999999999</v>
      </c>
      <c r="R114" s="10">
        <v>0.45519999999999999</v>
      </c>
      <c r="S114" s="10">
        <v>0.2301</v>
      </c>
      <c r="T114" s="10">
        <v>0.16439999999999999</v>
      </c>
      <c r="U114" s="10">
        <v>0.18509999999999999</v>
      </c>
      <c r="V114" s="7">
        <v>7</v>
      </c>
      <c r="W114" s="7">
        <v>2</v>
      </c>
      <c r="X114" s="10">
        <v>1.48</v>
      </c>
      <c r="Y114" s="10">
        <v>1.62</v>
      </c>
      <c r="Z114" s="11">
        <v>1000</v>
      </c>
      <c r="AA114" s="11">
        <v>1000</v>
      </c>
      <c r="AB114" s="7" t="s">
        <v>13</v>
      </c>
    </row>
    <row r="115" spans="1:28" s="12" customFormat="1">
      <c r="A115" s="9" t="s">
        <v>142</v>
      </c>
      <c r="B115" s="9" t="s">
        <v>1543</v>
      </c>
      <c r="C115" s="9" t="s">
        <v>1544</v>
      </c>
      <c r="D115" s="7">
        <v>619</v>
      </c>
      <c r="E115" s="9" t="s">
        <v>143</v>
      </c>
      <c r="F115" s="7" t="s">
        <v>1331</v>
      </c>
      <c r="G115" s="7">
        <v>78.3</v>
      </c>
      <c r="H115" s="9" t="s">
        <v>146</v>
      </c>
      <c r="I115" s="9" t="s">
        <v>147</v>
      </c>
      <c r="J115" s="7">
        <v>3</v>
      </c>
      <c r="K115" s="7">
        <v>332.17989999999998</v>
      </c>
      <c r="L115" s="7" t="str">
        <f>HYPERLINK("http://ms.phosphosite.org:5080/cgi-bin/plot-msms.cgi?MassType=1&amp;NumAxis=1&amp;Mod1=184&amp;Pep=RGLMNGYR&amp;Dta=/var/www/html/dta/yong/23616.5383.3.dta&amp;Global_Mod=CS57.0215", "5383")</f>
        <v>5383</v>
      </c>
      <c r="M115" s="7" t="str">
        <f>HYPERLINK("http://ms.phosphosite.org:5080/cgi-bin/plot-msms.cgi?MassType=1&amp;NumAxis=1&amp;Mod1=184&amp;Pep=RGLMNGYR&amp;Dta=/var/www/html/dta/yong/23617.5467.3.dta&amp;Global_Mod=CS57.0215", "5467")</f>
        <v>5467</v>
      </c>
      <c r="N115" s="10">
        <v>29.78</v>
      </c>
      <c r="O115" s="10">
        <v>29.83</v>
      </c>
      <c r="P115" s="10">
        <v>2.306</v>
      </c>
      <c r="Q115" s="10">
        <v>2.4830000000000001</v>
      </c>
      <c r="R115" s="10">
        <v>0.71850000000000003</v>
      </c>
      <c r="S115" s="10">
        <v>0.40289999999999998</v>
      </c>
      <c r="T115" s="10">
        <v>0.1037</v>
      </c>
      <c r="U115" s="10">
        <v>0.1318</v>
      </c>
      <c r="V115" s="7">
        <v>2</v>
      </c>
      <c r="W115" s="7">
        <v>3</v>
      </c>
      <c r="X115" s="10">
        <v>1.19</v>
      </c>
      <c r="Y115" s="10">
        <v>1.42</v>
      </c>
      <c r="Z115" s="11">
        <v>1000</v>
      </c>
      <c r="AA115" s="11">
        <v>1000</v>
      </c>
      <c r="AB115" s="7" t="s">
        <v>13</v>
      </c>
    </row>
    <row r="116" spans="1:28" s="12" customFormat="1">
      <c r="A116" s="9" t="s">
        <v>148</v>
      </c>
      <c r="B116" s="9" t="s">
        <v>149</v>
      </c>
      <c r="C116" s="9" t="s">
        <v>149</v>
      </c>
      <c r="D116" s="7">
        <v>1583</v>
      </c>
      <c r="E116" s="9" t="s">
        <v>150</v>
      </c>
      <c r="F116" s="7" t="s">
        <v>1332</v>
      </c>
      <c r="G116" s="7">
        <v>307.89999999999998</v>
      </c>
      <c r="H116" s="9" t="s">
        <v>151</v>
      </c>
      <c r="I116" s="9" t="s">
        <v>152</v>
      </c>
      <c r="J116" s="7">
        <v>2</v>
      </c>
      <c r="K116" s="7">
        <v>837.95579999999995</v>
      </c>
      <c r="L116" s="7"/>
      <c r="M116" s="7" t="str">
        <f>HYPERLINK("http://ms.phosphosite.org:5080/cgi-bin/plot-msms.cgi?MassType=1&amp;NumAxis=1&amp;Mod4=170&amp;Mod14=184&amp;Pep=MVQRAAMGWRLSAR&amp;Dta=/var/www/html/dta/yong/23617.20978.2.dta&amp;Global_Mod=CS57.0215", "20978")</f>
        <v>20978</v>
      </c>
      <c r="N116" s="10"/>
      <c r="O116" s="10">
        <v>95.27</v>
      </c>
      <c r="P116" s="10"/>
      <c r="Q116" s="10">
        <v>2.7930000000000001</v>
      </c>
      <c r="R116" s="10"/>
      <c r="S116" s="10">
        <v>-2.4310999999999998</v>
      </c>
      <c r="T116" s="10"/>
      <c r="U116" s="10">
        <v>0.16850000000000001</v>
      </c>
      <c r="V116" s="7"/>
      <c r="W116" s="7">
        <v>2</v>
      </c>
      <c r="X116" s="10"/>
      <c r="Y116" s="10">
        <v>1.21</v>
      </c>
      <c r="Z116" s="11"/>
      <c r="AA116" s="11" t="s">
        <v>1306</v>
      </c>
      <c r="AB116" s="7" t="s">
        <v>13</v>
      </c>
    </row>
    <row r="117" spans="1:28" s="18" customFormat="1">
      <c r="A117" s="18" t="s">
        <v>153</v>
      </c>
      <c r="B117" s="18" t="s">
        <v>154</v>
      </c>
      <c r="C117" s="18" t="s">
        <v>155</v>
      </c>
      <c r="D117" s="19"/>
      <c r="E117" s="18" t="s">
        <v>156</v>
      </c>
      <c r="F117" s="15" t="s">
        <v>1333</v>
      </c>
      <c r="G117" s="19">
        <v>88.5</v>
      </c>
      <c r="I117" s="18" t="s">
        <v>157</v>
      </c>
      <c r="J117" s="19">
        <v>3</v>
      </c>
      <c r="K117" s="19">
        <v>497.57799999999997</v>
      </c>
      <c r="L117" s="19"/>
      <c r="M117" s="19" t="str">
        <f>HYPERLINK("http://ms.phosphosite.org:5080/cgi-bin/plot-msms.cgi?MassType=1&amp;NumAxis=1&amp;Mod9=170&amp;Pep=ESKPAATTRSSGGGGGG&amp;Dta=/var/www/html/dta/yong/23617.1836.3.dta&amp;Global_Mod=CS57.0215", "1836")</f>
        <v>1836</v>
      </c>
      <c r="N117" s="20"/>
      <c r="O117" s="20">
        <v>14.43</v>
      </c>
      <c r="P117" s="20"/>
      <c r="Q117" s="20">
        <v>2.2480000000000002</v>
      </c>
      <c r="R117" s="20"/>
      <c r="S117" s="20">
        <v>0.85450000000000004</v>
      </c>
      <c r="T117" s="20"/>
      <c r="U117" s="20">
        <v>0.19800000000000001</v>
      </c>
      <c r="V117" s="19"/>
      <c r="W117" s="19">
        <v>2</v>
      </c>
      <c r="X117" s="20"/>
      <c r="Y117" s="20">
        <v>1.47</v>
      </c>
      <c r="Z117" s="21"/>
      <c r="AA117" s="21">
        <v>1000</v>
      </c>
      <c r="AB117" s="19" t="s">
        <v>13</v>
      </c>
    </row>
    <row r="118" spans="1:28" s="13" customFormat="1">
      <c r="A118" s="13" t="s">
        <v>153</v>
      </c>
      <c r="B118" s="13" t="s">
        <v>1545</v>
      </c>
      <c r="C118" s="13" t="s">
        <v>1546</v>
      </c>
      <c r="D118" s="15"/>
      <c r="E118" s="13" t="s">
        <v>158</v>
      </c>
      <c r="F118" s="15" t="s">
        <v>1334</v>
      </c>
      <c r="G118" s="15">
        <v>70</v>
      </c>
      <c r="I118" s="13" t="s">
        <v>159</v>
      </c>
      <c r="J118" s="15">
        <v>2</v>
      </c>
      <c r="K118" s="15">
        <v>599.33500000000004</v>
      </c>
      <c r="L118" s="15" t="str">
        <f>HYPERLINK("http://ms.phosphosite.org:5080/cgi-bin/plot-msms.cgi?MassType=1&amp;NumAxis=1&amp;Mod11=170&amp;Pep=FELSGIPPAPR&amp;Dta=/var/www/html/dta/yong/23616.15513.2.dta&amp;Global_Mod=CS57.0215", "15513")</f>
        <v>15513</v>
      </c>
      <c r="M118" s="15"/>
      <c r="N118" s="16">
        <v>72.87</v>
      </c>
      <c r="O118" s="16"/>
      <c r="P118" s="16">
        <v>2.3610000000000002</v>
      </c>
      <c r="Q118" s="16"/>
      <c r="R118" s="16">
        <v>1.2693000000000001</v>
      </c>
      <c r="S118" s="16"/>
      <c r="T118" s="16">
        <v>6.6900000000000001E-2</v>
      </c>
      <c r="U118" s="16"/>
      <c r="V118" s="15">
        <v>3</v>
      </c>
      <c r="W118" s="15"/>
      <c r="X118" s="16">
        <v>1.33</v>
      </c>
      <c r="Y118" s="16"/>
      <c r="Z118" s="17">
        <v>1000</v>
      </c>
      <c r="AA118" s="17"/>
      <c r="AB118" s="15" t="s">
        <v>13</v>
      </c>
    </row>
    <row r="119" spans="1:28" s="13" customFormat="1">
      <c r="A119" s="13" t="s">
        <v>153</v>
      </c>
      <c r="B119" s="13" t="s">
        <v>1547</v>
      </c>
      <c r="C119" s="13" t="s">
        <v>1546</v>
      </c>
      <c r="D119" s="15"/>
      <c r="E119" s="13" t="s">
        <v>158</v>
      </c>
      <c r="F119" s="15" t="s">
        <v>1334</v>
      </c>
      <c r="G119" s="15">
        <v>70</v>
      </c>
      <c r="I119" s="13" t="s">
        <v>159</v>
      </c>
      <c r="J119" s="15">
        <v>2</v>
      </c>
      <c r="K119" s="15">
        <v>599.33500000000004</v>
      </c>
      <c r="L119" s="15" t="str">
        <f>HYPERLINK("http://ms.phosphosite.org:5080/cgi-bin/plot-msms.cgi?MassType=1&amp;NumAxis=1&amp;Mod11=170&amp;Pep=FELSGIPPAPR&amp;Dta=/var/www/html/dta/yong/23616.15836.2.dta&amp;Global_Mod=CS57.0215", "15836")</f>
        <v>15836</v>
      </c>
      <c r="M119" s="15" t="str">
        <f>HYPERLINK("http://ms.phosphosite.org:5080/cgi-bin/plot-msms.cgi?MassType=1&amp;NumAxis=1&amp;Mod11=170&amp;Pep=FELSGIPPAPR&amp;Dta=/var/www/html/dta/yong/23617.15748.2.dta&amp;Global_Mod=CS57.0215", "15748")</f>
        <v>15748</v>
      </c>
      <c r="N119" s="16">
        <v>74.16</v>
      </c>
      <c r="O119" s="16">
        <v>73.05</v>
      </c>
      <c r="P119" s="16">
        <v>2.2050000000000001</v>
      </c>
      <c r="Q119" s="16">
        <v>2.4910000000000001</v>
      </c>
      <c r="R119" s="16">
        <v>-0.53280000000000005</v>
      </c>
      <c r="S119" s="16">
        <v>0.78820000000000001</v>
      </c>
      <c r="T119" s="16">
        <v>0.1739</v>
      </c>
      <c r="U119" s="16">
        <v>5.8400000000000001E-2</v>
      </c>
      <c r="V119" s="15">
        <v>1</v>
      </c>
      <c r="W119" s="15">
        <v>3</v>
      </c>
      <c r="X119" s="16">
        <v>1.89</v>
      </c>
      <c r="Y119" s="16">
        <v>1.37</v>
      </c>
      <c r="Z119" s="17">
        <v>1000</v>
      </c>
      <c r="AA119" s="17">
        <v>1000</v>
      </c>
      <c r="AB119" s="15" t="s">
        <v>13</v>
      </c>
    </row>
    <row r="120" spans="1:28" s="12" customFormat="1">
      <c r="A120" s="9" t="s">
        <v>160</v>
      </c>
      <c r="B120" s="9" t="s">
        <v>161</v>
      </c>
      <c r="C120" s="9" t="s">
        <v>162</v>
      </c>
      <c r="D120" s="7">
        <v>45</v>
      </c>
      <c r="E120" s="9" t="s">
        <v>163</v>
      </c>
      <c r="F120" s="7" t="s">
        <v>1335</v>
      </c>
      <c r="G120" s="7">
        <v>48</v>
      </c>
      <c r="H120" s="9" t="s">
        <v>164</v>
      </c>
      <c r="I120" s="9" t="s">
        <v>166</v>
      </c>
      <c r="J120" s="7">
        <v>3</v>
      </c>
      <c r="K120" s="7">
        <v>652.33619999999996</v>
      </c>
      <c r="L120" s="7" t="str">
        <f>HYPERLINK("http://ms.phosphosite.org:5080/cgi-bin/plot-msms.cgi?MassType=1&amp;NumAxis=1&amp;Mod16=184&amp;Pep=SSAASVYAGAGGSGSRISVSR&amp;Dta=/var/www/html/dta/yong/23616.8872.3.dta&amp;Global_Mod=CS57.0215", "8872")</f>
        <v>8872</v>
      </c>
      <c r="M120" s="7" t="str">
        <f>HYPERLINK("http://ms.phosphosite.org:5080/cgi-bin/plot-msms.cgi?MassType=1&amp;NumAxis=1&amp;Mod16=184&amp;Pep=SSAASVYAGAGGSGSRISVSR&amp;Dta=/var/www/html/dta/yong/23617.9001.3.dta&amp;Global_Mod=CS57.0215", "9001")</f>
        <v>9001</v>
      </c>
      <c r="N120" s="10">
        <v>44.29</v>
      </c>
      <c r="O120" s="10">
        <v>44.43</v>
      </c>
      <c r="P120" s="10">
        <v>2.9830000000000001</v>
      </c>
      <c r="Q120" s="10">
        <v>2.7309999999999999</v>
      </c>
      <c r="R120" s="10">
        <v>0.95609999999999995</v>
      </c>
      <c r="S120" s="10">
        <v>0.51219999999999999</v>
      </c>
      <c r="T120" s="10">
        <v>0.28499999999999998</v>
      </c>
      <c r="U120" s="10">
        <v>9.5399999999999999E-2</v>
      </c>
      <c r="V120" s="7">
        <v>1</v>
      </c>
      <c r="W120" s="7">
        <v>1</v>
      </c>
      <c r="X120" s="10">
        <v>2.39</v>
      </c>
      <c r="Y120" s="10">
        <v>1.43</v>
      </c>
      <c r="Z120" s="11">
        <v>1000</v>
      </c>
      <c r="AA120" s="11">
        <v>1000</v>
      </c>
      <c r="AB120" s="7" t="s">
        <v>13</v>
      </c>
    </row>
    <row r="121" spans="1:28" s="12" customFormat="1">
      <c r="A121" s="9" t="s">
        <v>160</v>
      </c>
      <c r="B121" s="9" t="s">
        <v>161</v>
      </c>
      <c r="C121" s="9" t="s">
        <v>162</v>
      </c>
      <c r="D121" s="7">
        <v>45</v>
      </c>
      <c r="E121" s="9" t="s">
        <v>163</v>
      </c>
      <c r="F121" s="7" t="s">
        <v>1335</v>
      </c>
      <c r="G121" s="7">
        <v>48</v>
      </c>
      <c r="H121" s="9" t="s">
        <v>164</v>
      </c>
      <c r="I121" s="9" t="s">
        <v>166</v>
      </c>
      <c r="J121" s="7">
        <v>3</v>
      </c>
      <c r="K121" s="7">
        <v>652.33619999999996</v>
      </c>
      <c r="L121" s="7" t="str">
        <f>HYPERLINK("http://ms.phosphosite.org:5080/cgi-bin/plot-msms.cgi?MassType=1&amp;NumAxis=1&amp;Mod16=184&amp;Pep=SSAASVYAGAGGSGSRISVSR&amp;Dta=/var/www/html/dta/yong/23616.8894.3.dta&amp;Global_Mod=CS57.0215", "8894")</f>
        <v>8894</v>
      </c>
      <c r="M121" s="7" t="str">
        <f>HYPERLINK("http://ms.phosphosite.org:5080/cgi-bin/plot-msms.cgi?MassType=1&amp;NumAxis=1&amp;Mod16=184&amp;Pep=SSAASVYAGAGGSGSRISVSR&amp;Dta=/var/www/html/dta/yong/23617.9011.3.dta&amp;Global_Mod=CS57.0215", "9011")</f>
        <v>9011</v>
      </c>
      <c r="N121" s="10">
        <v>44.39</v>
      </c>
      <c r="O121" s="10">
        <v>44.47</v>
      </c>
      <c r="P121" s="10">
        <v>3.2810000000000001</v>
      </c>
      <c r="Q121" s="10">
        <v>2.464</v>
      </c>
      <c r="R121" s="10">
        <v>0.95609999999999995</v>
      </c>
      <c r="S121" s="10">
        <v>0.51219999999999999</v>
      </c>
      <c r="T121" s="10">
        <v>0.31080000000000002</v>
      </c>
      <c r="U121" s="10">
        <v>0.25650000000000001</v>
      </c>
      <c r="V121" s="7">
        <v>1</v>
      </c>
      <c r="W121" s="7">
        <v>1</v>
      </c>
      <c r="X121" s="10">
        <v>2.62</v>
      </c>
      <c r="Y121" s="10">
        <v>2.2599999999999998</v>
      </c>
      <c r="Z121" s="11">
        <v>1000</v>
      </c>
      <c r="AA121" s="11">
        <v>1000</v>
      </c>
      <c r="AB121" s="7" t="s">
        <v>13</v>
      </c>
    </row>
    <row r="122" spans="1:28" s="13" customFormat="1">
      <c r="A122" s="3" t="s">
        <v>160</v>
      </c>
      <c r="B122" s="3" t="s">
        <v>161</v>
      </c>
      <c r="C122" s="3" t="s">
        <v>162</v>
      </c>
      <c r="D122" s="4">
        <v>50</v>
      </c>
      <c r="E122" s="3" t="s">
        <v>163</v>
      </c>
      <c r="F122" s="7" t="s">
        <v>1335</v>
      </c>
      <c r="G122" s="4">
        <v>48</v>
      </c>
      <c r="H122" s="3" t="s">
        <v>164</v>
      </c>
      <c r="I122" s="3" t="s">
        <v>165</v>
      </c>
      <c r="J122" s="4">
        <v>3</v>
      </c>
      <c r="K122" s="4">
        <v>717.70989999999995</v>
      </c>
      <c r="L122" s="4"/>
      <c r="M122" s="4" t="str">
        <f>HYPERLINK("http://ms.phosphosite.org:5080/cgi-bin/plot-msms.cgi?MassType=1&amp;NumAxis=1&amp;Mod23=184&amp;Pep=PVSSAASVYAGAGGSGSRISVSR&amp;Dta=/var/www/html/dta/yong/23617.10692.3.dta&amp;Global_Mod=CS57.0215", "10692")</f>
        <v>10692</v>
      </c>
      <c r="N122" s="5"/>
      <c r="O122" s="5">
        <v>51.47</v>
      </c>
      <c r="P122" s="5"/>
      <c r="Q122" s="5">
        <v>3.577</v>
      </c>
      <c r="R122" s="5"/>
      <c r="S122" s="5">
        <v>0.38769999999999999</v>
      </c>
      <c r="T122" s="5"/>
      <c r="U122" s="5">
        <v>0.3881</v>
      </c>
      <c r="V122" s="4"/>
      <c r="W122" s="4">
        <v>2</v>
      </c>
      <c r="X122" s="5"/>
      <c r="Y122" s="5">
        <v>3.33</v>
      </c>
      <c r="Z122" s="6"/>
      <c r="AA122" s="6">
        <v>1000</v>
      </c>
      <c r="AB122" s="4" t="s">
        <v>13</v>
      </c>
    </row>
    <row r="123" spans="1:28" s="12" customFormat="1">
      <c r="A123" s="18" t="s">
        <v>160</v>
      </c>
      <c r="B123" s="18" t="s">
        <v>161</v>
      </c>
      <c r="C123" s="18" t="s">
        <v>162</v>
      </c>
      <c r="D123" s="19"/>
      <c r="E123" s="18" t="s">
        <v>163</v>
      </c>
      <c r="F123" s="15" t="s">
        <v>1335</v>
      </c>
      <c r="G123" s="19">
        <v>48</v>
      </c>
      <c r="H123" s="18"/>
      <c r="I123" s="18" t="s">
        <v>167</v>
      </c>
      <c r="J123" s="19">
        <v>3</v>
      </c>
      <c r="K123" s="19">
        <v>962.46749999999997</v>
      </c>
      <c r="L123" s="19" t="str">
        <f>HYPERLINK("http://ms.phosphosite.org:5080/cgi-bin/plot-msms.cgi?MassType=1&amp;NumAxis=1&amp;Mod5=170&amp;Mod8=147&amp;Mod24=147&amp;Pep=STSFRGGMGSGGLATGIAGGLAGMGGIQNEK&amp;Dta=/var/www/html/dta/yong/23616.14807.3.dta&amp;Global_Mod=CS57.0215", "14807")</f>
        <v>14807</v>
      </c>
      <c r="M123" s="19" t="str">
        <f>HYPERLINK("http://ms.phosphosite.org:5080/cgi-bin/plot-msms.cgi?MassType=1&amp;NumAxis=1&amp;Mod5=170&amp;Mod8=147&amp;Mod24=147&amp;Pep=STSFRGGMGSGGLATGIAGGLAGMGGIQNEK&amp;Dta=/var/www/html/dta/yong/23617.14947.3.dta&amp;Global_Mod=CS57.0215", "14947")</f>
        <v>14947</v>
      </c>
      <c r="N123" s="20">
        <v>69.900000000000006</v>
      </c>
      <c r="O123" s="20">
        <v>69.75</v>
      </c>
      <c r="P123" s="20">
        <v>5.5970000000000004</v>
      </c>
      <c r="Q123" s="20">
        <v>6.532</v>
      </c>
      <c r="R123" s="20">
        <v>1.4204000000000001</v>
      </c>
      <c r="S123" s="20">
        <v>1.7542</v>
      </c>
      <c r="T123" s="20">
        <v>0.35020000000000001</v>
      </c>
      <c r="U123" s="20">
        <v>0.4859</v>
      </c>
      <c r="V123" s="19">
        <v>1</v>
      </c>
      <c r="W123" s="19">
        <v>1</v>
      </c>
      <c r="X123" s="20">
        <v>3.4</v>
      </c>
      <c r="Y123" s="20">
        <v>4.6399999999999997</v>
      </c>
      <c r="Z123" s="21">
        <v>1000</v>
      </c>
      <c r="AA123" s="21">
        <v>1000</v>
      </c>
      <c r="AB123" s="19" t="s">
        <v>13</v>
      </c>
    </row>
    <row r="124" spans="1:28" s="12" customFormat="1">
      <c r="A124" s="18" t="s">
        <v>160</v>
      </c>
      <c r="B124" s="18" t="s">
        <v>161</v>
      </c>
      <c r="C124" s="18" t="s">
        <v>162</v>
      </c>
      <c r="D124" s="19"/>
      <c r="E124" s="18" t="s">
        <v>163</v>
      </c>
      <c r="F124" s="15" t="s">
        <v>1335</v>
      </c>
      <c r="G124" s="19">
        <v>48</v>
      </c>
      <c r="H124" s="18"/>
      <c r="I124" s="18" t="s">
        <v>167</v>
      </c>
      <c r="J124" s="19">
        <v>3</v>
      </c>
      <c r="K124" s="19">
        <v>962.46749999999997</v>
      </c>
      <c r="L124" s="19"/>
      <c r="M124" s="19" t="str">
        <f>HYPERLINK("http://ms.phosphosite.org:5080/cgi-bin/plot-msms.cgi?MassType=1&amp;NumAxis=1&amp;Mod5=170&amp;Mod8=147&amp;Mod24=147&amp;Pep=STSFRGGMGSGGLATGIAGGLAGMGGIQNEK&amp;Dta=/var/www/html/dta/yong/23617.14959.3.dta&amp;Global_Mod=CS57.0215", "14959")</f>
        <v>14959</v>
      </c>
      <c r="N124" s="20"/>
      <c r="O124" s="20">
        <v>69.8</v>
      </c>
      <c r="P124" s="20"/>
      <c r="Q124" s="20">
        <v>6.3209999999999997</v>
      </c>
      <c r="R124" s="20"/>
      <c r="S124" s="20">
        <v>1.7542</v>
      </c>
      <c r="T124" s="20"/>
      <c r="U124" s="20">
        <v>0.39140000000000003</v>
      </c>
      <c r="V124" s="19"/>
      <c r="W124" s="19">
        <v>1</v>
      </c>
      <c r="X124" s="20"/>
      <c r="Y124" s="20">
        <v>4.04</v>
      </c>
      <c r="Z124" s="21"/>
      <c r="AA124" s="21">
        <v>1000</v>
      </c>
      <c r="AB124" s="19" t="s">
        <v>13</v>
      </c>
    </row>
    <row r="125" spans="1:28" s="12" customFormat="1">
      <c r="A125" s="13" t="s">
        <v>160</v>
      </c>
      <c r="B125" s="13" t="s">
        <v>168</v>
      </c>
      <c r="C125" s="13" t="s">
        <v>169</v>
      </c>
      <c r="D125" s="15"/>
      <c r="E125" s="13" t="s">
        <v>170</v>
      </c>
      <c r="F125" s="15" t="s">
        <v>1336</v>
      </c>
      <c r="G125" s="15">
        <v>44.1</v>
      </c>
      <c r="H125" s="13"/>
      <c r="I125" s="13" t="s">
        <v>171</v>
      </c>
      <c r="J125" s="15">
        <v>2</v>
      </c>
      <c r="K125" s="15">
        <v>784.88679999999999</v>
      </c>
      <c r="L125" s="15" t="str">
        <f>HYPERLINK("http://ms.phosphosite.org:5080/cgi-bin/plot-msms.cgi?MassType=1&amp;NumAxis=1&amp;Mod17=170&amp;Pep=QSSATSSFGGLGGGSVR&amp;Dta=/var/www/html/dta/yong/23616.10966.2.dta&amp;Global_Mod=CS57.0215", "10966")</f>
        <v>10966</v>
      </c>
      <c r="M125" s="15"/>
      <c r="N125" s="16">
        <v>53.14</v>
      </c>
      <c r="O125" s="16"/>
      <c r="P125" s="16">
        <v>2.9860000000000002</v>
      </c>
      <c r="Q125" s="16"/>
      <c r="R125" s="16">
        <v>1.7337</v>
      </c>
      <c r="S125" s="16"/>
      <c r="T125" s="16">
        <v>0.27289999999999998</v>
      </c>
      <c r="U125" s="16"/>
      <c r="V125" s="15">
        <v>1</v>
      </c>
      <c r="W125" s="15"/>
      <c r="X125" s="16">
        <v>2.2999999999999998</v>
      </c>
      <c r="Y125" s="16"/>
      <c r="Z125" s="17">
        <v>1000</v>
      </c>
      <c r="AA125" s="17"/>
      <c r="AB125" s="15" t="s">
        <v>13</v>
      </c>
    </row>
    <row r="126" spans="1:28" s="12" customFormat="1">
      <c r="A126" s="9" t="s">
        <v>160</v>
      </c>
      <c r="B126" s="9" t="s">
        <v>1548</v>
      </c>
      <c r="C126" s="9" t="s">
        <v>1549</v>
      </c>
      <c r="D126" s="7">
        <v>47</v>
      </c>
      <c r="E126" s="9" t="s">
        <v>172</v>
      </c>
      <c r="F126" s="7" t="s">
        <v>1337</v>
      </c>
      <c r="G126" s="7">
        <v>53.7</v>
      </c>
      <c r="H126" s="9" t="s">
        <v>173</v>
      </c>
      <c r="I126" s="9" t="s">
        <v>175</v>
      </c>
      <c r="J126" s="7">
        <v>2</v>
      </c>
      <c r="K126" s="7">
        <v>1029.9866999999999</v>
      </c>
      <c r="L126" s="7" t="str">
        <f>HYPERLINK("http://ms.phosphosite.org:5080/cgi-bin/plot-msms.cgi?MassType=1&amp;NumAxis=1&amp;Mod7=184&amp;Mod20=147&amp;Pep=VGSSNFRGGLGGGYGGASGMGGI&amp;Dta=/var/www/html/dta/yong/23616.13742.2.dta&amp;Global_Mod=CS57.0215", "13742")</f>
        <v>13742</v>
      </c>
      <c r="M126" s="7" t="str">
        <f>HYPERLINK("http://ms.phosphosite.org:5080/cgi-bin/plot-msms.cgi?MassType=1&amp;NumAxis=1&amp;Mod7=184&amp;Mod20=147&amp;Pep=VGSSNFRGGLGGGYGGASGMGGI&amp;Dta=/var/www/html/dta/yong/23617.13890.2.dta&amp;Global_Mod=CS57.0215", "13890")</f>
        <v>13890</v>
      </c>
      <c r="N126" s="10">
        <v>65.23</v>
      </c>
      <c r="O126" s="10">
        <v>65.14</v>
      </c>
      <c r="P126" s="10">
        <v>4.6719999999999997</v>
      </c>
      <c r="Q126" s="10">
        <v>5.1079999999999997</v>
      </c>
      <c r="R126" s="10">
        <v>0.95230000000000004</v>
      </c>
      <c r="S126" s="10">
        <v>1.2797000000000001</v>
      </c>
      <c r="T126" s="10">
        <v>0.46500000000000002</v>
      </c>
      <c r="U126" s="10">
        <v>0.48520000000000002</v>
      </c>
      <c r="V126" s="7">
        <v>1</v>
      </c>
      <c r="W126" s="7">
        <v>1</v>
      </c>
      <c r="X126" s="10">
        <v>4.25</v>
      </c>
      <c r="Y126" s="10">
        <v>4.49</v>
      </c>
      <c r="Z126" s="11">
        <v>1000</v>
      </c>
      <c r="AA126" s="11">
        <v>1000</v>
      </c>
      <c r="AB126" s="7" t="s">
        <v>13</v>
      </c>
    </row>
    <row r="127" spans="1:28" s="12" customFormat="1">
      <c r="A127" s="9" t="s">
        <v>160</v>
      </c>
      <c r="B127" s="9" t="s">
        <v>1548</v>
      </c>
      <c r="C127" s="9" t="s">
        <v>1549</v>
      </c>
      <c r="D127" s="7">
        <v>47</v>
      </c>
      <c r="E127" s="9" t="s">
        <v>172</v>
      </c>
      <c r="F127" s="7" t="s">
        <v>1337</v>
      </c>
      <c r="G127" s="7">
        <v>53.7</v>
      </c>
      <c r="H127" s="9" t="s">
        <v>173</v>
      </c>
      <c r="I127" s="9" t="s">
        <v>176</v>
      </c>
      <c r="J127" s="7">
        <v>2</v>
      </c>
      <c r="K127" s="7">
        <v>1165.5633</v>
      </c>
      <c r="L127" s="7" t="str">
        <f>HYPERLINK("http://ms.phosphosite.org:5080/cgi-bin/plot-msms.cgi?MassType=1&amp;NumAxis=1&amp;Mod7=184&amp;Mod20=147&amp;Pep=VGSSNFRGGLGGGYGGASGMGGITAV&amp;Dta=/var/www/html/dta/yong/23616.15517.2.dta&amp;Global_Mod=CS57.0215", "15517")</f>
        <v>15517</v>
      </c>
      <c r="M127" s="7" t="str">
        <f>HYPERLINK("http://ms.phosphosite.org:5080/cgi-bin/plot-msms.cgi?MassType=1&amp;NumAxis=1&amp;Mod7=184&amp;Mod20=147&amp;Pep=VGSSNFRGGLGGGYGGASGMGGITAV&amp;Dta=/var/www/html/dta/yong/23617.15690.2.dta&amp;Global_Mod=CS57.0215", "15690")</f>
        <v>15690</v>
      </c>
      <c r="N127" s="10">
        <v>72.89</v>
      </c>
      <c r="O127" s="10">
        <v>72.8</v>
      </c>
      <c r="P127" s="10">
        <v>4.3360000000000003</v>
      </c>
      <c r="Q127" s="10">
        <v>4.8650000000000002</v>
      </c>
      <c r="R127" s="10">
        <v>1.5233000000000001</v>
      </c>
      <c r="S127" s="10">
        <v>1.3347</v>
      </c>
      <c r="T127" s="10">
        <v>0.47739999999999999</v>
      </c>
      <c r="U127" s="10">
        <v>0.48099999999999998</v>
      </c>
      <c r="V127" s="7">
        <v>1</v>
      </c>
      <c r="W127" s="7">
        <v>1</v>
      </c>
      <c r="X127" s="10">
        <v>4.16</v>
      </c>
      <c r="Y127" s="10">
        <v>4.3600000000000003</v>
      </c>
      <c r="Z127" s="11">
        <v>1000</v>
      </c>
      <c r="AA127" s="11">
        <v>1000</v>
      </c>
      <c r="AB127" s="7" t="s">
        <v>13</v>
      </c>
    </row>
    <row r="128" spans="1:28" s="12" customFormat="1">
      <c r="A128" s="9" t="s">
        <v>160</v>
      </c>
      <c r="B128" s="9" t="s">
        <v>1548</v>
      </c>
      <c r="C128" s="9" t="s">
        <v>1549</v>
      </c>
      <c r="D128" s="7">
        <v>47</v>
      </c>
      <c r="E128" s="9" t="s">
        <v>172</v>
      </c>
      <c r="F128" s="7" t="s">
        <v>1337</v>
      </c>
      <c r="G128" s="7">
        <v>53.7</v>
      </c>
      <c r="H128" s="9" t="s">
        <v>173</v>
      </c>
      <c r="I128" s="9" t="s">
        <v>176</v>
      </c>
      <c r="J128" s="7">
        <v>2</v>
      </c>
      <c r="K128" s="7">
        <v>1165.5633</v>
      </c>
      <c r="L128" s="7" t="str">
        <f>HYPERLINK("http://ms.phosphosite.org:5080/cgi-bin/plot-msms.cgi?MassType=1&amp;NumAxis=1&amp;Mod7=184&amp;Mod20=147&amp;Pep=VGSSNFRGGLGGGYGGASGMGGITAV&amp;Dta=/var/www/html/dta/yong/23616.15643.2.dta&amp;Global_Mod=CS57.0215", "15643")</f>
        <v>15643</v>
      </c>
      <c r="M128" s="7"/>
      <c r="N128" s="10">
        <v>73.42</v>
      </c>
      <c r="O128" s="10"/>
      <c r="P128" s="10">
        <v>4.5709999999999997</v>
      </c>
      <c r="Q128" s="10"/>
      <c r="R128" s="10">
        <v>1.5639000000000001</v>
      </c>
      <c r="S128" s="10"/>
      <c r="T128" s="10">
        <v>0.52190000000000003</v>
      </c>
      <c r="U128" s="10"/>
      <c r="V128" s="7">
        <v>1</v>
      </c>
      <c r="W128" s="7"/>
      <c r="X128" s="10">
        <v>4.4800000000000004</v>
      </c>
      <c r="Y128" s="10"/>
      <c r="Z128" s="11">
        <v>1000</v>
      </c>
      <c r="AA128" s="11"/>
      <c r="AB128" s="7" t="s">
        <v>13</v>
      </c>
    </row>
    <row r="129" spans="1:28" s="12" customFormat="1">
      <c r="A129" s="9" t="s">
        <v>160</v>
      </c>
      <c r="B129" s="9" t="s">
        <v>1548</v>
      </c>
      <c r="C129" s="9" t="s">
        <v>1549</v>
      </c>
      <c r="D129" s="7">
        <v>47</v>
      </c>
      <c r="E129" s="9" t="s">
        <v>172</v>
      </c>
      <c r="F129" s="7" t="s">
        <v>1337</v>
      </c>
      <c r="G129" s="7">
        <v>53.7</v>
      </c>
      <c r="H129" s="9" t="s">
        <v>173</v>
      </c>
      <c r="I129" s="9" t="s">
        <v>177</v>
      </c>
      <c r="J129" s="7">
        <v>2</v>
      </c>
      <c r="K129" s="7">
        <v>1157.5659000000001</v>
      </c>
      <c r="L129" s="7" t="str">
        <f>HYPERLINK("http://ms.phosphosite.org:5080/cgi-bin/plot-msms.cgi?MassType=1&amp;NumAxis=1&amp;Mod7=184&amp;Pep=VGSSNFRGGLGGGYGGASGMGGITAV&amp;Dta=/var/www/html/dta/yong/23616.18318.2.dta&amp;Global_Mod=CS57.0215", "18318")</f>
        <v>18318</v>
      </c>
      <c r="M129" s="7" t="str">
        <f>HYPERLINK("http://ms.phosphosite.org:5080/cgi-bin/plot-msms.cgi?MassType=1&amp;NumAxis=1&amp;Mod7=184&amp;Pep=VGSSNFRGGLGGGYGGASGMGGITAV&amp;Dta=/var/www/html/dta/yong/23617.18492.2.dta&amp;Global_Mod=CS57.0215", "18492")</f>
        <v>18492</v>
      </c>
      <c r="N129" s="10">
        <v>84.69</v>
      </c>
      <c r="O129" s="10">
        <v>84.65</v>
      </c>
      <c r="P129" s="10">
        <v>4.383</v>
      </c>
      <c r="Q129" s="10">
        <v>4.7480000000000002</v>
      </c>
      <c r="R129" s="10">
        <v>1.3746</v>
      </c>
      <c r="S129" s="10">
        <v>2.0516999999999999</v>
      </c>
      <c r="T129" s="10">
        <v>0.41370000000000001</v>
      </c>
      <c r="U129" s="10">
        <v>0.437</v>
      </c>
      <c r="V129" s="7">
        <v>1</v>
      </c>
      <c r="W129" s="7">
        <v>1</v>
      </c>
      <c r="X129" s="10">
        <v>3.82</v>
      </c>
      <c r="Y129" s="10">
        <v>4.04</v>
      </c>
      <c r="Z129" s="11">
        <v>1000</v>
      </c>
      <c r="AA129" s="11">
        <v>1000</v>
      </c>
      <c r="AB129" s="7" t="s">
        <v>13</v>
      </c>
    </row>
    <row r="130" spans="1:28" s="12" customFormat="1">
      <c r="A130" s="9" t="s">
        <v>160</v>
      </c>
      <c r="B130" s="9" t="s">
        <v>1548</v>
      </c>
      <c r="C130" s="9" t="s">
        <v>1549</v>
      </c>
      <c r="D130" s="7">
        <v>47</v>
      </c>
      <c r="E130" s="9" t="s">
        <v>172</v>
      </c>
      <c r="F130" s="7" t="s">
        <v>1337</v>
      </c>
      <c r="G130" s="7">
        <v>53.7</v>
      </c>
      <c r="H130" s="9" t="s">
        <v>173</v>
      </c>
      <c r="I130" s="9" t="s">
        <v>174</v>
      </c>
      <c r="J130" s="7">
        <v>2</v>
      </c>
      <c r="K130" s="7">
        <v>678.33879999999999</v>
      </c>
      <c r="L130" s="7"/>
      <c r="M130" s="7" t="str">
        <f>HYPERLINK("http://ms.phosphosite.org:5080/cgi-bin/plot-msms.cgi?MassType=1&amp;NumAxis=1&amp;Mod7=184&amp;Pep=VGSSNFRGGLGGGY&amp;Dta=/var/www/html/dta/yong/23617.11507.2.dta&amp;Global_Mod=CS57.0215", "11507")</f>
        <v>11507</v>
      </c>
      <c r="N130" s="10"/>
      <c r="O130" s="10">
        <v>54.94</v>
      </c>
      <c r="P130" s="10"/>
      <c r="Q130" s="10">
        <v>2.8119999999999998</v>
      </c>
      <c r="R130" s="10"/>
      <c r="S130" s="10">
        <v>0.69130000000000003</v>
      </c>
      <c r="T130" s="10"/>
      <c r="U130" s="10">
        <v>0.36420000000000002</v>
      </c>
      <c r="V130" s="7"/>
      <c r="W130" s="7">
        <v>1</v>
      </c>
      <c r="X130" s="10"/>
      <c r="Y130" s="10">
        <v>3.23</v>
      </c>
      <c r="Z130" s="11"/>
      <c r="AA130" s="11">
        <v>1000</v>
      </c>
      <c r="AB130" s="7" t="s">
        <v>13</v>
      </c>
    </row>
    <row r="131" spans="1:28" s="12" customFormat="1">
      <c r="A131" s="9" t="s">
        <v>160</v>
      </c>
      <c r="B131" s="9" t="s">
        <v>1548</v>
      </c>
      <c r="C131" s="9" t="s">
        <v>1549</v>
      </c>
      <c r="D131" s="7">
        <v>47</v>
      </c>
      <c r="E131" s="9" t="s">
        <v>172</v>
      </c>
      <c r="F131" s="7" t="s">
        <v>1337</v>
      </c>
      <c r="G131" s="7">
        <v>53.7</v>
      </c>
      <c r="H131" s="9" t="s">
        <v>173</v>
      </c>
      <c r="I131" s="9" t="s">
        <v>175</v>
      </c>
      <c r="J131" s="7">
        <v>3</v>
      </c>
      <c r="K131" s="7">
        <v>686.99360000000001</v>
      </c>
      <c r="L131" s="7"/>
      <c r="M131" s="7" t="str">
        <f>HYPERLINK("http://ms.phosphosite.org:5080/cgi-bin/plot-msms.cgi?MassType=1&amp;NumAxis=1&amp;Mod7=184&amp;Mod20=147&amp;Pep=VGSSNFRGGLGGGYGGASGMGGI&amp;Dta=/var/www/html/dta/yong/23617.13885.3.dta&amp;Global_Mod=CS57.0215", "13885")</f>
        <v>13885</v>
      </c>
      <c r="N131" s="10"/>
      <c r="O131" s="10">
        <v>65.12</v>
      </c>
      <c r="P131" s="10"/>
      <c r="Q131" s="10">
        <v>3.0649999999999999</v>
      </c>
      <c r="R131" s="10"/>
      <c r="S131" s="10">
        <v>0.26829999999999998</v>
      </c>
      <c r="T131" s="10"/>
      <c r="U131" s="10">
        <v>0.19700000000000001</v>
      </c>
      <c r="V131" s="7"/>
      <c r="W131" s="7">
        <v>1</v>
      </c>
      <c r="X131" s="10"/>
      <c r="Y131" s="10">
        <v>2.29</v>
      </c>
      <c r="Z131" s="11"/>
      <c r="AA131" s="11">
        <v>1000</v>
      </c>
      <c r="AB131" s="7" t="s">
        <v>13</v>
      </c>
    </row>
    <row r="132" spans="1:28" s="12" customFormat="1">
      <c r="A132" s="18" t="s">
        <v>160</v>
      </c>
      <c r="B132" s="9" t="s">
        <v>1548</v>
      </c>
      <c r="C132" s="9" t="s">
        <v>1549</v>
      </c>
      <c r="D132" s="19"/>
      <c r="E132" s="18" t="s">
        <v>172</v>
      </c>
      <c r="F132" s="15" t="s">
        <v>1337</v>
      </c>
      <c r="G132" s="19">
        <v>53.7</v>
      </c>
      <c r="H132" s="18"/>
      <c r="I132" s="18" t="s">
        <v>178</v>
      </c>
      <c r="J132" s="19">
        <v>2</v>
      </c>
      <c r="K132" s="19">
        <v>1022.9789</v>
      </c>
      <c r="L132" s="19" t="str">
        <f>HYPERLINK("http://ms.phosphosite.org:5080/cgi-bin/plot-msms.cgi?MassType=1&amp;NumAxis=1&amp;Mod7=170&amp;Mod20=147&amp;Pep=VGSSNFRGGLGGGYGGASGMGGI&amp;Dta=/var/www/html/dta/yong/23616.13566.2.dta&amp;Global_Mod=CS57.0215", "13566")</f>
        <v>13566</v>
      </c>
      <c r="M132" s="19"/>
      <c r="N132" s="20">
        <v>64.459999999999994</v>
      </c>
      <c r="O132" s="20"/>
      <c r="P132" s="20">
        <v>4.3529999999999998</v>
      </c>
      <c r="Q132" s="20"/>
      <c r="R132" s="20">
        <v>1.4993000000000001</v>
      </c>
      <c r="S132" s="20"/>
      <c r="T132" s="20">
        <v>0.50680000000000003</v>
      </c>
      <c r="U132" s="20"/>
      <c r="V132" s="19">
        <v>1</v>
      </c>
      <c r="W132" s="19"/>
      <c r="X132" s="20">
        <v>4.37</v>
      </c>
      <c r="Y132" s="20"/>
      <c r="Z132" s="21">
        <v>1000</v>
      </c>
      <c r="AA132" s="21"/>
      <c r="AB132" s="19" t="s">
        <v>13</v>
      </c>
    </row>
    <row r="133" spans="1:28" s="12" customFormat="1">
      <c r="A133" s="18" t="s">
        <v>160</v>
      </c>
      <c r="B133" s="9" t="s">
        <v>1548</v>
      </c>
      <c r="C133" s="9" t="s">
        <v>1549</v>
      </c>
      <c r="D133" s="19"/>
      <c r="E133" s="18" t="s">
        <v>172</v>
      </c>
      <c r="F133" s="15" t="s">
        <v>1337</v>
      </c>
      <c r="G133" s="19">
        <v>53.7</v>
      </c>
      <c r="H133" s="18"/>
      <c r="I133" s="18" t="s">
        <v>179</v>
      </c>
      <c r="J133" s="19">
        <v>2</v>
      </c>
      <c r="K133" s="19">
        <v>1158.5554999999999</v>
      </c>
      <c r="L133" s="19" t="str">
        <f>HYPERLINK("http://ms.phosphosite.org:5080/cgi-bin/plot-msms.cgi?MassType=1&amp;NumAxis=1&amp;Mod7=170&amp;Mod20=147&amp;Pep=VGSSNFRGGLGGGYGGASGMGGITAV&amp;Dta=/var/www/html/dta/yong/23616.15333.2.dta&amp;Global_Mod=CS57.0215", "15333")</f>
        <v>15333</v>
      </c>
      <c r="M133" s="19" t="str">
        <f>HYPERLINK("http://ms.phosphosite.org:5080/cgi-bin/plot-msms.cgi?MassType=1&amp;NumAxis=1&amp;Mod7=170&amp;Mod20=147&amp;Pep=VGSSNFRGGLGGGYGGASGMGGITAV&amp;Dta=/var/www/html/dta/yong/23617.15511.2.dta&amp;Global_Mod=CS57.0215", "15511")</f>
        <v>15511</v>
      </c>
      <c r="N133" s="20">
        <v>72.150000000000006</v>
      </c>
      <c r="O133" s="20">
        <v>72.09</v>
      </c>
      <c r="P133" s="20">
        <v>4.4610000000000003</v>
      </c>
      <c r="Q133" s="20">
        <v>4.0629999999999997</v>
      </c>
      <c r="R133" s="20">
        <v>0.51739999999999997</v>
      </c>
      <c r="S133" s="20">
        <v>0.66759999999999997</v>
      </c>
      <c r="T133" s="20">
        <v>0.40939999999999999</v>
      </c>
      <c r="U133" s="20">
        <v>0.44280000000000003</v>
      </c>
      <c r="V133" s="19">
        <v>1</v>
      </c>
      <c r="W133" s="19">
        <v>1</v>
      </c>
      <c r="X133" s="20">
        <v>3.86</v>
      </c>
      <c r="Y133" s="20">
        <v>3.93</v>
      </c>
      <c r="Z133" s="21">
        <v>1000</v>
      </c>
      <c r="AA133" s="21">
        <v>1000</v>
      </c>
      <c r="AB133" s="19" t="s">
        <v>13</v>
      </c>
    </row>
    <row r="134" spans="1:28" s="12" customFormat="1">
      <c r="A134" s="18" t="s">
        <v>160</v>
      </c>
      <c r="B134" s="9" t="s">
        <v>1548</v>
      </c>
      <c r="C134" s="9" t="s">
        <v>1549</v>
      </c>
      <c r="D134" s="19"/>
      <c r="E134" s="18" t="s">
        <v>172</v>
      </c>
      <c r="F134" s="15" t="s">
        <v>1337</v>
      </c>
      <c r="G134" s="19">
        <v>53.7</v>
      </c>
      <c r="H134" s="18"/>
      <c r="I134" s="18" t="s">
        <v>179</v>
      </c>
      <c r="J134" s="19">
        <v>2</v>
      </c>
      <c r="K134" s="19">
        <v>1158.5554999999999</v>
      </c>
      <c r="L134" s="19" t="str">
        <f>HYPERLINK("http://ms.phosphosite.org:5080/cgi-bin/plot-msms.cgi?MassType=1&amp;NumAxis=1&amp;Mod7=170&amp;Mod20=147&amp;Pep=VGSSNFRGGLGGGYGGASGMGGITAV&amp;Dta=/var/www/html/dta/yong/23616.15350.2.dta&amp;Global_Mod=CS57.0215", "15350")</f>
        <v>15350</v>
      </c>
      <c r="M134" s="19" t="str">
        <f>HYPERLINK("http://ms.phosphosite.org:5080/cgi-bin/plot-msms.cgi?MassType=1&amp;NumAxis=1&amp;Mod7=170&amp;Mod20=147&amp;Pep=VGSSNFRGGLGGGYGGASGMGGITAV&amp;Dta=/var/www/html/dta/yong/23617.15566.2.dta&amp;Global_Mod=CS57.0215", "15566")</f>
        <v>15566</v>
      </c>
      <c r="N134" s="20">
        <v>72.22</v>
      </c>
      <c r="O134" s="20">
        <v>72.290000000000006</v>
      </c>
      <c r="P134" s="20">
        <v>4.8639999999999999</v>
      </c>
      <c r="Q134" s="20">
        <v>4.4000000000000004</v>
      </c>
      <c r="R134" s="20">
        <v>0.51739999999999997</v>
      </c>
      <c r="S134" s="20">
        <v>1.6291</v>
      </c>
      <c r="T134" s="20">
        <v>0.48039999999999999</v>
      </c>
      <c r="U134" s="20">
        <v>0.43140000000000001</v>
      </c>
      <c r="V134" s="19">
        <v>1</v>
      </c>
      <c r="W134" s="19">
        <v>1</v>
      </c>
      <c r="X134" s="20">
        <v>4.38</v>
      </c>
      <c r="Y134" s="20">
        <v>3.92</v>
      </c>
      <c r="Z134" s="21">
        <v>1000</v>
      </c>
      <c r="AA134" s="21">
        <v>1000</v>
      </c>
      <c r="AB134" s="19" t="s">
        <v>13</v>
      </c>
    </row>
    <row r="135" spans="1:28">
      <c r="A135" s="18" t="s">
        <v>160</v>
      </c>
      <c r="B135" s="9" t="s">
        <v>1548</v>
      </c>
      <c r="C135" s="9" t="s">
        <v>1549</v>
      </c>
      <c r="D135" s="19"/>
      <c r="E135" s="18" t="s">
        <v>172</v>
      </c>
      <c r="F135" s="15" t="s">
        <v>1337</v>
      </c>
      <c r="G135" s="19">
        <v>53.7</v>
      </c>
      <c r="H135" s="18"/>
      <c r="I135" s="18" t="s">
        <v>179</v>
      </c>
      <c r="J135" s="19">
        <v>2</v>
      </c>
      <c r="K135" s="19">
        <v>1158.5554999999999</v>
      </c>
      <c r="L135" s="19"/>
      <c r="M135" s="19" t="str">
        <f>HYPERLINK("http://ms.phosphosite.org:5080/cgi-bin/plot-msms.cgi?MassType=1&amp;NumAxis=1&amp;Mod7=170&amp;Mod20=147&amp;Pep=VGSSNFRGGLGGGYGGASGMGGITAV&amp;Dta=/var/www/html/dta/yong/23617.15495.2.dta&amp;Global_Mod=CS57.0215", "15495")</f>
        <v>15495</v>
      </c>
      <c r="N135" s="20"/>
      <c r="O135" s="20">
        <v>72.03</v>
      </c>
      <c r="P135" s="20"/>
      <c r="Q135" s="20">
        <v>4.8380000000000001</v>
      </c>
      <c r="R135" s="20"/>
      <c r="S135" s="20">
        <v>0.60570000000000002</v>
      </c>
      <c r="T135" s="20"/>
      <c r="U135" s="20">
        <v>0.4123</v>
      </c>
      <c r="V135" s="19"/>
      <c r="W135" s="19">
        <v>1</v>
      </c>
      <c r="X135" s="20"/>
      <c r="Y135" s="20">
        <v>4</v>
      </c>
      <c r="Z135" s="21"/>
      <c r="AA135" s="21">
        <v>1000</v>
      </c>
      <c r="AB135" s="19" t="s">
        <v>13</v>
      </c>
    </row>
    <row r="136" spans="1:28" s="18" customFormat="1">
      <c r="A136" s="9" t="s">
        <v>160</v>
      </c>
      <c r="B136" s="9" t="s">
        <v>1550</v>
      </c>
      <c r="C136" s="9" t="s">
        <v>1550</v>
      </c>
      <c r="D136" s="7">
        <v>165</v>
      </c>
      <c r="E136" s="9" t="s">
        <v>180</v>
      </c>
      <c r="F136" s="7" t="s">
        <v>1338</v>
      </c>
      <c r="G136" s="7">
        <v>77.099999999999994</v>
      </c>
      <c r="H136" s="9" t="s">
        <v>181</v>
      </c>
      <c r="I136" s="9" t="s">
        <v>182</v>
      </c>
      <c r="J136" s="7">
        <v>3</v>
      </c>
      <c r="K136" s="7">
        <v>580.30759999999998</v>
      </c>
      <c r="L136" s="7" t="str">
        <f>HYPERLINK("http://ms.phosphosite.org:5080/cgi-bin/plot-msms.cgi?MassType=1&amp;NumAxis=1&amp;Mod13=184&amp;Pep=SSLAEASDPGPPRASLR&amp;Dta=/var/www/html/dta/yong/23616.8499.3.dta&amp;Global_Mod=CS57.0215", "8499")</f>
        <v>8499</v>
      </c>
      <c r="M136" s="7"/>
      <c r="N136" s="10">
        <v>42.79</v>
      </c>
      <c r="O136" s="10"/>
      <c r="P136" s="10">
        <v>2.4809999999999999</v>
      </c>
      <c r="Q136" s="10"/>
      <c r="R136" s="10">
        <v>0.56040000000000001</v>
      </c>
      <c r="S136" s="10"/>
      <c r="T136" s="10">
        <v>0.1211</v>
      </c>
      <c r="U136" s="10"/>
      <c r="V136" s="7">
        <v>1</v>
      </c>
      <c r="W136" s="7"/>
      <c r="X136" s="10">
        <v>1.1399999999999999</v>
      </c>
      <c r="Y136" s="10"/>
      <c r="Z136" s="11">
        <v>1000</v>
      </c>
      <c r="AA136" s="11"/>
      <c r="AB136" s="7" t="s">
        <v>13</v>
      </c>
    </row>
    <row r="137" spans="1:28" s="18" customFormat="1">
      <c r="A137" s="9" t="s">
        <v>160</v>
      </c>
      <c r="B137" s="9" t="s">
        <v>1551</v>
      </c>
      <c r="C137" s="9" t="s">
        <v>1552</v>
      </c>
      <c r="D137" s="7">
        <v>196</v>
      </c>
      <c r="E137" s="9" t="s">
        <v>183</v>
      </c>
      <c r="F137" s="7" t="s">
        <v>1339</v>
      </c>
      <c r="G137" s="7">
        <v>22.4</v>
      </c>
      <c r="H137" s="9" t="s">
        <v>184</v>
      </c>
      <c r="I137" s="9" t="s">
        <v>185</v>
      </c>
      <c r="J137" s="7">
        <v>2</v>
      </c>
      <c r="K137" s="7">
        <v>899.4348</v>
      </c>
      <c r="L137" s="7" t="str">
        <f>HYPERLINK("http://ms.phosphosite.org:5080/cgi-bin/plot-msms.cgi?MassType=1&amp;NumAxis=1&amp;Mod7=147&amp;Mod12=147&amp;Mod14=184&amp;Pep=GASQAGMTGYGMPRQIL&amp;Dta=/var/www/html/dta/yong/23616.11671.2.dta&amp;Global_Mod=CS57.0215", "11671")</f>
        <v>11671</v>
      </c>
      <c r="M137" s="7" t="str">
        <f>HYPERLINK("http://ms.phosphosite.org:5080/cgi-bin/plot-msms.cgi?MassType=1&amp;NumAxis=1&amp;Mod7=147&amp;Mod12=147&amp;Mod14=184&amp;Pep=GASQAGMTGYGMPRQIL&amp;Dta=/var/www/html/dta/yong/23617.11810.2.dta&amp;Global_Mod=CS57.0215", "11810")</f>
        <v>11810</v>
      </c>
      <c r="N137" s="10">
        <v>56.17</v>
      </c>
      <c r="O137" s="10">
        <v>56.22</v>
      </c>
      <c r="P137" s="10">
        <v>3.1869999999999998</v>
      </c>
      <c r="Q137" s="10">
        <v>3.7080000000000002</v>
      </c>
      <c r="R137" s="10">
        <v>1.7363</v>
      </c>
      <c r="S137" s="10">
        <v>1.2606999999999999</v>
      </c>
      <c r="T137" s="10">
        <v>0.30680000000000002</v>
      </c>
      <c r="U137" s="10">
        <v>0.36990000000000001</v>
      </c>
      <c r="V137" s="7">
        <v>1</v>
      </c>
      <c r="W137" s="7">
        <v>1</v>
      </c>
      <c r="X137" s="10">
        <v>2.37</v>
      </c>
      <c r="Y137" s="10">
        <v>2.96</v>
      </c>
      <c r="Z137" s="11">
        <v>1000</v>
      </c>
      <c r="AA137" s="11">
        <v>1000</v>
      </c>
      <c r="AB137" s="7" t="s">
        <v>13</v>
      </c>
    </row>
    <row r="138" spans="1:28" s="18" customFormat="1">
      <c r="A138" s="9" t="s">
        <v>160</v>
      </c>
      <c r="B138" s="9" t="s">
        <v>1551</v>
      </c>
      <c r="C138" s="9" t="s">
        <v>1552</v>
      </c>
      <c r="D138" s="7">
        <v>196</v>
      </c>
      <c r="E138" s="9" t="s">
        <v>183</v>
      </c>
      <c r="F138" s="7" t="s">
        <v>1339</v>
      </c>
      <c r="G138" s="7">
        <v>22.4</v>
      </c>
      <c r="H138" s="9" t="s">
        <v>184</v>
      </c>
      <c r="I138" s="9" t="s">
        <v>185</v>
      </c>
      <c r="J138" s="7">
        <v>2</v>
      </c>
      <c r="K138" s="7">
        <v>899.4348</v>
      </c>
      <c r="L138" s="7" t="str">
        <f>HYPERLINK("http://ms.phosphosite.org:5080/cgi-bin/plot-msms.cgi?MassType=1&amp;NumAxis=1&amp;Mod7=147&amp;Mod12=147&amp;Mod14=184&amp;Pep=GASQAGMTGYGMPRQIL&amp;Dta=/var/www/html/dta/yong/23616.11690.2.dta&amp;Global_Mod=CS57.0215", "11690")</f>
        <v>11690</v>
      </c>
      <c r="M138" s="7" t="str">
        <f>HYPERLINK("http://ms.phosphosite.org:5080/cgi-bin/plot-msms.cgi?MassType=1&amp;NumAxis=1&amp;Mod7=147&amp;Mod12=147&amp;Mod14=184&amp;Pep=GASQAGMTGYGMPRQIL&amp;Dta=/var/www/html/dta/yong/23617.11794.2.dta&amp;Global_Mod=CS57.0215", "11794")</f>
        <v>11794</v>
      </c>
      <c r="N138" s="10">
        <v>56.26</v>
      </c>
      <c r="O138" s="10">
        <v>56.15</v>
      </c>
      <c r="P138" s="10">
        <v>3.4609999999999999</v>
      </c>
      <c r="Q138" s="10">
        <v>3.47</v>
      </c>
      <c r="R138" s="10">
        <v>1.7826</v>
      </c>
      <c r="S138" s="10">
        <v>0.99709999999999999</v>
      </c>
      <c r="T138" s="10">
        <v>0.41239999999999999</v>
      </c>
      <c r="U138" s="10">
        <v>0.36680000000000001</v>
      </c>
      <c r="V138" s="7">
        <v>1</v>
      </c>
      <c r="W138" s="7">
        <v>1</v>
      </c>
      <c r="X138" s="10">
        <v>3.05</v>
      </c>
      <c r="Y138" s="10">
        <v>2.88</v>
      </c>
      <c r="Z138" s="11">
        <v>1000</v>
      </c>
      <c r="AA138" s="11">
        <v>1000</v>
      </c>
      <c r="AB138" s="7" t="s">
        <v>13</v>
      </c>
    </row>
    <row r="139" spans="1:28" s="18" customFormat="1">
      <c r="A139" s="18" t="s">
        <v>160</v>
      </c>
      <c r="B139" s="18" t="s">
        <v>186</v>
      </c>
      <c r="C139" s="18" t="s">
        <v>186</v>
      </c>
      <c r="D139" s="19"/>
      <c r="E139" s="18" t="s">
        <v>187</v>
      </c>
      <c r="F139" s="15" t="s">
        <v>1340</v>
      </c>
      <c r="G139" s="19">
        <v>269.60000000000002</v>
      </c>
      <c r="I139" s="18" t="s">
        <v>188</v>
      </c>
      <c r="J139" s="19">
        <v>3</v>
      </c>
      <c r="K139" s="19">
        <v>787.04110000000003</v>
      </c>
      <c r="L139" s="19" t="str">
        <f>HYPERLINK("http://ms.phosphosite.org:5080/cgi-bin/plot-msms.cgi?MassType=1&amp;NumAxis=1&amp;Mod2=170&amp;Pep=ERIPEAPAGPPSDFGLFLSDDD&amp;Dta=/var/www/html/dta/yong/23616.8205.3.dta&amp;Global_Mod=CS57.0215", "8205")</f>
        <v>8205</v>
      </c>
      <c r="M139" s="19"/>
      <c r="N139" s="20">
        <v>41.55</v>
      </c>
      <c r="O139" s="20"/>
      <c r="P139" s="20">
        <v>3.0009999999999999</v>
      </c>
      <c r="Q139" s="20"/>
      <c r="R139" s="20">
        <v>1.5811999999999999</v>
      </c>
      <c r="S139" s="20"/>
      <c r="T139" s="20">
        <v>0.12939999999999999</v>
      </c>
      <c r="U139" s="20"/>
      <c r="V139" s="19">
        <v>13</v>
      </c>
      <c r="W139" s="19"/>
      <c r="X139" s="20">
        <v>1.29</v>
      </c>
      <c r="Y139" s="20"/>
      <c r="Z139" s="21">
        <v>1000</v>
      </c>
      <c r="AA139" s="21"/>
      <c r="AB139" s="19" t="s">
        <v>13</v>
      </c>
    </row>
    <row r="140" spans="1:28" s="18" customFormat="1">
      <c r="A140" s="9" t="s">
        <v>160</v>
      </c>
      <c r="B140" s="9" t="s">
        <v>1553</v>
      </c>
      <c r="C140" s="9" t="s">
        <v>1554</v>
      </c>
      <c r="D140" s="7">
        <v>196</v>
      </c>
      <c r="E140" s="9" t="s">
        <v>189</v>
      </c>
      <c r="F140" s="7" t="s">
        <v>1341</v>
      </c>
      <c r="G140" s="7">
        <v>103.5</v>
      </c>
      <c r="H140" s="9" t="s">
        <v>190</v>
      </c>
      <c r="I140" s="9" t="s">
        <v>191</v>
      </c>
      <c r="J140" s="7">
        <v>4</v>
      </c>
      <c r="K140" s="7">
        <v>1366.68</v>
      </c>
      <c r="L140" s="7" t="str">
        <f>HYPERLINK("http://ms.phosphosite.org:5080/cgi-bin/plot-msms.cgi?MassType=1&amp;NumAxis=1&amp;Mod50=184&amp;Pep=SAQSAQSSGSVGSSGISSIGLCALSGPAPAPQSLLPGQSNQAPGVGDCLRQQLGSR&amp;Dta=/var/www/html/dta/yong/23616.24169.4.dta&amp;Global_Mod=CS57.0215", "24169")</f>
        <v>24169</v>
      </c>
      <c r="M140" s="7"/>
      <c r="N140" s="10">
        <v>108.84</v>
      </c>
      <c r="O140" s="10"/>
      <c r="P140" s="10">
        <v>3.5059999999999998</v>
      </c>
      <c r="Q140" s="10"/>
      <c r="R140" s="10">
        <v>0.23530000000000001</v>
      </c>
      <c r="S140" s="10"/>
      <c r="T140" s="10">
        <v>0.15329999999999999</v>
      </c>
      <c r="U140" s="10"/>
      <c r="V140" s="7">
        <v>1</v>
      </c>
      <c r="W140" s="7"/>
      <c r="X140" s="10">
        <v>1.29</v>
      </c>
      <c r="Y140" s="10"/>
      <c r="Z140" s="11">
        <v>1000</v>
      </c>
      <c r="AA140" s="11"/>
      <c r="AB140" s="7" t="s">
        <v>13</v>
      </c>
    </row>
    <row r="141" spans="1:28" s="18" customFormat="1">
      <c r="A141" s="9" t="s">
        <v>160</v>
      </c>
      <c r="B141" s="9" t="s">
        <v>1553</v>
      </c>
      <c r="C141" s="9" t="s">
        <v>1554</v>
      </c>
      <c r="D141" s="7">
        <v>196</v>
      </c>
      <c r="E141" s="9" t="s">
        <v>189</v>
      </c>
      <c r="F141" s="7" t="s">
        <v>1341</v>
      </c>
      <c r="G141" s="7">
        <v>103.5</v>
      </c>
      <c r="H141" s="9" t="s">
        <v>190</v>
      </c>
      <c r="I141" s="9" t="s">
        <v>191</v>
      </c>
      <c r="J141" s="7">
        <v>4</v>
      </c>
      <c r="K141" s="7">
        <v>1366.68</v>
      </c>
      <c r="L141" s="7" t="str">
        <f>HYPERLINK("http://ms.phosphosite.org:5080/cgi-bin/plot-msms.cgi?MassType=1&amp;NumAxis=1&amp;Mod50=184&amp;Pep=SAQSAQSSGSVGSSGISSIGLCALSGPAPAPQSLLPGQSNQAPGVGDCLRQQLGSR&amp;Dta=/var/www/html/dta/yong/23616.24186.4.dta&amp;Global_Mod=CS57.0215", "24186")</f>
        <v>24186</v>
      </c>
      <c r="M141" s="7" t="str">
        <f>HYPERLINK("http://ms.phosphosite.org:5080/cgi-bin/plot-msms.cgi?MassType=1&amp;NumAxis=1&amp;Mod50=184&amp;Pep=SAQSAQSSGSVGSSGISSIGLCALSGPAPAPQSLLPGQSNQAPGVGDCLRQQLGSR&amp;Dta=/var/www/html/dta/yong/23617.24301.4.dta&amp;Global_Mod=CS57.0215", "24301")</f>
        <v>24301</v>
      </c>
      <c r="N141" s="10">
        <v>108.9</v>
      </c>
      <c r="O141" s="10">
        <v>108.81</v>
      </c>
      <c r="P141" s="10">
        <v>4.3390000000000004</v>
      </c>
      <c r="Q141" s="10">
        <v>6.0869999999999997</v>
      </c>
      <c r="R141" s="10">
        <v>0.23530000000000001</v>
      </c>
      <c r="S141" s="10">
        <v>2.5023</v>
      </c>
      <c r="T141" s="10">
        <v>0.3145</v>
      </c>
      <c r="U141" s="10">
        <v>0.53359999999999996</v>
      </c>
      <c r="V141" s="7">
        <v>1</v>
      </c>
      <c r="W141" s="7">
        <v>1</v>
      </c>
      <c r="X141" s="10">
        <v>2.44</v>
      </c>
      <c r="Y141" s="10">
        <v>4.12</v>
      </c>
      <c r="Z141" s="11">
        <v>1000</v>
      </c>
      <c r="AA141" s="11">
        <v>1000</v>
      </c>
      <c r="AB141" s="7" t="s">
        <v>13</v>
      </c>
    </row>
    <row r="142" spans="1:28" s="18" customFormat="1">
      <c r="A142" s="9" t="s">
        <v>160</v>
      </c>
      <c r="B142" s="9" t="s">
        <v>1553</v>
      </c>
      <c r="C142" s="9" t="s">
        <v>1554</v>
      </c>
      <c r="D142" s="7">
        <v>196</v>
      </c>
      <c r="E142" s="9" t="s">
        <v>189</v>
      </c>
      <c r="F142" s="7" t="s">
        <v>1341</v>
      </c>
      <c r="G142" s="7">
        <v>103.5</v>
      </c>
      <c r="H142" s="9" t="s">
        <v>190</v>
      </c>
      <c r="I142" s="9" t="s">
        <v>191</v>
      </c>
      <c r="J142" s="7">
        <v>4</v>
      </c>
      <c r="K142" s="7">
        <v>1366.68</v>
      </c>
      <c r="L142" s="7" t="str">
        <f>HYPERLINK("http://ms.phosphosite.org:5080/cgi-bin/plot-msms.cgi?MassType=1&amp;NumAxis=1&amp;Mod50=184&amp;Pep=SAQSAQSSGSVGSSGISSIGLCALSGPAPAPQSLLPGQSNQAPGVGDCLRQQLGSR&amp;Dta=/var/www/html/dta/yong/23616.24206.4.dta&amp;Global_Mod=CS57.0215", "24206")</f>
        <v>24206</v>
      </c>
      <c r="M142" s="7"/>
      <c r="N142" s="10">
        <v>108.98</v>
      </c>
      <c r="O142" s="10"/>
      <c r="P142" s="10">
        <v>3.524</v>
      </c>
      <c r="Q142" s="10"/>
      <c r="R142" s="10">
        <v>1.8142</v>
      </c>
      <c r="S142" s="10"/>
      <c r="T142" s="10">
        <v>0.15340000000000001</v>
      </c>
      <c r="U142" s="10"/>
      <c r="V142" s="7">
        <v>1</v>
      </c>
      <c r="W142" s="7"/>
      <c r="X142" s="10">
        <v>1.24</v>
      </c>
      <c r="Y142" s="10"/>
      <c r="Z142" s="11">
        <v>1000</v>
      </c>
      <c r="AA142" s="11"/>
      <c r="AB142" s="7" t="s">
        <v>13</v>
      </c>
    </row>
    <row r="143" spans="1:28">
      <c r="A143" s="3" t="s">
        <v>160</v>
      </c>
      <c r="B143" s="9" t="s">
        <v>1553</v>
      </c>
      <c r="C143" s="9" t="s">
        <v>1554</v>
      </c>
      <c r="D143" s="4">
        <v>202</v>
      </c>
      <c r="E143" s="3" t="s">
        <v>189</v>
      </c>
      <c r="F143" s="7" t="s">
        <v>1341</v>
      </c>
      <c r="G143" s="4">
        <v>103.5</v>
      </c>
      <c r="H143" s="3" t="s">
        <v>190</v>
      </c>
      <c r="I143" s="3" t="s">
        <v>192</v>
      </c>
      <c r="J143" s="4">
        <v>4</v>
      </c>
      <c r="K143" s="4">
        <v>1366.68</v>
      </c>
      <c r="L143" s="4"/>
      <c r="M143" s="4" t="str">
        <f>HYPERLINK("http://ms.phosphosite.org:5080/cgi-bin/plot-msms.cgi?MassType=1&amp;NumAxis=1&amp;Mod56=184&amp;Pep=SAQSAQSSGSVGSSGISSIGLCALSGPAPAPQSLLPGQSNQAPGVGDCLRQQLGSR&amp;Dta=/var/www/html/dta/yong/23617.24282.4.dta&amp;Global_Mod=CS57.0215", "24282")</f>
        <v>24282</v>
      </c>
      <c r="N143" s="5"/>
      <c r="O143" s="5">
        <v>108.74</v>
      </c>
      <c r="P143" s="5"/>
      <c r="Q143" s="5">
        <v>4.6029999999999998</v>
      </c>
      <c r="R143" s="5"/>
      <c r="S143" s="5">
        <v>2.5023</v>
      </c>
      <c r="T143" s="5"/>
      <c r="U143" s="5">
        <v>0.39369999999999999</v>
      </c>
      <c r="V143" s="4"/>
      <c r="W143" s="4">
        <v>3</v>
      </c>
      <c r="X143" s="5"/>
      <c r="Y143" s="5">
        <v>2.88</v>
      </c>
      <c r="Z143" s="6"/>
      <c r="AA143" s="6">
        <v>1000</v>
      </c>
      <c r="AB143" s="4" t="s">
        <v>13</v>
      </c>
    </row>
    <row r="144" spans="1:28" s="12" customFormat="1">
      <c r="A144" s="3" t="s">
        <v>193</v>
      </c>
      <c r="B144" s="3" t="s">
        <v>1555</v>
      </c>
      <c r="C144" s="3" t="s">
        <v>1556</v>
      </c>
      <c r="D144" s="4" t="s">
        <v>1511</v>
      </c>
      <c r="E144" s="3" t="s">
        <v>194</v>
      </c>
      <c r="F144" s="7" t="s">
        <v>1342</v>
      </c>
      <c r="G144" s="4">
        <v>241.9</v>
      </c>
      <c r="H144" s="3" t="s">
        <v>195</v>
      </c>
      <c r="I144" s="3" t="s">
        <v>197</v>
      </c>
      <c r="J144" s="4">
        <v>4</v>
      </c>
      <c r="K144" s="4">
        <v>1191.2951</v>
      </c>
      <c r="L144" s="4" t="str">
        <f>HYPERLINK("http://ms.phosphosite.org:5080/cgi-bin/plot-msms.cgi?MassType=1&amp;NumAxis=1&amp;Mod1=147&amp;Mod40=184&amp;Mod43=147&amp;Pep=MRPQPYGGTNPYSQQQGPPSGPQQGHGYPGQPYGSQTPQRYPM&amp;Dta=/var/www/html/dta/yong/23616.11140.4.dta&amp;Global_Mod=CS57.0215", "11140")</f>
        <v>11140</v>
      </c>
      <c r="M144" s="4"/>
      <c r="N144" s="5">
        <v>53.89</v>
      </c>
      <c r="O144" s="5"/>
      <c r="P144" s="5">
        <v>4.1440000000000001</v>
      </c>
      <c r="Q144" s="5"/>
      <c r="R144" s="5">
        <v>0.65820000000000001</v>
      </c>
      <c r="S144" s="5"/>
      <c r="T144" s="5">
        <v>0.21049999999999999</v>
      </c>
      <c r="U144" s="5"/>
      <c r="V144" s="4">
        <v>1</v>
      </c>
      <c r="W144" s="4"/>
      <c r="X144" s="5">
        <v>2.09</v>
      </c>
      <c r="Y144" s="5"/>
      <c r="Z144" s="6">
        <v>71</v>
      </c>
      <c r="AA144" s="6"/>
      <c r="AB144" s="4" t="s">
        <v>13</v>
      </c>
    </row>
    <row r="145" spans="1:28" s="12" customFormat="1">
      <c r="A145" s="3" t="s">
        <v>193</v>
      </c>
      <c r="B145" s="3" t="s">
        <v>1555</v>
      </c>
      <c r="C145" s="3" t="s">
        <v>1556</v>
      </c>
      <c r="D145" s="4">
        <v>429</v>
      </c>
      <c r="E145" s="3" t="s">
        <v>194</v>
      </c>
      <c r="F145" s="7" t="s">
        <v>1342</v>
      </c>
      <c r="G145" s="4">
        <v>241.9</v>
      </c>
      <c r="H145" s="3" t="s">
        <v>195</v>
      </c>
      <c r="I145" s="3" t="s">
        <v>198</v>
      </c>
      <c r="J145" s="4">
        <v>4</v>
      </c>
      <c r="K145" s="4">
        <v>1216.557</v>
      </c>
      <c r="L145" s="4" t="str">
        <f>HYPERLINK("http://ms.phosphosite.org:5080/cgi-bin/plot-msms.cgi?MassType=1&amp;NumAxis=1&amp;Mod1=147&amp;Mod40=184&amp;Mod43=147&amp;Pep=MRPQPYGGTNPYSQQQGPPSGPQQGHGYPGQPYGSQTPQRYPMT&amp;Dta=/var/www/html/dta/yong/23616.11220.4.dta&amp;Global_Mod=CS57.0215", "11220")</f>
        <v>11220</v>
      </c>
      <c r="M145" s="4"/>
      <c r="N145" s="5">
        <v>54.21</v>
      </c>
      <c r="O145" s="5"/>
      <c r="P145" s="5">
        <v>5.0490000000000004</v>
      </c>
      <c r="Q145" s="5"/>
      <c r="R145" s="5">
        <v>1.2114</v>
      </c>
      <c r="S145" s="5"/>
      <c r="T145" s="5">
        <v>0.24679999999999999</v>
      </c>
      <c r="U145" s="5"/>
      <c r="V145" s="4">
        <v>1</v>
      </c>
      <c r="W145" s="4"/>
      <c r="X145" s="5">
        <v>2.52</v>
      </c>
      <c r="Y145" s="5"/>
      <c r="Z145" s="6">
        <v>62</v>
      </c>
      <c r="AA145" s="6"/>
      <c r="AB145" s="4" t="s">
        <v>13</v>
      </c>
    </row>
    <row r="146" spans="1:28" s="12" customFormat="1">
      <c r="A146" s="3" t="s">
        <v>193</v>
      </c>
      <c r="B146" s="3" t="s">
        <v>1555</v>
      </c>
      <c r="C146" s="3" t="s">
        <v>1556</v>
      </c>
      <c r="D146" s="4">
        <v>429</v>
      </c>
      <c r="E146" s="3" t="s">
        <v>194</v>
      </c>
      <c r="F146" s="7" t="s">
        <v>1342</v>
      </c>
      <c r="G146" s="4">
        <v>241.9</v>
      </c>
      <c r="H146" s="3" t="s">
        <v>195</v>
      </c>
      <c r="I146" s="3" t="s">
        <v>198</v>
      </c>
      <c r="J146" s="4">
        <v>4</v>
      </c>
      <c r="K146" s="4">
        <v>1216.557</v>
      </c>
      <c r="L146" s="4" t="str">
        <f>HYPERLINK("http://ms.phosphosite.org:5080/cgi-bin/plot-msms.cgi?MassType=1&amp;NumAxis=1&amp;Mod1=147&amp;Mod40=184&amp;Mod43=147&amp;Pep=MRPQPYGGTNPYSQQQGPPSGPQQGHGYPGQPYGSQTPQRYPMT&amp;Dta=/var/www/html/dta/yong/23616.11233.4.dta&amp;Global_Mod=CS57.0215", "11233")</f>
        <v>11233</v>
      </c>
      <c r="M146" s="4"/>
      <c r="N146" s="5">
        <v>54.25</v>
      </c>
      <c r="O146" s="5"/>
      <c r="P146" s="5">
        <v>5.5119999999999996</v>
      </c>
      <c r="Q146" s="5"/>
      <c r="R146" s="5">
        <v>2.3559999999999999</v>
      </c>
      <c r="S146" s="5"/>
      <c r="T146" s="5">
        <v>0.41239999999999999</v>
      </c>
      <c r="U146" s="5"/>
      <c r="V146" s="4">
        <v>1</v>
      </c>
      <c r="W146" s="4"/>
      <c r="X146" s="5">
        <v>3.54</v>
      </c>
      <c r="Y146" s="5"/>
      <c r="Z146" s="6">
        <v>84</v>
      </c>
      <c r="AA146" s="6"/>
      <c r="AB146" s="4" t="s">
        <v>13</v>
      </c>
    </row>
    <row r="147" spans="1:28" s="12" customFormat="1">
      <c r="A147" s="3" t="s">
        <v>193</v>
      </c>
      <c r="B147" s="3" t="s">
        <v>1555</v>
      </c>
      <c r="C147" s="3" t="s">
        <v>1556</v>
      </c>
      <c r="D147" s="4">
        <v>429</v>
      </c>
      <c r="E147" s="3" t="s">
        <v>194</v>
      </c>
      <c r="F147" s="7" t="s">
        <v>1342</v>
      </c>
      <c r="G147" s="4">
        <v>241.9</v>
      </c>
      <c r="H147" s="3" t="s">
        <v>195</v>
      </c>
      <c r="I147" s="3" t="s">
        <v>199</v>
      </c>
      <c r="J147" s="4">
        <v>5</v>
      </c>
      <c r="K147" s="4">
        <v>1071.0904</v>
      </c>
      <c r="L147" s="4" t="str">
        <f>HYPERLINK("http://ms.phosphosite.org:5080/cgi-bin/plot-msms.cgi?MassType=1&amp;NumAxis=1&amp;Mod1=147&amp;Mod40=184&amp;Mod43=147&amp;Mod45=147&amp;Pep=MRPQPYGGTNPYSQQQGPPSGPQQGHGYPGQPYGSQTPQRYPMTMQGR&amp;Dta=/var/www/html/dta/yong/23616.9982.5.dta&amp;Global_Mod=CS57.0215", "9982")</f>
        <v>9982</v>
      </c>
      <c r="M147" s="4" t="str">
        <f>HYPERLINK("http://ms.phosphosite.org:5080/cgi-bin/plot-msms.cgi?MassType=1&amp;NumAxis=1&amp;Mod1=147&amp;Mod40=184&amp;Mod43=147&amp;Mod45=147&amp;Pep=MRPQPYGGTNPYSQQQGPPSGPQQGHGYPGQPYGSQTPQRYPMTMQGR&amp;Dta=/var/www/html/dta/yong/23617.10077.5.dta&amp;Global_Mod=CS57.0215", "10077")</f>
        <v>10077</v>
      </c>
      <c r="N147" s="5">
        <v>49.1</v>
      </c>
      <c r="O147" s="5">
        <v>48.97</v>
      </c>
      <c r="P147" s="5">
        <v>4.8520000000000003</v>
      </c>
      <c r="Q147" s="5">
        <v>3.9380000000000002</v>
      </c>
      <c r="R147" s="5">
        <v>1.4011</v>
      </c>
      <c r="S147" s="5">
        <v>0.89980000000000004</v>
      </c>
      <c r="T147" s="5">
        <v>0.23150000000000001</v>
      </c>
      <c r="U147" s="5">
        <v>0.1167</v>
      </c>
      <c r="V147" s="4">
        <v>1</v>
      </c>
      <c r="W147" s="4">
        <v>1</v>
      </c>
      <c r="X147" s="5">
        <v>2.35</v>
      </c>
      <c r="Y147" s="5">
        <v>1.42</v>
      </c>
      <c r="Z147" s="6">
        <v>58</v>
      </c>
      <c r="AA147" s="6">
        <v>53</v>
      </c>
      <c r="AB147" s="4" t="s">
        <v>13</v>
      </c>
    </row>
    <row r="148" spans="1:28" s="12" customFormat="1">
      <c r="A148" s="3" t="s">
        <v>193</v>
      </c>
      <c r="B148" s="3" t="s">
        <v>1555</v>
      </c>
      <c r="C148" s="3" t="s">
        <v>1556</v>
      </c>
      <c r="D148" s="4">
        <v>429</v>
      </c>
      <c r="E148" s="3" t="s">
        <v>194</v>
      </c>
      <c r="F148" s="7" t="s">
        <v>1342</v>
      </c>
      <c r="G148" s="4">
        <v>241.9</v>
      </c>
      <c r="H148" s="3" t="s">
        <v>195</v>
      </c>
      <c r="I148" s="3" t="s">
        <v>199</v>
      </c>
      <c r="J148" s="4">
        <v>5</v>
      </c>
      <c r="K148" s="4">
        <v>1071.0904</v>
      </c>
      <c r="L148" s="4"/>
      <c r="M148" s="4" t="str">
        <f>HYPERLINK("http://ms.phosphosite.org:5080/cgi-bin/plot-msms.cgi?MassType=1&amp;NumAxis=1&amp;Mod1=147&amp;Mod40=184&amp;Mod43=147&amp;Mod45=147&amp;Pep=MRPQPYGGTNPYSQQQGPPSGPQQGHGYPGQPYGSQTPQRYPMTMQGR&amp;Dta=/var/www/html/dta/yong/23617.10060.5.dta&amp;Global_Mod=CS57.0215", "10060")</f>
        <v>10060</v>
      </c>
      <c r="N148" s="5"/>
      <c r="O148" s="5">
        <v>48.9</v>
      </c>
      <c r="P148" s="5"/>
      <c r="Q148" s="5">
        <v>3.984</v>
      </c>
      <c r="R148" s="5"/>
      <c r="S148" s="5">
        <v>0.79620000000000002</v>
      </c>
      <c r="T148" s="5"/>
      <c r="U148" s="5">
        <v>0.14019999999999999</v>
      </c>
      <c r="V148" s="4"/>
      <c r="W148" s="4">
        <v>26</v>
      </c>
      <c r="X148" s="5"/>
      <c r="Y148" s="5">
        <v>1.56</v>
      </c>
      <c r="Z148" s="6"/>
      <c r="AA148" s="6">
        <v>58</v>
      </c>
      <c r="AB148" s="4" t="s">
        <v>13</v>
      </c>
    </row>
    <row r="149" spans="1:28" s="12" customFormat="1">
      <c r="A149" s="3" t="s">
        <v>193</v>
      </c>
      <c r="B149" s="3" t="s">
        <v>1555</v>
      </c>
      <c r="C149" s="3" t="s">
        <v>1556</v>
      </c>
      <c r="D149" s="4">
        <v>429</v>
      </c>
      <c r="E149" s="3" t="s">
        <v>194</v>
      </c>
      <c r="F149" s="7" t="s">
        <v>1342</v>
      </c>
      <c r="G149" s="4">
        <v>241.9</v>
      </c>
      <c r="H149" s="3" t="s">
        <v>195</v>
      </c>
      <c r="I149" s="3" t="s">
        <v>200</v>
      </c>
      <c r="J149" s="4">
        <v>4</v>
      </c>
      <c r="K149" s="4">
        <v>994.20780000000002</v>
      </c>
      <c r="L149" s="4"/>
      <c r="M149" s="4" t="str">
        <f>HYPERLINK("http://ms.phosphosite.org:5080/cgi-bin/plot-msms.cgi?MassType=1&amp;NumAxis=1&amp;Mod28=184&amp;Mod31=147&amp;Mod33=147&amp;Pep=SQQQGPPSGPQQGHGYPGQPYGSQTPQRYPMTMQGR&amp;Dta=/var/www/html/dta/yong/23617.8335.4.dta&amp;Global_Mod=CS57.0215", "8335")</f>
        <v>8335</v>
      </c>
      <c r="N149" s="5"/>
      <c r="O149" s="5">
        <v>41.77</v>
      </c>
      <c r="P149" s="5"/>
      <c r="Q149" s="5">
        <v>3.1139999999999999</v>
      </c>
      <c r="R149" s="5"/>
      <c r="S149" s="5">
        <v>1.0338000000000001</v>
      </c>
      <c r="T149" s="5"/>
      <c r="U149" s="5">
        <v>0.16589999999999999</v>
      </c>
      <c r="V149" s="4"/>
      <c r="W149" s="4">
        <v>5</v>
      </c>
      <c r="X149" s="5"/>
      <c r="Y149" s="5">
        <v>1.55</v>
      </c>
      <c r="Z149" s="6"/>
      <c r="AA149" s="6">
        <v>1000</v>
      </c>
      <c r="AB149" s="4" t="s">
        <v>13</v>
      </c>
    </row>
    <row r="150" spans="1:28" s="12" customFormat="1">
      <c r="A150" s="3" t="s">
        <v>193</v>
      </c>
      <c r="B150" s="3" t="s">
        <v>1555</v>
      </c>
      <c r="C150" s="3" t="s">
        <v>1556</v>
      </c>
      <c r="D150" s="4">
        <v>429</v>
      </c>
      <c r="E150" s="3" t="s">
        <v>194</v>
      </c>
      <c r="F150" s="7" t="s">
        <v>1342</v>
      </c>
      <c r="G150" s="4">
        <v>241.9</v>
      </c>
      <c r="H150" s="3" t="s">
        <v>195</v>
      </c>
      <c r="I150" s="3" t="s">
        <v>196</v>
      </c>
      <c r="J150" s="4">
        <v>5</v>
      </c>
      <c r="K150" s="4">
        <v>913.41759999999999</v>
      </c>
      <c r="L150" s="4"/>
      <c r="M150" s="4" t="str">
        <f>HYPERLINK("http://ms.phosphosite.org:5080/cgi-bin/plot-msms.cgi?MassType=1&amp;NumAxis=1&amp;Mod34=184&amp;Mod37=147&amp;Mod39=147&amp;Pep=GGTNPYSQQQGPPSGPQQGHGYPGQPYGSQTPQRYPMTMQGR&amp;Dta=/var/www/html/dta/yong/23617.9767.5.dta&amp;Global_Mod=CS57.0215", "9767")</f>
        <v>9767</v>
      </c>
      <c r="N150" s="5"/>
      <c r="O150" s="5">
        <v>47.64</v>
      </c>
      <c r="P150" s="5"/>
      <c r="Q150" s="5">
        <v>3.351</v>
      </c>
      <c r="R150" s="5"/>
      <c r="S150" s="5">
        <v>0.88580000000000003</v>
      </c>
      <c r="T150" s="5"/>
      <c r="U150" s="5">
        <v>0.1343</v>
      </c>
      <c r="V150" s="4"/>
      <c r="W150" s="4">
        <v>482</v>
      </c>
      <c r="X150" s="5"/>
      <c r="Y150" s="5">
        <v>1.1599999999999999</v>
      </c>
      <c r="Z150" s="6"/>
      <c r="AA150" s="6">
        <v>1000</v>
      </c>
      <c r="AB150" s="4" t="s">
        <v>13</v>
      </c>
    </row>
    <row r="151" spans="1:28" s="12" customFormat="1">
      <c r="A151" s="9" t="s">
        <v>193</v>
      </c>
      <c r="B151" s="3" t="s">
        <v>1555</v>
      </c>
      <c r="C151" s="3" t="s">
        <v>1556</v>
      </c>
      <c r="D151" s="7">
        <v>437</v>
      </c>
      <c r="E151" s="9" t="s">
        <v>194</v>
      </c>
      <c r="F151" s="7" t="s">
        <v>1342</v>
      </c>
      <c r="G151" s="7">
        <v>241.9</v>
      </c>
      <c r="H151" s="9" t="s">
        <v>195</v>
      </c>
      <c r="I151" s="9" t="s">
        <v>201</v>
      </c>
      <c r="J151" s="7">
        <v>5</v>
      </c>
      <c r="K151" s="7">
        <v>913.41759999999999</v>
      </c>
      <c r="L151" s="7" t="str">
        <f>HYPERLINK("http://ms.phosphosite.org:5080/cgi-bin/plot-msms.cgi?MassType=1&amp;NumAxis=1&amp;Mod37=147&amp;Mod39=147&amp;Mod42=184&amp;Pep=GGTNPYSQQQGPPSGPQQGHGYPGQPYGSQTPQRYPMTMQGR&amp;Dta=/var/www/html/dta/yong/23616.9574.5.dta&amp;Global_Mod=CS57.0215", "9574")</f>
        <v>9574</v>
      </c>
      <c r="M151" s="7"/>
      <c r="N151" s="10">
        <v>47.33</v>
      </c>
      <c r="O151" s="10"/>
      <c r="P151" s="10">
        <v>2.9649999999999999</v>
      </c>
      <c r="Q151" s="10"/>
      <c r="R151" s="10">
        <v>1.397</v>
      </c>
      <c r="S151" s="10"/>
      <c r="T151" s="10">
        <v>0.13869999999999999</v>
      </c>
      <c r="U151" s="10"/>
      <c r="V151" s="7">
        <v>1</v>
      </c>
      <c r="W151" s="7"/>
      <c r="X151" s="10">
        <v>1.33</v>
      </c>
      <c r="Y151" s="10"/>
      <c r="Z151" s="11">
        <v>1000</v>
      </c>
      <c r="AA151" s="11"/>
      <c r="AB151" s="7" t="s">
        <v>13</v>
      </c>
    </row>
    <row r="152" spans="1:28" s="12" customFormat="1">
      <c r="A152" s="9" t="s">
        <v>193</v>
      </c>
      <c r="B152" s="3" t="s">
        <v>1555</v>
      </c>
      <c r="C152" s="3" t="s">
        <v>1556</v>
      </c>
      <c r="D152" s="7">
        <v>437</v>
      </c>
      <c r="E152" s="9" t="s">
        <v>194</v>
      </c>
      <c r="F152" s="7" t="s">
        <v>1342</v>
      </c>
      <c r="G152" s="7">
        <v>241.9</v>
      </c>
      <c r="H152" s="9" t="s">
        <v>195</v>
      </c>
      <c r="I152" s="9" t="s">
        <v>202</v>
      </c>
      <c r="J152" s="7">
        <v>4</v>
      </c>
      <c r="K152" s="7">
        <v>1137.5215000000001</v>
      </c>
      <c r="L152" s="7"/>
      <c r="M152" s="7" t="str">
        <f>HYPERLINK("http://ms.phosphosite.org:5080/cgi-bin/plot-msms.cgi?MassType=1&amp;NumAxis=1&amp;Mod39=147&amp;Mod42=184&amp;Pep=GGTNPYSQQQGPPSGPQQGHGYPGQPYGSQTPQRYPMTMQGR&amp;Dta=/var/www/html/dta/yong/23617.10672.4.dta&amp;Global_Mod=CS57.0215", "10672")</f>
        <v>10672</v>
      </c>
      <c r="N152" s="10"/>
      <c r="O152" s="10">
        <v>51.4</v>
      </c>
      <c r="P152" s="10"/>
      <c r="Q152" s="10">
        <v>3.9969999999999999</v>
      </c>
      <c r="R152" s="10"/>
      <c r="S152" s="10">
        <v>1.6345000000000001</v>
      </c>
      <c r="T152" s="10"/>
      <c r="U152" s="10">
        <v>0.1671</v>
      </c>
      <c r="V152" s="7"/>
      <c r="W152" s="7">
        <v>6</v>
      </c>
      <c r="X152" s="10"/>
      <c r="Y152" s="10">
        <v>1.73</v>
      </c>
      <c r="Z152" s="11"/>
      <c r="AA152" s="11">
        <v>1000</v>
      </c>
      <c r="AB152" s="7" t="s">
        <v>13</v>
      </c>
    </row>
    <row r="153" spans="1:28" s="12" customFormat="1">
      <c r="A153" s="18" t="s">
        <v>193</v>
      </c>
      <c r="B153" s="3" t="s">
        <v>1555</v>
      </c>
      <c r="C153" s="3" t="s">
        <v>1556</v>
      </c>
      <c r="D153" s="19"/>
      <c r="E153" s="18" t="s">
        <v>194</v>
      </c>
      <c r="F153" s="15" t="s">
        <v>1342</v>
      </c>
      <c r="G153" s="19">
        <v>241.9</v>
      </c>
      <c r="H153" s="18"/>
      <c r="I153" s="18" t="s">
        <v>205</v>
      </c>
      <c r="J153" s="19">
        <v>4</v>
      </c>
      <c r="K153" s="19">
        <v>1137.5215000000001</v>
      </c>
      <c r="L153" s="19" t="str">
        <f>HYPERLINK("http://ms.phosphosite.org:5080/cgi-bin/plot-msms.cgi?MassType=1&amp;NumAxis=1&amp;Mod34=170&amp;Mod39=147&amp;Mod42=170&amp;Pep=GGTNPYSQQQGPPSGPQQGHGYPGQPYGSQTPQRYPMTMQGR&amp;Dta=/var/www/html/dta/yong/23616.10632.4.dta&amp;Global_Mod=CS57.0215", "10632")</f>
        <v>10632</v>
      </c>
      <c r="M153" s="19" t="str">
        <f>HYPERLINK("http://ms.phosphosite.org:5080/cgi-bin/plot-msms.cgi?MassType=1&amp;NumAxis=1&amp;Mod34=170&amp;Mod39=147&amp;Mod42=170&amp;Pep=GGTNPYSQQQGPPSGPQQGHGYPGQPYGSQTPQRYPMTMQGR&amp;Dta=/var/www/html/dta/yong/23617.10860.4.dta&amp;Global_Mod=CS57.0215", "10860")</f>
        <v>10860</v>
      </c>
      <c r="N153" s="20">
        <v>51.71</v>
      </c>
      <c r="O153" s="20">
        <v>52.13</v>
      </c>
      <c r="P153" s="20">
        <v>3.8029999999999999</v>
      </c>
      <c r="Q153" s="20">
        <v>4.5759999999999996</v>
      </c>
      <c r="R153" s="20">
        <v>1.113</v>
      </c>
      <c r="S153" s="20">
        <v>1.1747000000000001</v>
      </c>
      <c r="T153" s="20">
        <v>0.12230000000000001</v>
      </c>
      <c r="U153" s="20">
        <v>0.23039999999999999</v>
      </c>
      <c r="V153" s="19">
        <v>7</v>
      </c>
      <c r="W153" s="19">
        <v>1</v>
      </c>
      <c r="X153" s="20">
        <v>1.48</v>
      </c>
      <c r="Y153" s="20">
        <v>2.29</v>
      </c>
      <c r="Z153" s="21" t="s">
        <v>1306</v>
      </c>
      <c r="AA153" s="21" t="s">
        <v>1306</v>
      </c>
      <c r="AB153" s="19" t="s">
        <v>13</v>
      </c>
    </row>
    <row r="154" spans="1:28" s="12" customFormat="1">
      <c r="A154" s="18" t="s">
        <v>193</v>
      </c>
      <c r="B154" s="3" t="s">
        <v>1555</v>
      </c>
      <c r="C154" s="3" t="s">
        <v>1556</v>
      </c>
      <c r="D154" s="19"/>
      <c r="E154" s="18" t="s">
        <v>194</v>
      </c>
      <c r="F154" s="15" t="s">
        <v>1342</v>
      </c>
      <c r="G154" s="19">
        <v>241.9</v>
      </c>
      <c r="H154" s="18"/>
      <c r="I154" s="18" t="s">
        <v>204</v>
      </c>
      <c r="J154" s="19">
        <v>4</v>
      </c>
      <c r="K154" s="19">
        <v>1137.5215000000001</v>
      </c>
      <c r="L154" s="19"/>
      <c r="M154" s="19" t="str">
        <f>HYPERLINK("http://ms.phosphosite.org:5080/cgi-bin/plot-msms.cgi?MassType=1&amp;NumAxis=1&amp;Mod34=170&amp;Mod37=147&amp;Mod42=170&amp;Pep=GGTNPYSQQQGPPSGPQQGHGYPGQPYGSQTPQRYPMTMQGR&amp;Dta=/var/www/html/dta/yong/23617.10720.4.dta&amp;Global_Mod=CS57.0215", "10720")</f>
        <v>10720</v>
      </c>
      <c r="N154" s="20"/>
      <c r="O154" s="20">
        <v>51.57</v>
      </c>
      <c r="P154" s="20"/>
      <c r="Q154" s="20">
        <v>2.9929999999999999</v>
      </c>
      <c r="R154" s="20"/>
      <c r="S154" s="20">
        <v>-0.47510000000000002</v>
      </c>
      <c r="T154" s="20"/>
      <c r="U154" s="20">
        <v>0.13550000000000001</v>
      </c>
      <c r="V154" s="19"/>
      <c r="W154" s="19">
        <v>1</v>
      </c>
      <c r="X154" s="20"/>
      <c r="Y154" s="20">
        <v>1.27</v>
      </c>
      <c r="Z154" s="21"/>
      <c r="AA154" s="21" t="s">
        <v>1306</v>
      </c>
      <c r="AB154" s="19" t="s">
        <v>13</v>
      </c>
    </row>
    <row r="155" spans="1:28" s="13" customFormat="1">
      <c r="A155" s="18" t="s">
        <v>193</v>
      </c>
      <c r="B155" s="3" t="s">
        <v>1555</v>
      </c>
      <c r="C155" s="3" t="s">
        <v>1556</v>
      </c>
      <c r="D155" s="19"/>
      <c r="E155" s="18" t="s">
        <v>194</v>
      </c>
      <c r="F155" s="15" t="s">
        <v>1342</v>
      </c>
      <c r="G155" s="19">
        <v>241.9</v>
      </c>
      <c r="H155" s="18"/>
      <c r="I155" s="18" t="s">
        <v>206</v>
      </c>
      <c r="J155" s="19">
        <v>2</v>
      </c>
      <c r="K155" s="19">
        <v>570.30309999999997</v>
      </c>
      <c r="L155" s="19"/>
      <c r="M155" s="19" t="str">
        <f>HYPERLINK("http://ms.phosphosite.org:5080/cgi-bin/plot-msms.cgi?MassType=1&amp;NumAxis=1&amp;Mod4=170&amp;Mod6=147&amp;Pep=PLPRPMENR&amp;Dta=/var/www/html/dta/yong/23617.15490.2.dta&amp;Global_Mod=CS57.0215", "15490")</f>
        <v>15490</v>
      </c>
      <c r="N155" s="20"/>
      <c r="O155" s="20">
        <v>72.02</v>
      </c>
      <c r="P155" s="20"/>
      <c r="Q155" s="20">
        <v>2.1709999999999998</v>
      </c>
      <c r="R155" s="20"/>
      <c r="S155" s="20">
        <v>-3.9796</v>
      </c>
      <c r="T155" s="20"/>
      <c r="U155" s="20">
        <v>9.9500000000000005E-2</v>
      </c>
      <c r="V155" s="19"/>
      <c r="W155" s="19">
        <v>18</v>
      </c>
      <c r="X155" s="20"/>
      <c r="Y155" s="20">
        <v>1.1299999999999999</v>
      </c>
      <c r="Z155" s="21"/>
      <c r="AA155" s="21">
        <v>1000</v>
      </c>
      <c r="AB155" s="19" t="s">
        <v>13</v>
      </c>
    </row>
    <row r="156" spans="1:28" s="12" customFormat="1">
      <c r="A156" s="18" t="s">
        <v>193</v>
      </c>
      <c r="B156" s="3" t="s">
        <v>1555</v>
      </c>
      <c r="C156" s="3" t="s">
        <v>1556</v>
      </c>
      <c r="D156" s="19"/>
      <c r="E156" s="18" t="s">
        <v>194</v>
      </c>
      <c r="F156" s="15" t="s">
        <v>1342</v>
      </c>
      <c r="G156" s="19">
        <v>241.9</v>
      </c>
      <c r="H156" s="18"/>
      <c r="I156" s="18" t="s">
        <v>203</v>
      </c>
      <c r="J156" s="19">
        <v>4</v>
      </c>
      <c r="K156" s="19">
        <v>1141.5201999999999</v>
      </c>
      <c r="L156" s="19"/>
      <c r="M156" s="19" t="str">
        <f>HYPERLINK("http://ms.phosphosite.org:5080/cgi-bin/plot-msms.cgi?MassType=1&amp;NumAxis=1&amp;Mod34=170&amp;Mod37=147&amp;Mod39=147&amp;Mod42=170&amp;Pep=GGTNPYSQQQGPPSGPQQGHGYPGQPYGSQTPQRYPMTMQGR&amp;Dta=/var/www/html/dta/yong/23617.9821.4.dta&amp;Global_Mod=CS57.0215", "9821")</f>
        <v>9821</v>
      </c>
      <c r="N156" s="20"/>
      <c r="O156" s="20">
        <v>47.86</v>
      </c>
      <c r="P156" s="20"/>
      <c r="Q156" s="20">
        <v>3.8690000000000002</v>
      </c>
      <c r="R156" s="20"/>
      <c r="S156" s="20">
        <v>1.7746999999999999</v>
      </c>
      <c r="T156" s="20"/>
      <c r="U156" s="20">
        <v>0.19109999999999999</v>
      </c>
      <c r="V156" s="19"/>
      <c r="W156" s="19">
        <v>2</v>
      </c>
      <c r="X156" s="20"/>
      <c r="Y156" s="20">
        <v>1.82</v>
      </c>
      <c r="Z156" s="21"/>
      <c r="AA156" s="21" t="s">
        <v>1306</v>
      </c>
      <c r="AB156" s="19" t="s">
        <v>13</v>
      </c>
    </row>
    <row r="157" spans="1:28" s="12" customFormat="1">
      <c r="A157" s="9" t="s">
        <v>193</v>
      </c>
      <c r="B157" s="9" t="s">
        <v>1557</v>
      </c>
      <c r="C157" s="9" t="s">
        <v>1558</v>
      </c>
      <c r="D157" s="7" t="s">
        <v>1769</v>
      </c>
      <c r="E157" s="9" t="s">
        <v>207</v>
      </c>
      <c r="F157" s="7" t="s">
        <v>1343</v>
      </c>
      <c r="G157" s="7">
        <v>236</v>
      </c>
      <c r="H157" s="9" t="s">
        <v>208</v>
      </c>
      <c r="I157" s="9" t="s">
        <v>209</v>
      </c>
      <c r="J157" s="7">
        <v>4</v>
      </c>
      <c r="K157" s="7">
        <v>989.48</v>
      </c>
      <c r="L157" s="7" t="str">
        <f>HYPERLINK("http://ms.phosphosite.org:5080/cgi-bin/plot-msms.cgi?MassType=1&amp;NumAxis=1&amp;Mod1=184&amp;Mod7=147&amp;Mod33=184&amp;Pep=RPQLYGMGSNPHSQPQQSSPYPGGSYGPPGPQRYPI&amp;Dta=/var/www/html/dta/yong/23616.14257.4.dta&amp;Global_Mod=CS57.0215", "14257")</f>
        <v>14257</v>
      </c>
      <c r="M157" s="7"/>
      <c r="N157" s="10">
        <v>67.489999999999995</v>
      </c>
      <c r="O157" s="10"/>
      <c r="P157" s="10">
        <v>3.3959999999999999</v>
      </c>
      <c r="Q157" s="10"/>
      <c r="R157" s="10">
        <v>0.85119999999999996</v>
      </c>
      <c r="S157" s="10"/>
      <c r="T157" s="10">
        <v>0.12609999999999999</v>
      </c>
      <c r="U157" s="10"/>
      <c r="V157" s="7">
        <v>1</v>
      </c>
      <c r="W157" s="7"/>
      <c r="X157" s="10">
        <v>1.39</v>
      </c>
      <c r="Y157" s="10"/>
      <c r="Z157" s="11" t="s">
        <v>1306</v>
      </c>
      <c r="AA157" s="11"/>
      <c r="AB157" s="7" t="s">
        <v>13</v>
      </c>
    </row>
    <row r="158" spans="1:28" s="12" customFormat="1">
      <c r="A158" s="9" t="s">
        <v>193</v>
      </c>
      <c r="B158" s="9" t="s">
        <v>1557</v>
      </c>
      <c r="C158" s="9" t="s">
        <v>1558</v>
      </c>
      <c r="D158" s="7" t="s">
        <v>1769</v>
      </c>
      <c r="E158" s="9" t="s">
        <v>207</v>
      </c>
      <c r="F158" s="7" t="s">
        <v>1343</v>
      </c>
      <c r="G158" s="7">
        <v>236</v>
      </c>
      <c r="H158" s="9" t="s">
        <v>208</v>
      </c>
      <c r="I158" s="9" t="s">
        <v>209</v>
      </c>
      <c r="J158" s="7">
        <v>4</v>
      </c>
      <c r="K158" s="7">
        <v>989.48</v>
      </c>
      <c r="L158" s="7" t="str">
        <f>HYPERLINK("http://ms.phosphosite.org:5080/cgi-bin/plot-msms.cgi?MassType=1&amp;NumAxis=1&amp;Mod1=184&amp;Mod7=147&amp;Mod33=184&amp;Pep=RPQLYGMGSNPHSQPQQSSPYPGGSYGPPGPQRYPI&amp;Dta=/var/www/html/dta/yong/23616.14311.4.dta&amp;Global_Mod=CS57.0215", "14311")</f>
        <v>14311</v>
      </c>
      <c r="M158" s="7" t="str">
        <f>HYPERLINK("http://ms.phosphosite.org:5080/cgi-bin/plot-msms.cgi?MassType=1&amp;NumAxis=1&amp;Mod1=184&amp;Mod7=147&amp;Mod33=184&amp;Pep=RPQLYGMGSNPHSQPQQSSPYPGGSYGPPGPQRYPI&amp;Dta=/var/www/html/dta/yong/23617.14419.4.dta&amp;Global_Mod=CS57.0215", "14419")</f>
        <v>14419</v>
      </c>
      <c r="N158" s="10">
        <v>67.75</v>
      </c>
      <c r="O158" s="10">
        <v>67.48</v>
      </c>
      <c r="P158" s="10">
        <v>3.734</v>
      </c>
      <c r="Q158" s="10">
        <v>3.4980000000000002</v>
      </c>
      <c r="R158" s="10">
        <v>0.69979999999999998</v>
      </c>
      <c r="S158" s="10">
        <v>1.4719</v>
      </c>
      <c r="T158" s="10">
        <v>0.2034</v>
      </c>
      <c r="U158" s="10">
        <v>0.21640000000000001</v>
      </c>
      <c r="V158" s="7">
        <v>1</v>
      </c>
      <c r="W158" s="7">
        <v>1</v>
      </c>
      <c r="X158" s="10">
        <v>1.93</v>
      </c>
      <c r="Y158" s="10">
        <v>1.9</v>
      </c>
      <c r="Z158" s="11" t="s">
        <v>1306</v>
      </c>
      <c r="AA158" s="11" t="s">
        <v>1306</v>
      </c>
      <c r="AB158" s="7" t="s">
        <v>13</v>
      </c>
    </row>
    <row r="159" spans="1:28" s="12" customFormat="1">
      <c r="A159" s="9" t="s">
        <v>193</v>
      </c>
      <c r="B159" s="9" t="s">
        <v>1557</v>
      </c>
      <c r="C159" s="9" t="s">
        <v>1558</v>
      </c>
      <c r="D159" s="7" t="s">
        <v>1769</v>
      </c>
      <c r="E159" s="9" t="s">
        <v>207</v>
      </c>
      <c r="F159" s="7" t="s">
        <v>1343</v>
      </c>
      <c r="G159" s="7">
        <v>236</v>
      </c>
      <c r="H159" s="9" t="s">
        <v>208</v>
      </c>
      <c r="I159" s="9" t="s">
        <v>210</v>
      </c>
      <c r="J159" s="7">
        <v>4</v>
      </c>
      <c r="K159" s="7">
        <v>1032.0064</v>
      </c>
      <c r="L159" s="7"/>
      <c r="M159" s="7" t="str">
        <f>HYPERLINK("http://ms.phosphosite.org:5080/cgi-bin/plot-msms.cgi?MassType=1&amp;NumAxis=1&amp;Mod1=184&amp;Mod7=147&amp;Mod33=184&amp;Pep=RPQLYGMGSNPHSQPQQSSPYPGGSYGPPGPQRYPIGI&amp;Dta=/var/www/html/dta/yong/23617.16556.4.dta&amp;Global_Mod=CS57.0215", "16556")</f>
        <v>16556</v>
      </c>
      <c r="N159" s="10"/>
      <c r="O159" s="10">
        <v>76.39</v>
      </c>
      <c r="P159" s="10"/>
      <c r="Q159" s="10">
        <v>3.36</v>
      </c>
      <c r="R159" s="10"/>
      <c r="S159" s="10">
        <v>0.73509999999999998</v>
      </c>
      <c r="T159" s="10"/>
      <c r="U159" s="10">
        <v>0.123</v>
      </c>
      <c r="V159" s="7"/>
      <c r="W159" s="7">
        <v>1</v>
      </c>
      <c r="X159" s="10"/>
      <c r="Y159" s="10">
        <v>1.34</v>
      </c>
      <c r="Z159" s="11"/>
      <c r="AA159" s="11" t="s">
        <v>1306</v>
      </c>
      <c r="AB159" s="7" t="s">
        <v>13</v>
      </c>
    </row>
    <row r="160" spans="1:28" s="12" customFormat="1">
      <c r="A160" s="3" t="s">
        <v>193</v>
      </c>
      <c r="B160" s="9" t="s">
        <v>1557</v>
      </c>
      <c r="C160" s="9" t="s">
        <v>1558</v>
      </c>
      <c r="D160" s="4">
        <v>557</v>
      </c>
      <c r="E160" s="3" t="s">
        <v>207</v>
      </c>
      <c r="F160" s="7" t="s">
        <v>1343</v>
      </c>
      <c r="G160" s="4">
        <v>236</v>
      </c>
      <c r="H160" s="3" t="s">
        <v>211</v>
      </c>
      <c r="I160" s="3" t="s">
        <v>213</v>
      </c>
      <c r="J160" s="4">
        <v>3</v>
      </c>
      <c r="K160" s="4">
        <v>1028.8477</v>
      </c>
      <c r="L160" s="4" t="str">
        <f>HYPERLINK("http://ms.phosphosite.org:5080/cgi-bin/plot-msms.cgi?MassType=1&amp;NumAxis=1&amp;Mod21=184&amp;Pep=SQPQQSSPYPGGSYGPPGPQRYPIGIQGR&amp;Dta=/var/www/html/dta/yong/23616.14230.3.dta&amp;Global_Mod=CS57.0215", "14230")</f>
        <v>14230</v>
      </c>
      <c r="M160" s="4" t="str">
        <f>HYPERLINK("http://ms.phosphosite.org:5080/cgi-bin/plot-msms.cgi?MassType=1&amp;NumAxis=1&amp;Mod21=184&amp;Pep=SQPQQSSPYPGGSYGPPGPQRYPIGIQGR&amp;Dta=/var/www/html/dta/yong/23617.14396.3.dta&amp;Global_Mod=CS57.0215", "14396")</f>
        <v>14396</v>
      </c>
      <c r="N160" s="5">
        <v>67.37</v>
      </c>
      <c r="O160" s="5">
        <v>67.38</v>
      </c>
      <c r="P160" s="5">
        <v>3.0449999999999999</v>
      </c>
      <c r="Q160" s="5">
        <v>2.4500000000000002</v>
      </c>
      <c r="R160" s="5">
        <v>1.3620000000000001</v>
      </c>
      <c r="S160" s="5">
        <v>1.0887</v>
      </c>
      <c r="T160" s="5">
        <v>0.20899999999999999</v>
      </c>
      <c r="U160" s="5">
        <v>0.15989999999999999</v>
      </c>
      <c r="V160" s="4">
        <v>1</v>
      </c>
      <c r="W160" s="4">
        <v>1</v>
      </c>
      <c r="X160" s="5">
        <v>1.78</v>
      </c>
      <c r="Y160" s="5">
        <v>1.34</v>
      </c>
      <c r="Z160" s="6">
        <v>1000</v>
      </c>
      <c r="AA160" s="6">
        <v>1000</v>
      </c>
      <c r="AB160" s="4" t="s">
        <v>13</v>
      </c>
    </row>
    <row r="161" spans="1:28" s="12" customFormat="1">
      <c r="A161" s="3" t="s">
        <v>193</v>
      </c>
      <c r="B161" s="9" t="s">
        <v>1557</v>
      </c>
      <c r="C161" s="9" t="s">
        <v>1558</v>
      </c>
      <c r="D161" s="4">
        <v>557</v>
      </c>
      <c r="E161" s="3" t="s">
        <v>207</v>
      </c>
      <c r="F161" s="7" t="s">
        <v>1343</v>
      </c>
      <c r="G161" s="4">
        <v>236</v>
      </c>
      <c r="H161" s="3" t="s">
        <v>211</v>
      </c>
      <c r="I161" s="3" t="s">
        <v>213</v>
      </c>
      <c r="J161" s="4">
        <v>3</v>
      </c>
      <c r="K161" s="4">
        <v>1028.8477</v>
      </c>
      <c r="L161" s="4" t="str">
        <f>HYPERLINK("http://ms.phosphosite.org:5080/cgi-bin/plot-msms.cgi?MassType=1&amp;NumAxis=1&amp;Mod21=184&amp;Pep=SQPQQSSPYPGGSYGPPGPQRYPIGIQGR&amp;Dta=/var/www/html/dta/yong/23616.14250.3.dta&amp;Global_Mod=CS57.0215", "14250")</f>
        <v>14250</v>
      </c>
      <c r="M161" s="4"/>
      <c r="N161" s="5">
        <v>67.459999999999994</v>
      </c>
      <c r="O161" s="5"/>
      <c r="P161" s="5">
        <v>2.964</v>
      </c>
      <c r="Q161" s="5"/>
      <c r="R161" s="5">
        <v>1.4189000000000001</v>
      </c>
      <c r="S161" s="5"/>
      <c r="T161" s="5">
        <v>0.26450000000000001</v>
      </c>
      <c r="U161" s="5"/>
      <c r="V161" s="4">
        <v>1</v>
      </c>
      <c r="W161" s="4"/>
      <c r="X161" s="5">
        <v>2.0699999999999998</v>
      </c>
      <c r="Y161" s="5"/>
      <c r="Z161" s="6">
        <v>1000</v>
      </c>
      <c r="AA161" s="6"/>
      <c r="AB161" s="4" t="s">
        <v>13</v>
      </c>
    </row>
    <row r="162" spans="1:28" s="12" customFormat="1">
      <c r="A162" s="3" t="s">
        <v>193</v>
      </c>
      <c r="B162" s="9" t="s">
        <v>1557</v>
      </c>
      <c r="C162" s="9" t="s">
        <v>1558</v>
      </c>
      <c r="D162" s="4">
        <v>557</v>
      </c>
      <c r="E162" s="3" t="s">
        <v>207</v>
      </c>
      <c r="F162" s="7" t="s">
        <v>1343</v>
      </c>
      <c r="G162" s="4">
        <v>236</v>
      </c>
      <c r="H162" s="3" t="s">
        <v>211</v>
      </c>
      <c r="I162" s="3" t="s">
        <v>212</v>
      </c>
      <c r="J162" s="4">
        <v>3</v>
      </c>
      <c r="K162" s="4">
        <v>882.11369999999999</v>
      </c>
      <c r="L162" s="4" t="str">
        <f>HYPERLINK("http://ms.phosphosite.org:5080/cgi-bin/plot-msms.cgi?MassType=1&amp;NumAxis=1&amp;Mod17=184&amp;Pep=QSSPYPGGSYGPPGPQRYPIGIQGR&amp;Dta=/var/www/html/dta/yong/23616.14259.3.dta&amp;Global_Mod=CS57.0215", "14259")</f>
        <v>14259</v>
      </c>
      <c r="M162" s="4"/>
      <c r="N162" s="5">
        <v>67.5</v>
      </c>
      <c r="O162" s="5"/>
      <c r="P162" s="5">
        <v>2.4860000000000002</v>
      </c>
      <c r="Q162" s="5"/>
      <c r="R162" s="5">
        <v>0.93230000000000002</v>
      </c>
      <c r="S162" s="5"/>
      <c r="T162" s="5">
        <v>0.11269999999999999</v>
      </c>
      <c r="U162" s="5"/>
      <c r="V162" s="4">
        <v>17</v>
      </c>
      <c r="W162" s="4"/>
      <c r="X162" s="5">
        <v>1.1299999999999999</v>
      </c>
      <c r="Y162" s="5"/>
      <c r="Z162" s="6">
        <v>1000</v>
      </c>
      <c r="AA162" s="6"/>
      <c r="AB162" s="4" t="s">
        <v>13</v>
      </c>
    </row>
    <row r="163" spans="1:28" s="12" customFormat="1">
      <c r="A163" s="9" t="s">
        <v>193</v>
      </c>
      <c r="B163" s="9" t="s">
        <v>1557</v>
      </c>
      <c r="C163" s="9" t="s">
        <v>1558</v>
      </c>
      <c r="D163" s="7">
        <v>565</v>
      </c>
      <c r="E163" s="9" t="s">
        <v>207</v>
      </c>
      <c r="F163" s="7" t="s">
        <v>1343</v>
      </c>
      <c r="G163" s="7">
        <v>236</v>
      </c>
      <c r="H163" s="9" t="s">
        <v>211</v>
      </c>
      <c r="I163" s="9" t="s">
        <v>214</v>
      </c>
      <c r="J163" s="7">
        <v>4</v>
      </c>
      <c r="K163" s="7">
        <v>945.95389999999998</v>
      </c>
      <c r="L163" s="7" t="str">
        <f>HYPERLINK("http://ms.phosphosite.org:5080/cgi-bin/plot-msms.cgi?MassType=1&amp;NumAxis=1&amp;Mod2=147&amp;Mod36=184&amp;Pep=GMGSNPHSQPQQSSPYPGGSYGPPGPQRYPIGIQGR&amp;Dta=/var/www/html/dta/yong/23616.12837.4.dta&amp;Global_Mod=CS57.0215", "12837")</f>
        <v>12837</v>
      </c>
      <c r="M163" s="7" t="str">
        <f>HYPERLINK("http://ms.phosphosite.org:5080/cgi-bin/plot-msms.cgi?MassType=1&amp;NumAxis=1&amp;Mod2=147&amp;Mod36=184&amp;Pep=GMGSNPHSQPQQSSPYPGGSYGPPGPQRYPIGIQGR&amp;Dta=/var/www/html/dta/yong/23617.12969.4.dta&amp;Global_Mod=CS57.0215", "12969")</f>
        <v>12969</v>
      </c>
      <c r="N163" s="10">
        <v>61.23</v>
      </c>
      <c r="O163" s="10">
        <v>61.17</v>
      </c>
      <c r="P163" s="10">
        <v>4.6619999999999999</v>
      </c>
      <c r="Q163" s="10">
        <v>4.1310000000000002</v>
      </c>
      <c r="R163" s="10">
        <v>1.4805999999999999</v>
      </c>
      <c r="S163" s="10">
        <v>1.27</v>
      </c>
      <c r="T163" s="10">
        <v>0.35770000000000002</v>
      </c>
      <c r="U163" s="10">
        <v>0.27460000000000001</v>
      </c>
      <c r="V163" s="7">
        <v>1</v>
      </c>
      <c r="W163" s="7">
        <v>1</v>
      </c>
      <c r="X163" s="10">
        <v>3.03</v>
      </c>
      <c r="Y163" s="10">
        <v>2.4300000000000002</v>
      </c>
      <c r="Z163" s="11">
        <v>1000</v>
      </c>
      <c r="AA163" s="11">
        <v>1000</v>
      </c>
      <c r="AB163" s="7" t="s">
        <v>13</v>
      </c>
    </row>
    <row r="164" spans="1:28" s="12" customFormat="1">
      <c r="A164" s="18" t="s">
        <v>193</v>
      </c>
      <c r="B164" s="9" t="s">
        <v>1557</v>
      </c>
      <c r="C164" s="9" t="s">
        <v>1558</v>
      </c>
      <c r="D164" s="19"/>
      <c r="E164" s="18" t="s">
        <v>207</v>
      </c>
      <c r="F164" s="15" t="s">
        <v>1343</v>
      </c>
      <c r="G164" s="19">
        <v>236</v>
      </c>
      <c r="H164" s="18"/>
      <c r="I164" s="18" t="s">
        <v>217</v>
      </c>
      <c r="J164" s="19">
        <v>4</v>
      </c>
      <c r="K164" s="19">
        <v>771.88760000000002</v>
      </c>
      <c r="L164" s="19" t="str">
        <f>HYPERLINK("http://ms.phosphosite.org:5080/cgi-bin/plot-msms.cgi?MassType=1&amp;NumAxis=1&amp;Mod21=170&amp;Mod29=170&amp;Pep=SQPQQSSPYPGGSYGPPGPQRYPIGIQGR&amp;Dta=/var/www/html/dta/yong/23616.14296.4.dta&amp;Global_Mod=CS57.0215", "14296")</f>
        <v>14296</v>
      </c>
      <c r="M164" s="19"/>
      <c r="N164" s="20">
        <v>67.680000000000007</v>
      </c>
      <c r="O164" s="20"/>
      <c r="P164" s="20">
        <v>3.871</v>
      </c>
      <c r="Q164" s="20"/>
      <c r="R164" s="20">
        <v>1.7129000000000001</v>
      </c>
      <c r="S164" s="20"/>
      <c r="T164" s="20">
        <v>0.2959</v>
      </c>
      <c r="U164" s="20"/>
      <c r="V164" s="19">
        <v>1</v>
      </c>
      <c r="W164" s="19"/>
      <c r="X164" s="20">
        <v>2.5099999999999998</v>
      </c>
      <c r="Y164" s="20"/>
      <c r="Z164" s="21" t="s">
        <v>1306</v>
      </c>
      <c r="AA164" s="21"/>
      <c r="AB164" s="19" t="s">
        <v>13</v>
      </c>
    </row>
    <row r="165" spans="1:28" s="12" customFormat="1">
      <c r="A165" s="18" t="s">
        <v>193</v>
      </c>
      <c r="B165" s="9" t="s">
        <v>1557</v>
      </c>
      <c r="C165" s="9" t="s">
        <v>1558</v>
      </c>
      <c r="D165" s="19"/>
      <c r="E165" s="18" t="s">
        <v>207</v>
      </c>
      <c r="F165" s="15" t="s">
        <v>1343</v>
      </c>
      <c r="G165" s="19">
        <v>236</v>
      </c>
      <c r="H165" s="18"/>
      <c r="I165" s="18" t="s">
        <v>215</v>
      </c>
      <c r="J165" s="19">
        <v>4</v>
      </c>
      <c r="K165" s="19">
        <v>945.95389999999998</v>
      </c>
      <c r="L165" s="19"/>
      <c r="M165" s="19" t="str">
        <f>HYPERLINK("http://ms.phosphosite.org:5080/cgi-bin/plot-msms.cgi?MassType=1&amp;NumAxis=1&amp;Mod2=147&amp;Mod28=170&amp;Mod36=170&amp;Pep=GMGSNPHSQPQQSSPYPGGSYGPPGPQRYPIGIQGR&amp;Dta=/var/www/html/dta/yong/23617.12947.4.dta&amp;Global_Mod=CS57.0215", "12947")</f>
        <v>12947</v>
      </c>
      <c r="N165" s="20"/>
      <c r="O165" s="20">
        <v>61.08</v>
      </c>
      <c r="P165" s="20"/>
      <c r="Q165" s="20">
        <v>3.8940000000000001</v>
      </c>
      <c r="R165" s="20"/>
      <c r="S165" s="20">
        <v>1.27</v>
      </c>
      <c r="T165" s="20"/>
      <c r="U165" s="20">
        <v>0.23080000000000001</v>
      </c>
      <c r="V165" s="19"/>
      <c r="W165" s="19">
        <v>3</v>
      </c>
      <c r="X165" s="20"/>
      <c r="Y165" s="20">
        <v>2.11</v>
      </c>
      <c r="Z165" s="21"/>
      <c r="AA165" s="21" t="s">
        <v>1306</v>
      </c>
      <c r="AB165" s="19" t="s">
        <v>13</v>
      </c>
    </row>
    <row r="166" spans="1:28" s="12" customFormat="1">
      <c r="A166" s="18" t="s">
        <v>193</v>
      </c>
      <c r="B166" s="9" t="s">
        <v>1557</v>
      </c>
      <c r="C166" s="9" t="s">
        <v>1558</v>
      </c>
      <c r="D166" s="19"/>
      <c r="E166" s="18" t="s">
        <v>207</v>
      </c>
      <c r="F166" s="15" t="s">
        <v>1343</v>
      </c>
      <c r="G166" s="19">
        <v>236</v>
      </c>
      <c r="H166" s="18"/>
      <c r="I166" s="18" t="s">
        <v>215</v>
      </c>
      <c r="J166" s="19">
        <v>4</v>
      </c>
      <c r="K166" s="19">
        <v>945.95389999999998</v>
      </c>
      <c r="L166" s="19"/>
      <c r="M166" s="19" t="str">
        <f>HYPERLINK("http://ms.phosphosite.org:5080/cgi-bin/plot-msms.cgi?MassType=1&amp;NumAxis=1&amp;Mod2=147&amp;Mod28=170&amp;Mod36=170&amp;Pep=GMGSNPHSQPQQSSPYPGGSYGPPGPQRYPIGIQGR&amp;Dta=/var/www/html/dta/yong/23617.12977.4.dta&amp;Global_Mod=CS57.0215", "12977")</f>
        <v>12977</v>
      </c>
      <c r="N166" s="20"/>
      <c r="O166" s="20">
        <v>61.2</v>
      </c>
      <c r="P166" s="20"/>
      <c r="Q166" s="20">
        <v>3.984</v>
      </c>
      <c r="R166" s="20"/>
      <c r="S166" s="20">
        <v>1.27</v>
      </c>
      <c r="T166" s="20"/>
      <c r="U166" s="20">
        <v>0.3</v>
      </c>
      <c r="V166" s="19"/>
      <c r="W166" s="19">
        <v>2</v>
      </c>
      <c r="X166" s="20"/>
      <c r="Y166" s="20">
        <v>2.52</v>
      </c>
      <c r="Z166" s="21"/>
      <c r="AA166" s="21" t="s">
        <v>1306</v>
      </c>
      <c r="AB166" s="19" t="s">
        <v>13</v>
      </c>
    </row>
    <row r="167" spans="1:28" s="12" customFormat="1">
      <c r="A167" s="18" t="s">
        <v>193</v>
      </c>
      <c r="B167" s="9" t="s">
        <v>1557</v>
      </c>
      <c r="C167" s="9" t="s">
        <v>1558</v>
      </c>
      <c r="D167" s="19"/>
      <c r="E167" s="18" t="s">
        <v>207</v>
      </c>
      <c r="F167" s="15" t="s">
        <v>1343</v>
      </c>
      <c r="G167" s="19">
        <v>236</v>
      </c>
      <c r="H167" s="18"/>
      <c r="I167" s="18" t="s">
        <v>216</v>
      </c>
      <c r="J167" s="19">
        <v>3</v>
      </c>
      <c r="K167" s="19">
        <v>882.11369999999999</v>
      </c>
      <c r="L167" s="19"/>
      <c r="M167" s="19" t="str">
        <f>HYPERLINK("http://ms.phosphosite.org:5080/cgi-bin/plot-msms.cgi?MassType=1&amp;NumAxis=1&amp;Mod17=170&amp;Mod25=170&amp;Pep=QSSPYPGGSYGPPGPQRYPIGIQGR&amp;Dta=/var/www/html/dta/yong/23617.14413.3.dta&amp;Global_Mod=CS57.0215", "14413")</f>
        <v>14413</v>
      </c>
      <c r="N167" s="20"/>
      <c r="O167" s="20">
        <v>67.45</v>
      </c>
      <c r="P167" s="20"/>
      <c r="Q167" s="20">
        <v>2.9550000000000001</v>
      </c>
      <c r="R167" s="20"/>
      <c r="S167" s="20">
        <v>1.6595</v>
      </c>
      <c r="T167" s="20"/>
      <c r="U167" s="20">
        <v>0.29820000000000002</v>
      </c>
      <c r="V167" s="19"/>
      <c r="W167" s="19">
        <v>1</v>
      </c>
      <c r="X167" s="20"/>
      <c r="Y167" s="20">
        <v>2.2799999999999998</v>
      </c>
      <c r="Z167" s="21"/>
      <c r="AA167" s="21" t="s">
        <v>1306</v>
      </c>
      <c r="AB167" s="19" t="s">
        <v>13</v>
      </c>
    </row>
    <row r="168" spans="1:28" s="12" customFormat="1">
      <c r="A168" s="18" t="s">
        <v>193</v>
      </c>
      <c r="B168" s="18" t="s">
        <v>1559</v>
      </c>
      <c r="C168" s="18" t="s">
        <v>1560</v>
      </c>
      <c r="D168" s="19"/>
      <c r="E168" s="18" t="s">
        <v>218</v>
      </c>
      <c r="F168" s="15" t="s">
        <v>1344</v>
      </c>
      <c r="G168" s="19">
        <v>226.4</v>
      </c>
      <c r="H168" s="18"/>
      <c r="I168" s="18" t="s">
        <v>219</v>
      </c>
      <c r="J168" s="19">
        <v>3</v>
      </c>
      <c r="K168" s="19">
        <v>595.8886</v>
      </c>
      <c r="L168" s="19"/>
      <c r="M168" s="19" t="str">
        <f>HYPERLINK("http://ms.phosphosite.org:5080/cgi-bin/plot-msms.cgi?MassType=1&amp;NumAxis=1&amp;Mod11=170&amp;Pep=EEEDDHMEYCRVC&amp;Dta=/var/www/html/dta/yong/23617.9247.3.dta&amp;Global_Mod=CS57.0215", "9247")</f>
        <v>9247</v>
      </c>
      <c r="N168" s="20"/>
      <c r="O168" s="20">
        <v>45.5</v>
      </c>
      <c r="P168" s="20"/>
      <c r="Q168" s="20">
        <v>2.02</v>
      </c>
      <c r="R168" s="20"/>
      <c r="S168" s="20">
        <v>1.0423</v>
      </c>
      <c r="T168" s="20"/>
      <c r="U168" s="20">
        <v>0.2278</v>
      </c>
      <c r="V168" s="19"/>
      <c r="W168" s="19">
        <v>1</v>
      </c>
      <c r="X168" s="20"/>
      <c r="Y168" s="20">
        <v>1.6</v>
      </c>
      <c r="Z168" s="21"/>
      <c r="AA168" s="21">
        <v>1000</v>
      </c>
      <c r="AB168" s="19" t="s">
        <v>13</v>
      </c>
    </row>
    <row r="169" spans="1:28" s="12" customFormat="1">
      <c r="A169" s="9" t="s">
        <v>193</v>
      </c>
      <c r="B169" s="9" t="s">
        <v>1561</v>
      </c>
      <c r="C169" s="9" t="s">
        <v>1561</v>
      </c>
      <c r="D169" s="7">
        <v>286</v>
      </c>
      <c r="E169" s="9" t="s">
        <v>220</v>
      </c>
      <c r="F169" s="7" t="s">
        <v>1345</v>
      </c>
      <c r="G169" s="7">
        <v>335.7</v>
      </c>
      <c r="H169" s="9" t="s">
        <v>221</v>
      </c>
      <c r="I169" s="9" t="s">
        <v>222</v>
      </c>
      <c r="J169" s="7">
        <v>2</v>
      </c>
      <c r="K169" s="7">
        <v>939.99469999999997</v>
      </c>
      <c r="L169" s="7" t="str">
        <f>HYPERLINK("http://ms.phosphosite.org:5080/cgi-bin/plot-msms.cgi?MassType=1&amp;NumAxis=1&amp;Mod12=184&amp;Pep=FSPNPPQQGAVRPQTLN&amp;Dta=/var/www/html/dta/yong/23616.10382.2.dta&amp;Global_Mod=CS57.0215", "10382")</f>
        <v>10382</v>
      </c>
      <c r="M169" s="7" t="str">
        <f>HYPERLINK("http://ms.phosphosite.org:5080/cgi-bin/plot-msms.cgi?MassType=1&amp;NumAxis=1&amp;Mod12=184&amp;Pep=FSPNPPQQGAVRPQTLN&amp;Dta=/var/www/html/dta/yong/23617.10438.2.dta&amp;Global_Mod=CS57.0215", "10438")</f>
        <v>10438</v>
      </c>
      <c r="N169" s="10">
        <v>50.73</v>
      </c>
      <c r="O169" s="10">
        <v>50.46</v>
      </c>
      <c r="P169" s="10">
        <v>2.9220000000000002</v>
      </c>
      <c r="Q169" s="10">
        <v>2.67</v>
      </c>
      <c r="R169" s="10">
        <v>0.7843</v>
      </c>
      <c r="S169" s="10">
        <v>0.61</v>
      </c>
      <c r="T169" s="10">
        <v>0.34100000000000003</v>
      </c>
      <c r="U169" s="10">
        <v>5.7200000000000001E-2</v>
      </c>
      <c r="V169" s="7">
        <v>1</v>
      </c>
      <c r="W169" s="7">
        <v>2</v>
      </c>
      <c r="X169" s="10">
        <v>2.71</v>
      </c>
      <c r="Y169" s="10">
        <v>1.07</v>
      </c>
      <c r="Z169" s="11">
        <v>1000</v>
      </c>
      <c r="AA169" s="11">
        <v>1000</v>
      </c>
      <c r="AB169" s="7" t="s">
        <v>13</v>
      </c>
    </row>
    <row r="170" spans="1:28" s="12" customFormat="1">
      <c r="A170" s="9" t="s">
        <v>193</v>
      </c>
      <c r="B170" s="9" t="s">
        <v>1561</v>
      </c>
      <c r="C170" s="9" t="s">
        <v>1561</v>
      </c>
      <c r="D170" s="7">
        <v>286</v>
      </c>
      <c r="E170" s="9" t="s">
        <v>220</v>
      </c>
      <c r="F170" s="7" t="s">
        <v>1345</v>
      </c>
      <c r="G170" s="7">
        <v>335.7</v>
      </c>
      <c r="H170" s="9" t="s">
        <v>221</v>
      </c>
      <c r="I170" s="9" t="s">
        <v>222</v>
      </c>
      <c r="J170" s="7">
        <v>3</v>
      </c>
      <c r="K170" s="7">
        <v>626.99890000000005</v>
      </c>
      <c r="L170" s="7" t="str">
        <f>HYPERLINK("http://ms.phosphosite.org:5080/cgi-bin/plot-msms.cgi?MassType=1&amp;NumAxis=1&amp;Mod12=184&amp;Pep=FSPNPPQQGAVRPQTLN&amp;Dta=/var/www/html/dta/yong/23616.10471.3.dta&amp;Global_Mod=CS57.0215", "10471")</f>
        <v>10471</v>
      </c>
      <c r="M170" s="7"/>
      <c r="N170" s="10">
        <v>51.1</v>
      </c>
      <c r="O170" s="10"/>
      <c r="P170" s="10">
        <v>2.4569999999999999</v>
      </c>
      <c r="Q170" s="10"/>
      <c r="R170" s="10">
        <v>0.60319999999999996</v>
      </c>
      <c r="S170" s="10"/>
      <c r="T170" s="10">
        <v>0.1646</v>
      </c>
      <c r="U170" s="10"/>
      <c r="V170" s="7">
        <v>1</v>
      </c>
      <c r="W170" s="7"/>
      <c r="X170" s="10">
        <v>1.61</v>
      </c>
      <c r="Y170" s="10"/>
      <c r="Z170" s="11">
        <v>1000</v>
      </c>
      <c r="AA170" s="11"/>
      <c r="AB170" s="7" t="s">
        <v>13</v>
      </c>
    </row>
    <row r="171" spans="1:28" s="12" customFormat="1">
      <c r="A171" s="9" t="s">
        <v>193</v>
      </c>
      <c r="B171" s="9" t="s">
        <v>1561</v>
      </c>
      <c r="C171" s="9" t="s">
        <v>1561</v>
      </c>
      <c r="D171" s="7">
        <v>286</v>
      </c>
      <c r="E171" s="9" t="s">
        <v>220</v>
      </c>
      <c r="F171" s="7" t="s">
        <v>1345</v>
      </c>
      <c r="G171" s="7">
        <v>335.7</v>
      </c>
      <c r="H171" s="9" t="s">
        <v>221</v>
      </c>
      <c r="I171" s="9" t="s">
        <v>222</v>
      </c>
      <c r="J171" s="7">
        <v>2</v>
      </c>
      <c r="K171" s="7">
        <v>939.99469999999997</v>
      </c>
      <c r="L171" s="7"/>
      <c r="M171" s="7" t="str">
        <f>HYPERLINK("http://ms.phosphosite.org:5080/cgi-bin/plot-msms.cgi?MassType=1&amp;NumAxis=1&amp;Mod12=184&amp;Pep=FSPNPPQQGAVRPQTLN&amp;Dta=/var/www/html/dta/yong/23617.10489.2.dta&amp;Global_Mod=CS57.0215", "10489")</f>
        <v>10489</v>
      </c>
      <c r="N171" s="10"/>
      <c r="O171" s="10">
        <v>50.66</v>
      </c>
      <c r="P171" s="10"/>
      <c r="Q171" s="10">
        <v>3.032</v>
      </c>
      <c r="R171" s="10"/>
      <c r="S171" s="10">
        <v>0.76100000000000001</v>
      </c>
      <c r="T171" s="10"/>
      <c r="U171" s="10">
        <v>0.25900000000000001</v>
      </c>
      <c r="V171" s="7"/>
      <c r="W171" s="7">
        <v>2</v>
      </c>
      <c r="X171" s="10"/>
      <c r="Y171" s="10">
        <v>2.31</v>
      </c>
      <c r="Z171" s="11"/>
      <c r="AA171" s="11">
        <v>1000</v>
      </c>
      <c r="AB171" s="7" t="s">
        <v>13</v>
      </c>
    </row>
    <row r="172" spans="1:28" s="12" customFormat="1">
      <c r="A172" s="9" t="s">
        <v>193</v>
      </c>
      <c r="B172" s="9" t="s">
        <v>1561</v>
      </c>
      <c r="C172" s="9" t="s">
        <v>1561</v>
      </c>
      <c r="D172" s="7">
        <v>312</v>
      </c>
      <c r="E172" s="9" t="s">
        <v>220</v>
      </c>
      <c r="F172" s="7" t="s">
        <v>1345</v>
      </c>
      <c r="G172" s="7">
        <v>335.7</v>
      </c>
      <c r="H172" s="9" t="s">
        <v>223</v>
      </c>
      <c r="I172" s="9" t="s">
        <v>224</v>
      </c>
      <c r="J172" s="7">
        <v>3</v>
      </c>
      <c r="K172" s="7">
        <v>763.03779999999995</v>
      </c>
      <c r="L172" s="7"/>
      <c r="M172" s="7" t="str">
        <f>HYPERLINK("http://ms.phosphosite.org:5080/cgi-bin/plot-msms.cgi?MassType=1&amp;NumAxis=1&amp;Mod17=184&amp;Pep=SQTVPSPTINNSGQYSRYPY&amp;Dta=/var/www/html/dta/yong/23617.14267.3.dta&amp;Global_Mod=CS57.0215", "14267")</f>
        <v>14267</v>
      </c>
      <c r="N172" s="10"/>
      <c r="O172" s="10">
        <v>66.790000000000006</v>
      </c>
      <c r="P172" s="10"/>
      <c r="Q172" s="10">
        <v>2.9079999999999999</v>
      </c>
      <c r="R172" s="10"/>
      <c r="S172" s="10">
        <v>1.2929999999999999</v>
      </c>
      <c r="T172" s="10"/>
      <c r="U172" s="10">
        <v>0.19209999999999999</v>
      </c>
      <c r="V172" s="7"/>
      <c r="W172" s="7">
        <v>1</v>
      </c>
      <c r="X172" s="10"/>
      <c r="Y172" s="10">
        <v>1.67</v>
      </c>
      <c r="Z172" s="11"/>
      <c r="AA172" s="11">
        <v>1000</v>
      </c>
      <c r="AB172" s="7" t="s">
        <v>13</v>
      </c>
    </row>
    <row r="173" spans="1:28" s="12" customFormat="1">
      <c r="A173" s="9" t="s">
        <v>193</v>
      </c>
      <c r="B173" s="9" t="s">
        <v>1561</v>
      </c>
      <c r="C173" s="9" t="s">
        <v>1561</v>
      </c>
      <c r="D173" s="7">
        <v>312</v>
      </c>
      <c r="E173" s="9" t="s">
        <v>220</v>
      </c>
      <c r="F173" s="7" t="s">
        <v>1345</v>
      </c>
      <c r="G173" s="7">
        <v>335.7</v>
      </c>
      <c r="H173" s="9" t="s">
        <v>223</v>
      </c>
      <c r="I173" s="9" t="s">
        <v>224</v>
      </c>
      <c r="J173" s="7">
        <v>3</v>
      </c>
      <c r="K173" s="7">
        <v>763.03779999999995</v>
      </c>
      <c r="L173" s="7"/>
      <c r="M173" s="7" t="str">
        <f>HYPERLINK("http://ms.phosphosite.org:5080/cgi-bin/plot-msms.cgi?MassType=1&amp;NumAxis=1&amp;Mod17=184&amp;Pep=SQTVPSPTINNSGQYSRYPY&amp;Dta=/var/www/html/dta/yong/23617.14280.3.dta&amp;Global_Mod=CS57.0215", "14280")</f>
        <v>14280</v>
      </c>
      <c r="N173" s="10"/>
      <c r="O173" s="10">
        <v>66.849999999999994</v>
      </c>
      <c r="P173" s="10"/>
      <c r="Q173" s="10">
        <v>3.24</v>
      </c>
      <c r="R173" s="10"/>
      <c r="S173" s="10">
        <v>1.2929999999999999</v>
      </c>
      <c r="T173" s="10"/>
      <c r="U173" s="10">
        <v>0.38940000000000002</v>
      </c>
      <c r="V173" s="7"/>
      <c r="W173" s="7">
        <v>1</v>
      </c>
      <c r="X173" s="10"/>
      <c r="Y173" s="10">
        <v>2.89</v>
      </c>
      <c r="Z173" s="11"/>
      <c r="AA173" s="11">
        <v>1000</v>
      </c>
      <c r="AB173" s="7" t="s">
        <v>13</v>
      </c>
    </row>
    <row r="174" spans="1:28" s="12" customFormat="1">
      <c r="A174" s="18" t="s">
        <v>193</v>
      </c>
      <c r="B174" s="18" t="s">
        <v>225</v>
      </c>
      <c r="C174" s="18" t="s">
        <v>226</v>
      </c>
      <c r="D174" s="19"/>
      <c r="E174" s="18" t="s">
        <v>227</v>
      </c>
      <c r="F174" s="15" t="s">
        <v>1346</v>
      </c>
      <c r="G174" s="19">
        <v>8.5</v>
      </c>
      <c r="H174" s="18"/>
      <c r="I174" s="18" t="s">
        <v>228</v>
      </c>
      <c r="J174" s="19">
        <v>3</v>
      </c>
      <c r="K174" s="19">
        <v>455.56169999999997</v>
      </c>
      <c r="L174" s="19" t="str">
        <f>HYPERLINK("http://ms.phosphosite.org:5080/cgi-bin/plot-msms.cgi?MassType=1&amp;NumAxis=1&amp;Mod4=170&amp;Pep=GFGRGGAESHTFK&amp;Dta=/var/www/html/dta/yong/23616.3858.3.dta&amp;Global_Mod=CS57.0215", "3858")</f>
        <v>3858</v>
      </c>
      <c r="M174" s="19" t="str">
        <f>HYPERLINK("http://ms.phosphosite.org:5080/cgi-bin/plot-msms.cgi?MassType=1&amp;NumAxis=1&amp;Mod4=170&amp;Pep=GFGRGGAESHTFK&amp;Dta=/var/www/html/dta/yong/23617.3943.3.dta&amp;Global_Mod=CS57.0215", "3943")</f>
        <v>3943</v>
      </c>
      <c r="N174" s="20">
        <v>23.39</v>
      </c>
      <c r="O174" s="20">
        <v>23.41</v>
      </c>
      <c r="P174" s="20">
        <v>2.452</v>
      </c>
      <c r="Q174" s="20">
        <v>3.0049999999999999</v>
      </c>
      <c r="R174" s="20">
        <v>0.66239999999999999</v>
      </c>
      <c r="S174" s="20">
        <v>0.37030000000000002</v>
      </c>
      <c r="T174" s="20">
        <v>0.15540000000000001</v>
      </c>
      <c r="U174" s="20">
        <v>0.13750000000000001</v>
      </c>
      <c r="V174" s="19">
        <v>1</v>
      </c>
      <c r="W174" s="19">
        <v>5</v>
      </c>
      <c r="X174" s="20">
        <v>1.38</v>
      </c>
      <c r="Y174" s="20">
        <v>1.43</v>
      </c>
      <c r="Z174" s="21">
        <v>1000</v>
      </c>
      <c r="AA174" s="21">
        <v>1000</v>
      </c>
      <c r="AB174" s="19" t="s">
        <v>13</v>
      </c>
    </row>
    <row r="175" spans="1:28" s="12" customFormat="1">
      <c r="A175" s="18" t="s">
        <v>193</v>
      </c>
      <c r="B175" s="18" t="s">
        <v>225</v>
      </c>
      <c r="C175" s="18" t="s">
        <v>226</v>
      </c>
      <c r="D175" s="19"/>
      <c r="E175" s="18" t="s">
        <v>227</v>
      </c>
      <c r="F175" s="15" t="s">
        <v>1346</v>
      </c>
      <c r="G175" s="19">
        <v>8.5</v>
      </c>
      <c r="H175" s="18"/>
      <c r="I175" s="18" t="s">
        <v>228</v>
      </c>
      <c r="J175" s="19">
        <v>2</v>
      </c>
      <c r="K175" s="19">
        <v>682.83889999999997</v>
      </c>
      <c r="L175" s="19" t="str">
        <f>HYPERLINK("http://ms.phosphosite.org:5080/cgi-bin/plot-msms.cgi?MassType=1&amp;NumAxis=1&amp;Mod4=170&amp;Pep=GFGRGGAESHTFK&amp;Dta=/var/www/html/dta/yong/23616.3875.2.dta&amp;Global_Mod=CS57.0215", "3875")</f>
        <v>3875</v>
      </c>
      <c r="M175" s="19"/>
      <c r="N175" s="20">
        <v>23.47</v>
      </c>
      <c r="O175" s="20"/>
      <c r="P175" s="20">
        <v>2.0750000000000002</v>
      </c>
      <c r="Q175" s="20"/>
      <c r="R175" s="20">
        <v>2.0722999999999998</v>
      </c>
      <c r="S175" s="20"/>
      <c r="T175" s="20">
        <v>0.1701</v>
      </c>
      <c r="U175" s="20"/>
      <c r="V175" s="19">
        <v>2</v>
      </c>
      <c r="W175" s="19"/>
      <c r="X175" s="20">
        <v>1.26</v>
      </c>
      <c r="Y175" s="20"/>
      <c r="Z175" s="21">
        <v>1000</v>
      </c>
      <c r="AA175" s="21"/>
      <c r="AB175" s="19" t="s">
        <v>13</v>
      </c>
    </row>
    <row r="176" spans="1:28" s="12" customFormat="1">
      <c r="A176" s="18" t="s">
        <v>193</v>
      </c>
      <c r="B176" s="18" t="s">
        <v>225</v>
      </c>
      <c r="C176" s="18" t="s">
        <v>226</v>
      </c>
      <c r="D176" s="19"/>
      <c r="E176" s="18" t="s">
        <v>227</v>
      </c>
      <c r="F176" s="15" t="s">
        <v>1346</v>
      </c>
      <c r="G176" s="19">
        <v>8.5</v>
      </c>
      <c r="H176" s="18"/>
      <c r="I176" s="18" t="s">
        <v>228</v>
      </c>
      <c r="J176" s="19">
        <v>2</v>
      </c>
      <c r="K176" s="19">
        <v>682.83889999999997</v>
      </c>
      <c r="L176" s="19" t="str">
        <f>HYPERLINK("http://ms.phosphosite.org:5080/cgi-bin/plot-msms.cgi?MassType=1&amp;NumAxis=1&amp;Mod4=170&amp;Pep=GFGRGGAESHTFK&amp;Dta=/var/www/html/dta/yong/23616.3887.2.dta&amp;Global_Mod=CS57.0215", "3887")</f>
        <v>3887</v>
      </c>
      <c r="M176" s="19"/>
      <c r="N176" s="20">
        <v>23.53</v>
      </c>
      <c r="O176" s="20"/>
      <c r="P176" s="20">
        <v>2.4910000000000001</v>
      </c>
      <c r="Q176" s="20"/>
      <c r="R176" s="20">
        <v>2.0722999999999998</v>
      </c>
      <c r="S176" s="20"/>
      <c r="T176" s="20">
        <v>0.21110000000000001</v>
      </c>
      <c r="U176" s="20"/>
      <c r="V176" s="19">
        <v>10</v>
      </c>
      <c r="W176" s="19"/>
      <c r="X176" s="20">
        <v>1.61</v>
      </c>
      <c r="Y176" s="20"/>
      <c r="Z176" s="21">
        <v>1000</v>
      </c>
      <c r="AA176" s="21"/>
      <c r="AB176" s="19" t="s">
        <v>13</v>
      </c>
    </row>
    <row r="177" spans="1:28" s="12" customFormat="1">
      <c r="A177" s="13" t="s">
        <v>193</v>
      </c>
      <c r="B177" s="13" t="s">
        <v>229</v>
      </c>
      <c r="C177" s="13" t="s">
        <v>230</v>
      </c>
      <c r="D177" s="15"/>
      <c r="E177" s="13" t="s">
        <v>231</v>
      </c>
      <c r="F177" s="15" t="s">
        <v>1347</v>
      </c>
      <c r="G177" s="15">
        <v>68.900000000000006</v>
      </c>
      <c r="H177" s="13"/>
      <c r="I177" s="13" t="s">
        <v>232</v>
      </c>
      <c r="J177" s="15">
        <v>7</v>
      </c>
      <c r="K177" s="15">
        <v>765.53599999999994</v>
      </c>
      <c r="L177" s="15"/>
      <c r="M177" s="15" t="str">
        <f>HYPERLINK("http://ms.phosphosite.org:5080/cgi-bin/plot-msms.cgi?MassType=1&amp;NumAxis=1&amp;Mod49=170&amp;Pep=PGKNPLQDLLMGHTPSCYGQTYLHLSPGLAPPGPPQPLFPQPDGHLELR&amp;Dta=/var/www/html/dta/yong/23617.13831.7.dta&amp;Global_Mod=CS57.0215", "13831")</f>
        <v>13831</v>
      </c>
      <c r="N177" s="16"/>
      <c r="O177" s="16">
        <v>64.88</v>
      </c>
      <c r="P177" s="16"/>
      <c r="Q177" s="16">
        <v>3.149</v>
      </c>
      <c r="R177" s="16"/>
      <c r="S177" s="16">
        <v>-1.1349</v>
      </c>
      <c r="T177" s="16"/>
      <c r="U177" s="16">
        <v>0.16819999999999999</v>
      </c>
      <c r="V177" s="15"/>
      <c r="W177" s="15">
        <v>15</v>
      </c>
      <c r="X177" s="16"/>
      <c r="Y177" s="16">
        <v>1.26</v>
      </c>
      <c r="Z177" s="17"/>
      <c r="AA177" s="17">
        <v>1000</v>
      </c>
      <c r="AB177" s="15" t="s">
        <v>13</v>
      </c>
    </row>
    <row r="178" spans="1:28" s="12" customFormat="1">
      <c r="A178" s="3" t="s">
        <v>193</v>
      </c>
      <c r="B178" s="3" t="s">
        <v>1562</v>
      </c>
      <c r="C178" s="3" t="s">
        <v>1563</v>
      </c>
      <c r="D178" s="4" t="s">
        <v>1770</v>
      </c>
      <c r="E178" s="3" t="s">
        <v>233</v>
      </c>
      <c r="F178" s="7" t="s">
        <v>1348</v>
      </c>
      <c r="G178" s="4">
        <v>53.4</v>
      </c>
      <c r="H178" s="3" t="s">
        <v>234</v>
      </c>
      <c r="I178" s="3" t="s">
        <v>235</v>
      </c>
      <c r="J178" s="4">
        <v>3</v>
      </c>
      <c r="K178" s="4">
        <v>588.28620000000001</v>
      </c>
      <c r="L178" s="4" t="str">
        <f>HYPERLINK("http://ms.phosphosite.org:5080/cgi-bin/plot-msms.cgi?MassType=1&amp;NumAxis=1&amp;Mod3=184&amp;Mod5=184&amp;Pep=GGRGRGGSGGGGGGGGGGYNR&amp;Dta=/var/www/html/dta/yong/23616.963.3.dta&amp;Global_Mod=CS57.0215", "963")</f>
        <v>963</v>
      </c>
      <c r="M178" s="4"/>
      <c r="N178" s="5">
        <v>10.87</v>
      </c>
      <c r="O178" s="5"/>
      <c r="P178" s="5">
        <v>3.7719999999999998</v>
      </c>
      <c r="Q178" s="5"/>
      <c r="R178" s="5">
        <v>1.1999</v>
      </c>
      <c r="S178" s="5"/>
      <c r="T178" s="5">
        <v>0.35120000000000001</v>
      </c>
      <c r="U178" s="5"/>
      <c r="V178" s="4">
        <v>1</v>
      </c>
      <c r="W178" s="4"/>
      <c r="X178" s="5">
        <v>2.89</v>
      </c>
      <c r="Y178" s="5"/>
      <c r="Z178" s="6" t="s">
        <v>1306</v>
      </c>
      <c r="AA178" s="6"/>
      <c r="AB178" s="4" t="s">
        <v>13</v>
      </c>
    </row>
    <row r="179" spans="1:28" s="12" customFormat="1">
      <c r="A179" s="3" t="s">
        <v>193</v>
      </c>
      <c r="B179" s="3" t="s">
        <v>1562</v>
      </c>
      <c r="C179" s="3" t="s">
        <v>1563</v>
      </c>
      <c r="D179" s="4" t="s">
        <v>1770</v>
      </c>
      <c r="E179" s="3" t="s">
        <v>233</v>
      </c>
      <c r="F179" s="7" t="s">
        <v>1348</v>
      </c>
      <c r="G179" s="4">
        <v>53.4</v>
      </c>
      <c r="H179" s="3" t="s">
        <v>234</v>
      </c>
      <c r="I179" s="3" t="s">
        <v>235</v>
      </c>
      <c r="J179" s="4">
        <v>4</v>
      </c>
      <c r="K179" s="4">
        <v>441.4665</v>
      </c>
      <c r="L179" s="4" t="str">
        <f>HYPERLINK("http://ms.phosphosite.org:5080/cgi-bin/plot-msms.cgi?MassType=1&amp;NumAxis=1&amp;Mod3=184&amp;Mod5=184&amp;Pep=GGRGRGGSGGGGGGGGGGYNR&amp;Dta=/var/www/html/dta/yong/23616.965.4.dta&amp;Global_Mod=CS57.0215", "965")</f>
        <v>965</v>
      </c>
      <c r="M179" s="4"/>
      <c r="N179" s="5">
        <v>10.87</v>
      </c>
      <c r="O179" s="5"/>
      <c r="P179" s="5">
        <v>3.1829999999999998</v>
      </c>
      <c r="Q179" s="5"/>
      <c r="R179" s="5">
        <v>0.77610000000000001</v>
      </c>
      <c r="S179" s="5"/>
      <c r="T179" s="5">
        <v>0.12870000000000001</v>
      </c>
      <c r="U179" s="5"/>
      <c r="V179" s="4">
        <v>1</v>
      </c>
      <c r="W179" s="4"/>
      <c r="X179" s="5">
        <v>1.5</v>
      </c>
      <c r="Y179" s="5"/>
      <c r="Z179" s="6" t="s">
        <v>1306</v>
      </c>
      <c r="AA179" s="6"/>
      <c r="AB179" s="4" t="s">
        <v>13</v>
      </c>
    </row>
    <row r="180" spans="1:28" s="12" customFormat="1">
      <c r="A180" s="3" t="s">
        <v>193</v>
      </c>
      <c r="B180" s="3" t="s">
        <v>1562</v>
      </c>
      <c r="C180" s="3" t="s">
        <v>1563</v>
      </c>
      <c r="D180" s="4" t="s">
        <v>1770</v>
      </c>
      <c r="E180" s="3" t="s">
        <v>233</v>
      </c>
      <c r="F180" s="7" t="s">
        <v>1348</v>
      </c>
      <c r="G180" s="4">
        <v>53.4</v>
      </c>
      <c r="H180" s="3" t="s">
        <v>234</v>
      </c>
      <c r="I180" s="3" t="s">
        <v>235</v>
      </c>
      <c r="J180" s="4">
        <v>4</v>
      </c>
      <c r="K180" s="4">
        <v>441.4665</v>
      </c>
      <c r="L180" s="4" t="str">
        <f>HYPERLINK("http://ms.phosphosite.org:5080/cgi-bin/plot-msms.cgi?MassType=1&amp;NumAxis=1&amp;Mod3=184&amp;Mod5=184&amp;Pep=GGRGRGGSGGGGGGGGGGYNR&amp;Dta=/var/www/html/dta/yong/23616.973.4.dta&amp;Global_Mod=CS57.0215", "973")</f>
        <v>973</v>
      </c>
      <c r="M180" s="4" t="str">
        <f>HYPERLINK("http://ms.phosphosite.org:5080/cgi-bin/plot-msms.cgi?MassType=1&amp;NumAxis=1&amp;Mod3=184&amp;Mod5=184&amp;Pep=GGRGRGGSGGGGGGGGGGYNR&amp;Dta=/var/www/html/dta/yong/23617.965.4.dta&amp;Global_Mod=CS57.0215", "965")</f>
        <v>965</v>
      </c>
      <c r="N180" s="5">
        <v>10.91</v>
      </c>
      <c r="O180" s="5">
        <v>10.85</v>
      </c>
      <c r="P180" s="5">
        <v>3.343</v>
      </c>
      <c r="Q180" s="5">
        <v>3.1589999999999998</v>
      </c>
      <c r="R180" s="5">
        <v>0.77610000000000001</v>
      </c>
      <c r="S180" s="5">
        <v>0.31869999999999998</v>
      </c>
      <c r="T180" s="5">
        <v>0.25280000000000002</v>
      </c>
      <c r="U180" s="5">
        <v>0.19389999999999999</v>
      </c>
      <c r="V180" s="4">
        <v>1</v>
      </c>
      <c r="W180" s="4">
        <v>1</v>
      </c>
      <c r="X180" s="5">
        <v>2.2400000000000002</v>
      </c>
      <c r="Y180" s="5">
        <v>1.93</v>
      </c>
      <c r="Z180" s="6" t="s">
        <v>1306</v>
      </c>
      <c r="AA180" s="6" t="s">
        <v>1306</v>
      </c>
      <c r="AB180" s="4" t="s">
        <v>13</v>
      </c>
    </row>
    <row r="181" spans="1:28" s="12" customFormat="1">
      <c r="A181" s="3" t="s">
        <v>193</v>
      </c>
      <c r="B181" s="3" t="s">
        <v>1562</v>
      </c>
      <c r="C181" s="3" t="s">
        <v>1563</v>
      </c>
      <c r="D181" s="4" t="s">
        <v>1771</v>
      </c>
      <c r="E181" s="3" t="s">
        <v>233</v>
      </c>
      <c r="F181" s="7" t="s">
        <v>1348</v>
      </c>
      <c r="G181" s="4">
        <v>53.4</v>
      </c>
      <c r="H181" s="3" t="s">
        <v>236</v>
      </c>
      <c r="I181" s="3" t="s">
        <v>237</v>
      </c>
      <c r="J181" s="4">
        <v>4</v>
      </c>
      <c r="K181" s="4">
        <v>631.05020000000002</v>
      </c>
      <c r="L181" s="4" t="str">
        <f>HYPERLINK("http://ms.phosphosite.org:5080/cgi-bin/plot-msms.cgi?MassType=1&amp;NumAxis=1&amp;Mod2=184&amp;Mod15=184&amp;Pep=GRGGYGGGGSGGGGRGGFPSGGGGGGGQQR&amp;Dta=/var/www/html/dta/yong/23616.4138.4.dta&amp;Global_Mod=CS57.0215", "4138")</f>
        <v>4138</v>
      </c>
      <c r="M181" s="4"/>
      <c r="N181" s="5">
        <v>24.63</v>
      </c>
      <c r="O181" s="5"/>
      <c r="P181" s="5">
        <v>3.2810000000000001</v>
      </c>
      <c r="Q181" s="5"/>
      <c r="R181" s="5">
        <v>1.0663</v>
      </c>
      <c r="S181" s="5"/>
      <c r="T181" s="5">
        <v>0.17799999999999999</v>
      </c>
      <c r="U181" s="5"/>
      <c r="V181" s="4">
        <v>1</v>
      </c>
      <c r="W181" s="4"/>
      <c r="X181" s="5">
        <v>1.7</v>
      </c>
      <c r="Y181" s="5"/>
      <c r="Z181" s="6" t="s">
        <v>1306</v>
      </c>
      <c r="AA181" s="6"/>
      <c r="AB181" s="4" t="s">
        <v>13</v>
      </c>
    </row>
    <row r="182" spans="1:28" s="12" customFormat="1">
      <c r="A182" s="3" t="s">
        <v>193</v>
      </c>
      <c r="B182" s="3" t="s">
        <v>1562</v>
      </c>
      <c r="C182" s="3" t="s">
        <v>1563</v>
      </c>
      <c r="D182" s="4" t="s">
        <v>1771</v>
      </c>
      <c r="E182" s="3" t="s">
        <v>233</v>
      </c>
      <c r="F182" s="7" t="s">
        <v>1348</v>
      </c>
      <c r="G182" s="4">
        <v>53.4</v>
      </c>
      <c r="H182" s="3" t="s">
        <v>236</v>
      </c>
      <c r="I182" s="3" t="s">
        <v>237</v>
      </c>
      <c r="J182" s="4">
        <v>3</v>
      </c>
      <c r="K182" s="4">
        <v>841.06439999999998</v>
      </c>
      <c r="L182" s="4" t="str">
        <f>HYPERLINK("http://ms.phosphosite.org:5080/cgi-bin/plot-msms.cgi?MassType=1&amp;NumAxis=1&amp;Mod2=184&amp;Mod15=184&amp;Pep=GRGGYGGGGSGGGGRGGFPSGGGGGGGQQR&amp;Dta=/var/www/html/dta/yong/23616.4159.3.dta&amp;Global_Mod=CS57.0215", "4159")</f>
        <v>4159</v>
      </c>
      <c r="M182" s="4" t="str">
        <f>HYPERLINK("http://ms.phosphosite.org:5080/cgi-bin/plot-msms.cgi?MassType=1&amp;NumAxis=1&amp;Mod2=184&amp;Mod15=184&amp;Pep=GRGGYGGGGSGGGGRGGFPSGGGGGGGQQR&amp;Dta=/var/www/html/dta/yong/23617.4268.3.dta&amp;Global_Mod=CS57.0215", "4268")</f>
        <v>4268</v>
      </c>
      <c r="N182" s="5">
        <v>24.7</v>
      </c>
      <c r="O182" s="5">
        <v>24.82</v>
      </c>
      <c r="P182" s="5">
        <v>3.3180000000000001</v>
      </c>
      <c r="Q182" s="5">
        <v>2.7120000000000002</v>
      </c>
      <c r="R182" s="5">
        <v>1.4254</v>
      </c>
      <c r="S182" s="5">
        <v>1.4950000000000001</v>
      </c>
      <c r="T182" s="5">
        <v>0.29170000000000001</v>
      </c>
      <c r="U182" s="5">
        <v>0.10879999999999999</v>
      </c>
      <c r="V182" s="4">
        <v>2</v>
      </c>
      <c r="W182" s="4">
        <v>1</v>
      </c>
      <c r="X182" s="5">
        <v>2.3199999999999998</v>
      </c>
      <c r="Y182" s="5">
        <v>1.1499999999999999</v>
      </c>
      <c r="Z182" s="6" t="s">
        <v>1306</v>
      </c>
      <c r="AA182" s="6" t="s">
        <v>1306</v>
      </c>
      <c r="AB182" s="4" t="s">
        <v>13</v>
      </c>
    </row>
    <row r="183" spans="1:28" s="12" customFormat="1">
      <c r="A183" s="3" t="s">
        <v>193</v>
      </c>
      <c r="B183" s="3" t="s">
        <v>1562</v>
      </c>
      <c r="C183" s="3" t="s">
        <v>1563</v>
      </c>
      <c r="D183" s="4" t="s">
        <v>1771</v>
      </c>
      <c r="E183" s="3" t="s">
        <v>233</v>
      </c>
      <c r="F183" s="7" t="s">
        <v>1348</v>
      </c>
      <c r="G183" s="4">
        <v>53.4</v>
      </c>
      <c r="H183" s="3" t="s">
        <v>236</v>
      </c>
      <c r="I183" s="3" t="s">
        <v>237</v>
      </c>
      <c r="J183" s="4">
        <v>4</v>
      </c>
      <c r="K183" s="4">
        <v>631.05020000000002</v>
      </c>
      <c r="L183" s="4" t="str">
        <f>HYPERLINK("http://ms.phosphosite.org:5080/cgi-bin/plot-msms.cgi?MassType=1&amp;NumAxis=1&amp;Mod2=184&amp;Mod15=184&amp;Pep=GRGGYGGGGSGGGGRGGFPSGGGGGGGQQR&amp;Dta=/var/www/html/dta/yong/23616.4282.4.dta&amp;Global_Mod=CS57.0215", "4282")</f>
        <v>4282</v>
      </c>
      <c r="M183" s="4" t="str">
        <f>HYPERLINK("http://ms.phosphosite.org:5080/cgi-bin/plot-msms.cgi?MassType=1&amp;NumAxis=1&amp;Mod2=184&amp;Mod15=184&amp;Pep=GRGGYGGGGSGGGGRGGFPSGGGGGGGQQR&amp;Dta=/var/www/html/dta/yong/23617.4227.4.dta&amp;Global_Mod=CS57.0215", "4227")</f>
        <v>4227</v>
      </c>
      <c r="N183" s="5">
        <v>25.22</v>
      </c>
      <c r="O183" s="5">
        <v>24.66</v>
      </c>
      <c r="P183" s="5">
        <v>3.32</v>
      </c>
      <c r="Q183" s="5">
        <v>3.2109999999999999</v>
      </c>
      <c r="R183" s="5">
        <v>1.3213999999999999</v>
      </c>
      <c r="S183" s="5">
        <v>0.67249999999999999</v>
      </c>
      <c r="T183" s="5">
        <v>0.2087</v>
      </c>
      <c r="U183" s="5">
        <v>0.24030000000000001</v>
      </c>
      <c r="V183" s="4">
        <v>1</v>
      </c>
      <c r="W183" s="4">
        <v>1</v>
      </c>
      <c r="X183" s="5">
        <v>1.87</v>
      </c>
      <c r="Y183" s="5">
        <v>2.1</v>
      </c>
      <c r="Z183" s="6" t="s">
        <v>1306</v>
      </c>
      <c r="AA183" s="6" t="s">
        <v>1306</v>
      </c>
      <c r="AB183" s="4" t="s">
        <v>13</v>
      </c>
    </row>
    <row r="184" spans="1:28" s="12" customFormat="1">
      <c r="A184" s="3" t="s">
        <v>193</v>
      </c>
      <c r="B184" s="3" t="s">
        <v>1562</v>
      </c>
      <c r="C184" s="3" t="s">
        <v>1563</v>
      </c>
      <c r="D184" s="4" t="s">
        <v>1771</v>
      </c>
      <c r="E184" s="3" t="s">
        <v>233</v>
      </c>
      <c r="F184" s="7" t="s">
        <v>1348</v>
      </c>
      <c r="G184" s="4">
        <v>53.4</v>
      </c>
      <c r="H184" s="3" t="s">
        <v>236</v>
      </c>
      <c r="I184" s="3" t="s">
        <v>237</v>
      </c>
      <c r="J184" s="4">
        <v>3</v>
      </c>
      <c r="K184" s="4">
        <v>841.06439999999998</v>
      </c>
      <c r="L184" s="4"/>
      <c r="M184" s="4" t="str">
        <f>HYPERLINK("http://ms.phosphosite.org:5080/cgi-bin/plot-msms.cgi?MassType=1&amp;NumAxis=1&amp;Mod2=184&amp;Mod15=184&amp;Pep=GRGGYGGGGSGGGGRGGFPSGGGGGGGQQR&amp;Dta=/var/www/html/dta/yong/23617.4251.3.dta&amp;Global_Mod=CS57.0215", "4251")</f>
        <v>4251</v>
      </c>
      <c r="N184" s="5"/>
      <c r="O184" s="5">
        <v>24.76</v>
      </c>
      <c r="P184" s="5"/>
      <c r="Q184" s="5">
        <v>2.92</v>
      </c>
      <c r="R184" s="5"/>
      <c r="S184" s="5">
        <v>1.4950000000000001</v>
      </c>
      <c r="T184" s="5"/>
      <c r="U184" s="5">
        <v>0.2283</v>
      </c>
      <c r="V184" s="4"/>
      <c r="W184" s="4">
        <v>1</v>
      </c>
      <c r="X184" s="5"/>
      <c r="Y184" s="5">
        <v>1.89</v>
      </c>
      <c r="Z184" s="6"/>
      <c r="AA184" s="6" t="s">
        <v>1306</v>
      </c>
      <c r="AB184" s="4" t="s">
        <v>13</v>
      </c>
    </row>
    <row r="185" spans="1:28" s="12" customFormat="1">
      <c r="A185" s="9" t="s">
        <v>193</v>
      </c>
      <c r="B185" s="3" t="s">
        <v>1562</v>
      </c>
      <c r="C185" s="3" t="s">
        <v>1563</v>
      </c>
      <c r="D185" s="7">
        <v>407</v>
      </c>
      <c r="E185" s="9" t="s">
        <v>233</v>
      </c>
      <c r="F185" s="7" t="s">
        <v>1348</v>
      </c>
      <c r="G185" s="7">
        <v>53.4</v>
      </c>
      <c r="H185" s="9" t="s">
        <v>238</v>
      </c>
      <c r="I185" s="9" t="s">
        <v>239</v>
      </c>
      <c r="J185" s="7">
        <v>3</v>
      </c>
      <c r="K185" s="7">
        <v>668.31110000000001</v>
      </c>
      <c r="L185" s="7" t="str">
        <f>HYPERLINK("http://ms.phosphosite.org:5080/cgi-bin/plot-msms.cgi?MassType=1&amp;NumAxis=1&amp;Mod10=184&amp;Pep=GGGGSGGGGRGGFPSGGGGGGGQQR&amp;Dta=/var/www/html/dta/yong/23616.3151.3.dta&amp;Global_Mod=CS57.0215", "3151")</f>
        <v>3151</v>
      </c>
      <c r="M185" s="7"/>
      <c r="N185" s="10">
        <v>20.32</v>
      </c>
      <c r="O185" s="10"/>
      <c r="P185" s="10">
        <v>3.242</v>
      </c>
      <c r="Q185" s="10"/>
      <c r="R185" s="10">
        <v>2.0994999999999999</v>
      </c>
      <c r="S185" s="10"/>
      <c r="T185" s="10">
        <v>0.2266</v>
      </c>
      <c r="U185" s="10"/>
      <c r="V185" s="7">
        <v>1</v>
      </c>
      <c r="W185" s="7"/>
      <c r="X185" s="10">
        <v>2.12</v>
      </c>
      <c r="Y185" s="10"/>
      <c r="Z185" s="11">
        <v>1000</v>
      </c>
      <c r="AA185" s="11"/>
      <c r="AB185" s="7" t="s">
        <v>13</v>
      </c>
    </row>
    <row r="186" spans="1:28" s="12" customFormat="1">
      <c r="A186" s="9" t="s">
        <v>193</v>
      </c>
      <c r="B186" s="3" t="s">
        <v>1562</v>
      </c>
      <c r="C186" s="3" t="s">
        <v>1563</v>
      </c>
      <c r="D186" s="7">
        <v>407</v>
      </c>
      <c r="E186" s="9" t="s">
        <v>233</v>
      </c>
      <c r="F186" s="7" t="s">
        <v>1348</v>
      </c>
      <c r="G186" s="7">
        <v>53.4</v>
      </c>
      <c r="H186" s="9" t="s">
        <v>238</v>
      </c>
      <c r="I186" s="9" t="s">
        <v>239</v>
      </c>
      <c r="J186" s="7">
        <v>3</v>
      </c>
      <c r="K186" s="7">
        <v>668.31110000000001</v>
      </c>
      <c r="L186" s="7" t="str">
        <f>HYPERLINK("http://ms.phosphosite.org:5080/cgi-bin/plot-msms.cgi?MassType=1&amp;NumAxis=1&amp;Mod10=184&amp;Pep=GGGGSGGGGRGGFPSGGGGGGGQQR&amp;Dta=/var/www/html/dta/yong/23616.3160.3.dta&amp;Global_Mod=CS57.0215", "3160")</f>
        <v>3160</v>
      </c>
      <c r="M186" s="7"/>
      <c r="N186" s="10">
        <v>20.36</v>
      </c>
      <c r="O186" s="10"/>
      <c r="P186" s="10">
        <v>3.105</v>
      </c>
      <c r="Q186" s="10"/>
      <c r="R186" s="10">
        <v>2.3005</v>
      </c>
      <c r="S186" s="10"/>
      <c r="T186" s="10">
        <v>0.28899999999999998</v>
      </c>
      <c r="U186" s="10"/>
      <c r="V186" s="7">
        <v>1</v>
      </c>
      <c r="W186" s="7"/>
      <c r="X186" s="10">
        <v>2.4300000000000002</v>
      </c>
      <c r="Y186" s="10"/>
      <c r="Z186" s="11">
        <v>1000</v>
      </c>
      <c r="AA186" s="11"/>
      <c r="AB186" s="7" t="s">
        <v>13</v>
      </c>
    </row>
    <row r="187" spans="1:28" s="12" customFormat="1">
      <c r="A187" s="3" t="s">
        <v>193</v>
      </c>
      <c r="B187" s="3" t="s">
        <v>1564</v>
      </c>
      <c r="C187" s="3" t="s">
        <v>1565</v>
      </c>
      <c r="D187" s="4" t="s">
        <v>1772</v>
      </c>
      <c r="E187" s="3" t="s">
        <v>240</v>
      </c>
      <c r="F187" s="7" t="s">
        <v>1349</v>
      </c>
      <c r="G187" s="4">
        <v>61.9</v>
      </c>
      <c r="H187" s="3" t="s">
        <v>241</v>
      </c>
      <c r="I187" s="3" t="s">
        <v>242</v>
      </c>
      <c r="J187" s="4">
        <v>3</v>
      </c>
      <c r="K187" s="4">
        <v>744.70039999999995</v>
      </c>
      <c r="L187" s="4" t="str">
        <f>HYPERLINK("http://ms.phosphosite.org:5080/cgi-bin/plot-msms.cgi?MassType=1&amp;NumAxis=1&amp;Mod4=147&amp;Mod9=184&amp;Mod13=184&amp;Pep=EKEMQEFTRSFFRGRPD&amp;Dta=/var/www/html/dta/yong/23616.18929.3.dta&amp;Global_Mod=CS57.0215", "18929")</f>
        <v>18929</v>
      </c>
      <c r="M187" s="4"/>
      <c r="N187" s="5">
        <v>87.39</v>
      </c>
      <c r="O187" s="5"/>
      <c r="P187" s="5">
        <v>3.327</v>
      </c>
      <c r="Q187" s="5"/>
      <c r="R187" s="5">
        <v>-6.5259999999999998</v>
      </c>
      <c r="S187" s="5"/>
      <c r="T187" s="5">
        <v>0.22409999999999999</v>
      </c>
      <c r="U187" s="5"/>
      <c r="V187" s="4">
        <v>12</v>
      </c>
      <c r="W187" s="4"/>
      <c r="X187" s="5">
        <v>1.24</v>
      </c>
      <c r="Y187" s="5"/>
      <c r="Z187" s="6" t="s">
        <v>1308</v>
      </c>
      <c r="AA187" s="6"/>
      <c r="AB187" s="4" t="s">
        <v>13</v>
      </c>
    </row>
    <row r="188" spans="1:28" s="12" customFormat="1">
      <c r="A188" s="3" t="s">
        <v>193</v>
      </c>
      <c r="B188" s="3" t="s">
        <v>1566</v>
      </c>
      <c r="C188" s="3" t="s">
        <v>1567</v>
      </c>
      <c r="D188" s="4">
        <v>702</v>
      </c>
      <c r="E188" s="3" t="s">
        <v>243</v>
      </c>
      <c r="F188" s="7" t="s">
        <v>1350</v>
      </c>
      <c r="G188" s="4">
        <v>90.5</v>
      </c>
      <c r="H188" s="3" t="s">
        <v>250</v>
      </c>
      <c r="I188" s="3" t="s">
        <v>251</v>
      </c>
      <c r="J188" s="4">
        <v>2</v>
      </c>
      <c r="K188" s="4">
        <v>507.74680000000001</v>
      </c>
      <c r="L188" s="4" t="str">
        <f>HYPERLINK("http://ms.phosphosite.org:5080/cgi-bin/plot-msms.cgi?MassType=1&amp;NumAxis=1&amp;Mod5=184&amp;Pep=NQFNRGGGH&amp;Dta=/var/www/html/dta/yong/23616.1576.2.dta&amp;Global_Mod=CS57.0215", "1576")</f>
        <v>1576</v>
      </c>
      <c r="M188" s="4" t="str">
        <f>HYPERLINK("http://ms.phosphosite.org:5080/cgi-bin/plot-msms.cgi?MassType=1&amp;NumAxis=1&amp;Mod5=184&amp;Pep=NQFNRGGGH&amp;Dta=/var/www/html/dta/yong/23617.1601.2.dta&amp;Global_Mod=CS57.0215", "1601")</f>
        <v>1601</v>
      </c>
      <c r="N188" s="5">
        <v>13.5</v>
      </c>
      <c r="O188" s="5">
        <v>13.48</v>
      </c>
      <c r="P188" s="5">
        <v>2.403</v>
      </c>
      <c r="Q188" s="5">
        <v>2.2629999999999999</v>
      </c>
      <c r="R188" s="5">
        <v>0.43340000000000001</v>
      </c>
      <c r="S188" s="5">
        <v>1.38E-2</v>
      </c>
      <c r="T188" s="5">
        <v>0.26079999999999998</v>
      </c>
      <c r="U188" s="5">
        <v>0.1764</v>
      </c>
      <c r="V188" s="4">
        <v>1</v>
      </c>
      <c r="W188" s="4">
        <v>1</v>
      </c>
      <c r="X188" s="5">
        <v>2.1800000000000002</v>
      </c>
      <c r="Y188" s="5">
        <v>1.66</v>
      </c>
      <c r="Z188" s="6">
        <v>1000</v>
      </c>
      <c r="AA188" s="6">
        <v>1000</v>
      </c>
      <c r="AB188" s="4" t="s">
        <v>13</v>
      </c>
    </row>
    <row r="189" spans="1:28" s="12" customFormat="1">
      <c r="A189" s="9" t="s">
        <v>193</v>
      </c>
      <c r="B189" s="3" t="s">
        <v>1566</v>
      </c>
      <c r="C189" s="3" t="s">
        <v>1567</v>
      </c>
      <c r="D189" s="7" t="s">
        <v>1773</v>
      </c>
      <c r="E189" s="9" t="s">
        <v>243</v>
      </c>
      <c r="F189" s="7" t="s">
        <v>1350</v>
      </c>
      <c r="G189" s="7">
        <v>90.5</v>
      </c>
      <c r="H189" s="9" t="s">
        <v>252</v>
      </c>
      <c r="I189" s="9" t="s">
        <v>253</v>
      </c>
      <c r="J189" s="7">
        <v>3</v>
      </c>
      <c r="K189" s="7">
        <v>376.53210000000001</v>
      </c>
      <c r="L189" s="7"/>
      <c r="M189" s="7" t="str">
        <f>HYPERLINK("http://ms.phosphosite.org:5080/cgi-bin/plot-msms.cgi?MassType=1&amp;NumAxis=1&amp;Mod5=184&amp;Mod7=184&amp;Pep=GGGHRGRGGFN&amp;Dta=/var/www/html/dta/yong/23617.1283.3.dta&amp;Global_Mod=CS57.0215", "1283")</f>
        <v>1283</v>
      </c>
      <c r="N189" s="10"/>
      <c r="O189" s="10">
        <v>12.19</v>
      </c>
      <c r="P189" s="10"/>
      <c r="Q189" s="10">
        <v>1.835</v>
      </c>
      <c r="R189" s="10"/>
      <c r="S189" s="10">
        <v>1.55E-2</v>
      </c>
      <c r="T189" s="10"/>
      <c r="U189" s="10">
        <v>0.20949999999999999</v>
      </c>
      <c r="V189" s="7"/>
      <c r="W189" s="7">
        <v>25</v>
      </c>
      <c r="X189" s="10"/>
      <c r="Y189" s="10">
        <v>1.51</v>
      </c>
      <c r="Z189" s="11"/>
      <c r="AA189" s="11" t="s">
        <v>1306</v>
      </c>
      <c r="AB189" s="7" t="s">
        <v>13</v>
      </c>
    </row>
    <row r="190" spans="1:28" s="12" customFormat="1">
      <c r="A190" s="3" t="s">
        <v>193</v>
      </c>
      <c r="B190" s="3" t="s">
        <v>1566</v>
      </c>
      <c r="C190" s="3" t="s">
        <v>1567</v>
      </c>
      <c r="D190" s="4" t="s">
        <v>1774</v>
      </c>
      <c r="E190" s="3" t="s">
        <v>243</v>
      </c>
      <c r="F190" s="7" t="s">
        <v>1350</v>
      </c>
      <c r="G190" s="4">
        <v>90.5</v>
      </c>
      <c r="H190" s="3" t="s">
        <v>244</v>
      </c>
      <c r="I190" s="3" t="s">
        <v>245</v>
      </c>
      <c r="J190" s="4">
        <v>2</v>
      </c>
      <c r="K190" s="4">
        <v>899.45519999999999</v>
      </c>
      <c r="L190" s="4"/>
      <c r="M190" s="4" t="str">
        <f>HYPERLINK("http://ms.phosphosite.org:5080/cgi-bin/plot-msms.cgi?MassType=1&amp;NumAxis=1&amp;Mod7=184&amp;Mod13=184&amp;Pep=APVFPGRGSYSNRGNY&amp;Dta=/var/www/html/dta/yong/23617.10398.2.dta&amp;Global_Mod=CS57.0215", "10398")</f>
        <v>10398</v>
      </c>
      <c r="N190" s="5"/>
      <c r="O190" s="5">
        <v>50.32</v>
      </c>
      <c r="P190" s="5"/>
      <c r="Q190" s="5">
        <v>1.776</v>
      </c>
      <c r="R190" s="5"/>
      <c r="S190" s="5">
        <v>0.77580000000000005</v>
      </c>
      <c r="T190" s="5"/>
      <c r="U190" s="5">
        <v>0.16919999999999999</v>
      </c>
      <c r="V190" s="4"/>
      <c r="W190" s="4">
        <v>1</v>
      </c>
      <c r="X190" s="5"/>
      <c r="Y190" s="5">
        <v>1.21</v>
      </c>
      <c r="Z190" s="6"/>
      <c r="AA190" s="6" t="s">
        <v>1306</v>
      </c>
      <c r="AB190" s="4" t="s">
        <v>13</v>
      </c>
    </row>
    <row r="191" spans="1:28" s="12" customFormat="1">
      <c r="A191" s="3" t="s">
        <v>193</v>
      </c>
      <c r="B191" s="3" t="s">
        <v>1566</v>
      </c>
      <c r="C191" s="3" t="s">
        <v>1567</v>
      </c>
      <c r="D191" s="4" t="s">
        <v>1774</v>
      </c>
      <c r="E191" s="3" t="s">
        <v>243</v>
      </c>
      <c r="F191" s="7" t="s">
        <v>1350</v>
      </c>
      <c r="G191" s="4">
        <v>90.5</v>
      </c>
      <c r="H191" s="3" t="s">
        <v>244</v>
      </c>
      <c r="I191" s="3" t="s">
        <v>246</v>
      </c>
      <c r="J191" s="4">
        <v>3</v>
      </c>
      <c r="K191" s="4">
        <v>637.98689999999999</v>
      </c>
      <c r="L191" s="4"/>
      <c r="M191" s="4" t="str">
        <f>HYPERLINK("http://ms.phosphosite.org:5080/cgi-bin/plot-msms.cgi?MassType=1&amp;NumAxis=1&amp;Mod7=184&amp;Mod13=184&amp;Pep=APVFPGRGSYSNRGNYN&amp;Dta=/var/www/html/dta/yong/23617.9423.3.dta&amp;Global_Mod=CS57.0215", "9423")</f>
        <v>9423</v>
      </c>
      <c r="N191" s="5"/>
      <c r="O191" s="5">
        <v>46.27</v>
      </c>
      <c r="P191" s="5"/>
      <c r="Q191" s="5">
        <v>2.077</v>
      </c>
      <c r="R191" s="5"/>
      <c r="S191" s="5">
        <v>0.15229999999999999</v>
      </c>
      <c r="T191" s="5"/>
      <c r="U191" s="5">
        <v>0.12920000000000001</v>
      </c>
      <c r="V191" s="4"/>
      <c r="W191" s="4">
        <v>24</v>
      </c>
      <c r="X191" s="5"/>
      <c r="Y191" s="5">
        <v>1.08</v>
      </c>
      <c r="Z191" s="6"/>
      <c r="AA191" s="6" t="s">
        <v>1306</v>
      </c>
      <c r="AB191" s="4" t="s">
        <v>13</v>
      </c>
    </row>
    <row r="192" spans="1:28" s="12" customFormat="1">
      <c r="A192" s="9" t="s">
        <v>193</v>
      </c>
      <c r="B192" s="3" t="s">
        <v>1566</v>
      </c>
      <c r="C192" s="3" t="s">
        <v>1567</v>
      </c>
      <c r="D192" s="7">
        <v>762</v>
      </c>
      <c r="E192" s="9" t="s">
        <v>243</v>
      </c>
      <c r="F192" s="7" t="s">
        <v>1350</v>
      </c>
      <c r="G192" s="7">
        <v>90.5</v>
      </c>
      <c r="H192" s="9" t="s">
        <v>247</v>
      </c>
      <c r="I192" s="9" t="s">
        <v>248</v>
      </c>
      <c r="J192" s="7">
        <v>2</v>
      </c>
      <c r="K192" s="7">
        <v>539.7876</v>
      </c>
      <c r="L192" s="7" t="str">
        <f>HYPERLINK("http://ms.phosphosite.org:5080/cgi-bin/plot-msms.cgi?MassType=1&amp;NumAxis=1&amp;Mod7=184&amp;Pep=APVFPGRGSY&amp;Dta=/var/www/html/dta/yong/23616.11297.2.dta&amp;Global_Mod=CS57.0215", "11297")</f>
        <v>11297</v>
      </c>
      <c r="M192" s="7" t="str">
        <f>HYPERLINK("http://ms.phosphosite.org:5080/cgi-bin/plot-msms.cgi?MassType=1&amp;NumAxis=1&amp;Mod7=184&amp;Pep=APVFPGRGSY&amp;Dta=/var/www/html/dta/yong/23617.11416.2.dta&amp;Global_Mod=CS57.0215", "11416")</f>
        <v>11416</v>
      </c>
      <c r="N192" s="10">
        <v>54.55</v>
      </c>
      <c r="O192" s="10">
        <v>54.53</v>
      </c>
      <c r="P192" s="10">
        <v>2.0129999999999999</v>
      </c>
      <c r="Q192" s="10">
        <v>2.2999999999999998</v>
      </c>
      <c r="R192" s="10">
        <v>0.23780000000000001</v>
      </c>
      <c r="S192" s="10">
        <v>7.3599999999999999E-2</v>
      </c>
      <c r="T192" s="10">
        <v>0.14699999999999999</v>
      </c>
      <c r="U192" s="10">
        <v>0.20799999999999999</v>
      </c>
      <c r="V192" s="7">
        <v>1</v>
      </c>
      <c r="W192" s="7">
        <v>1</v>
      </c>
      <c r="X192" s="10">
        <v>1.4</v>
      </c>
      <c r="Y192" s="10">
        <v>1.84</v>
      </c>
      <c r="Z192" s="11">
        <v>1000</v>
      </c>
      <c r="AA192" s="11">
        <v>1000</v>
      </c>
      <c r="AB192" s="7" t="s">
        <v>13</v>
      </c>
    </row>
    <row r="193" spans="1:28" s="12" customFormat="1">
      <c r="A193" s="9" t="s">
        <v>193</v>
      </c>
      <c r="B193" s="3" t="s">
        <v>1566</v>
      </c>
      <c r="C193" s="3" t="s">
        <v>1567</v>
      </c>
      <c r="D193" s="7">
        <v>762</v>
      </c>
      <c r="E193" s="9" t="s">
        <v>243</v>
      </c>
      <c r="F193" s="7" t="s">
        <v>1350</v>
      </c>
      <c r="G193" s="7">
        <v>90.5</v>
      </c>
      <c r="H193" s="9" t="s">
        <v>247</v>
      </c>
      <c r="I193" s="9" t="s">
        <v>248</v>
      </c>
      <c r="J193" s="7">
        <v>2</v>
      </c>
      <c r="K193" s="7">
        <v>539.7876</v>
      </c>
      <c r="L193" s="7" t="str">
        <f>HYPERLINK("http://ms.phosphosite.org:5080/cgi-bin/plot-msms.cgi?MassType=1&amp;NumAxis=1&amp;Mod7=184&amp;Pep=APVFPGRGSY&amp;Dta=/var/www/html/dta/yong/23616.11463.2.dta&amp;Global_Mod=CS57.0215", "11463")</f>
        <v>11463</v>
      </c>
      <c r="M193" s="7" t="str">
        <f>HYPERLINK("http://ms.phosphosite.org:5080/cgi-bin/plot-msms.cgi?MassType=1&amp;NumAxis=1&amp;Mod7=184&amp;Pep=APVFPGRGSY&amp;Dta=/var/www/html/dta/yong/23617.11572.2.dta&amp;Global_Mod=CS57.0215", "11572")</f>
        <v>11572</v>
      </c>
      <c r="N193" s="10">
        <v>55.28</v>
      </c>
      <c r="O193" s="10">
        <v>55.23</v>
      </c>
      <c r="P193" s="10">
        <v>2.2130000000000001</v>
      </c>
      <c r="Q193" s="10">
        <v>2.319</v>
      </c>
      <c r="R193" s="10">
        <v>0.28070000000000001</v>
      </c>
      <c r="S193" s="10">
        <v>8.6800000000000002E-2</v>
      </c>
      <c r="T193" s="10">
        <v>0.27589999999999998</v>
      </c>
      <c r="U193" s="10">
        <v>0.25040000000000001</v>
      </c>
      <c r="V193" s="7">
        <v>1</v>
      </c>
      <c r="W193" s="7">
        <v>1</v>
      </c>
      <c r="X193" s="10">
        <v>2.19</v>
      </c>
      <c r="Y193" s="10">
        <v>2.08</v>
      </c>
      <c r="Z193" s="11">
        <v>1000</v>
      </c>
      <c r="AA193" s="11">
        <v>1000</v>
      </c>
      <c r="AB193" s="7" t="s">
        <v>13</v>
      </c>
    </row>
    <row r="194" spans="1:28" s="12" customFormat="1">
      <c r="A194" s="9" t="s">
        <v>193</v>
      </c>
      <c r="B194" s="3" t="s">
        <v>1566</v>
      </c>
      <c r="C194" s="3" t="s">
        <v>1567</v>
      </c>
      <c r="D194" s="7">
        <v>762</v>
      </c>
      <c r="E194" s="9" t="s">
        <v>243</v>
      </c>
      <c r="F194" s="7" t="s">
        <v>1350</v>
      </c>
      <c r="G194" s="7">
        <v>90.5</v>
      </c>
      <c r="H194" s="9" t="s">
        <v>247</v>
      </c>
      <c r="I194" s="9" t="s">
        <v>249</v>
      </c>
      <c r="J194" s="7">
        <v>2</v>
      </c>
      <c r="K194" s="7">
        <v>640.32510000000002</v>
      </c>
      <c r="L194" s="7" t="str">
        <f>HYPERLINK("http://ms.phosphosite.org:5080/cgi-bin/plot-msms.cgi?MassType=1&amp;NumAxis=1&amp;Mod7=184&amp;Pep=APVFPGRGSYSN&amp;Dta=/var/www/html/dta/yong/23616.9523.2.dta&amp;Global_Mod=CS57.0215", "9523")</f>
        <v>9523</v>
      </c>
      <c r="M194" s="7" t="str">
        <f>HYPERLINK("http://ms.phosphosite.org:5080/cgi-bin/plot-msms.cgi?MassType=1&amp;NumAxis=1&amp;Mod7=184&amp;Pep=APVFPGRGSYSN&amp;Dta=/var/www/html/dta/yong/23617.9669.2.dta&amp;Global_Mod=CS57.0215", "9669")</f>
        <v>9669</v>
      </c>
      <c r="N194" s="10">
        <v>47.11</v>
      </c>
      <c r="O194" s="10">
        <v>47.25</v>
      </c>
      <c r="P194" s="10">
        <v>2.9849999999999999</v>
      </c>
      <c r="Q194" s="10">
        <v>2.5920000000000001</v>
      </c>
      <c r="R194" s="10">
        <v>0.43109999999999998</v>
      </c>
      <c r="S194" s="10">
        <v>0.30690000000000001</v>
      </c>
      <c r="T194" s="10">
        <v>0.35189999999999999</v>
      </c>
      <c r="U194" s="10">
        <v>0.24840000000000001</v>
      </c>
      <c r="V194" s="7">
        <v>1</v>
      </c>
      <c r="W194" s="7">
        <v>3</v>
      </c>
      <c r="X194" s="10">
        <v>2.83</v>
      </c>
      <c r="Y194" s="10">
        <v>2.14</v>
      </c>
      <c r="Z194" s="11">
        <v>1000</v>
      </c>
      <c r="AA194" s="11">
        <v>1000</v>
      </c>
      <c r="AB194" s="7" t="s">
        <v>13</v>
      </c>
    </row>
    <row r="195" spans="1:28" s="12" customFormat="1">
      <c r="A195" s="9" t="s">
        <v>193</v>
      </c>
      <c r="B195" s="3" t="s">
        <v>1566</v>
      </c>
      <c r="C195" s="3" t="s">
        <v>1567</v>
      </c>
      <c r="D195" s="7">
        <v>762</v>
      </c>
      <c r="E195" s="9" t="s">
        <v>243</v>
      </c>
      <c r="F195" s="7" t="s">
        <v>1350</v>
      </c>
      <c r="G195" s="7">
        <v>90.5</v>
      </c>
      <c r="H195" s="9" t="s">
        <v>247</v>
      </c>
      <c r="I195" s="9" t="s">
        <v>249</v>
      </c>
      <c r="J195" s="7">
        <v>2</v>
      </c>
      <c r="K195" s="7">
        <v>640.32510000000002</v>
      </c>
      <c r="L195" s="7" t="str">
        <f>HYPERLINK("http://ms.phosphosite.org:5080/cgi-bin/plot-msms.cgi?MassType=1&amp;NumAxis=1&amp;Mod7=184&amp;Pep=APVFPGRGSYSN&amp;Dta=/var/www/html/dta/yong/23616.9683.2.dta&amp;Global_Mod=CS57.0215", "9683")</f>
        <v>9683</v>
      </c>
      <c r="M195" s="7" t="str">
        <f>HYPERLINK("http://ms.phosphosite.org:5080/cgi-bin/plot-msms.cgi?MassType=1&amp;NumAxis=1&amp;Mod7=184&amp;Pep=APVFPGRGSYSN&amp;Dta=/var/www/html/dta/yong/23617.9838.2.dta&amp;Global_Mod=CS57.0215", "9838")</f>
        <v>9838</v>
      </c>
      <c r="N195" s="10">
        <v>47.78</v>
      </c>
      <c r="O195" s="10">
        <v>47.94</v>
      </c>
      <c r="P195" s="10">
        <v>2.617</v>
      </c>
      <c r="Q195" s="10">
        <v>2.883</v>
      </c>
      <c r="R195" s="10">
        <v>0.35630000000000001</v>
      </c>
      <c r="S195" s="10">
        <v>0.41670000000000001</v>
      </c>
      <c r="T195" s="10">
        <v>0.27389999999999998</v>
      </c>
      <c r="U195" s="10">
        <v>0.3931</v>
      </c>
      <c r="V195" s="7">
        <v>8</v>
      </c>
      <c r="W195" s="7">
        <v>1</v>
      </c>
      <c r="X195" s="10">
        <v>2.2799999999999998</v>
      </c>
      <c r="Y195" s="10">
        <v>3.05</v>
      </c>
      <c r="Z195" s="11">
        <v>1000</v>
      </c>
      <c r="AA195" s="11">
        <v>1000</v>
      </c>
      <c r="AB195" s="7" t="s">
        <v>13</v>
      </c>
    </row>
    <row r="196" spans="1:28" s="13" customFormat="1">
      <c r="A196" s="3" t="s">
        <v>193</v>
      </c>
      <c r="B196" s="3" t="s">
        <v>254</v>
      </c>
      <c r="C196" s="3" t="s">
        <v>254</v>
      </c>
      <c r="D196" s="4">
        <v>165</v>
      </c>
      <c r="E196" s="3" t="s">
        <v>255</v>
      </c>
      <c r="F196" s="7" t="s">
        <v>1351</v>
      </c>
      <c r="G196" s="4">
        <v>39.700000000000003</v>
      </c>
      <c r="H196" s="3" t="s">
        <v>256</v>
      </c>
      <c r="I196" s="3" t="s">
        <v>257</v>
      </c>
      <c r="J196" s="4">
        <v>2</v>
      </c>
      <c r="K196" s="4">
        <v>468.76670000000001</v>
      </c>
      <c r="L196" s="4"/>
      <c r="M196" s="4" t="str">
        <f>HYPERLINK("http://ms.phosphosite.org:5080/cgi-bin/plot-msms.cgi?MassType=1&amp;NumAxis=1&amp;Mod9=184&amp;Pep=SPGPLPGARG&amp;Dta=/var/www/html/dta/yong/23617.9157.2.dta&amp;Global_Mod=CS57.0215", "9157")</f>
        <v>9157</v>
      </c>
      <c r="N196" s="5"/>
      <c r="O196" s="5">
        <v>45.12</v>
      </c>
      <c r="P196" s="5"/>
      <c r="Q196" s="5">
        <v>1.847</v>
      </c>
      <c r="R196" s="5"/>
      <c r="S196" s="5">
        <v>-0.31890000000000002</v>
      </c>
      <c r="T196" s="5"/>
      <c r="U196" s="5">
        <v>0.13439999999999999</v>
      </c>
      <c r="V196" s="4"/>
      <c r="W196" s="4">
        <v>15</v>
      </c>
      <c r="X196" s="5"/>
      <c r="Y196" s="5">
        <v>1.04</v>
      </c>
      <c r="Z196" s="6"/>
      <c r="AA196" s="6">
        <v>1000</v>
      </c>
      <c r="AB196" s="4" t="s">
        <v>13</v>
      </c>
    </row>
    <row r="197" spans="1:28" s="12" customFormat="1">
      <c r="A197" s="9" t="s">
        <v>193</v>
      </c>
      <c r="B197" s="9" t="s">
        <v>1568</v>
      </c>
      <c r="C197" s="9" t="s">
        <v>1569</v>
      </c>
      <c r="D197" s="7" t="s">
        <v>1775</v>
      </c>
      <c r="E197" s="9" t="s">
        <v>258</v>
      </c>
      <c r="F197" s="7" t="s">
        <v>1352</v>
      </c>
      <c r="G197" s="7">
        <v>593</v>
      </c>
      <c r="H197" s="9" t="s">
        <v>259</v>
      </c>
      <c r="I197" s="9" t="s">
        <v>260</v>
      </c>
      <c r="J197" s="7">
        <v>4</v>
      </c>
      <c r="K197" s="7">
        <v>1264.6303</v>
      </c>
      <c r="L197" s="7" t="str">
        <f>HYPERLINK("http://ms.phosphosite.org:5080/cgi-bin/plot-msms.cgi?MassType=1&amp;NumAxis=1&amp;Mod12=184&amp;Mod40=147&amp;Mod41=184&amp;Mod44=147&amp;Pep=QLVGGSQAFYQRAPYPGSLPLQQQQQQLWQQQQATAATSMRFAM&amp;Dta=/var/www/html/dta/yong/23616.22461.4.dta&amp;Global_Mod=CS57.0215", "22461")</f>
        <v>22461</v>
      </c>
      <c r="M197" s="7" t="str">
        <f>HYPERLINK("http://ms.phosphosite.org:5080/cgi-bin/plot-msms.cgi?MassType=1&amp;NumAxis=1&amp;Mod12=184&amp;Mod40=147&amp;Mod41=184&amp;Mod44=147&amp;Pep=QLVGGSQAFYQRAPYPGSLPLQQQQQQLWQQQQATAATSMRFAM&amp;Dta=/var/www/html/dta/yong/23617.22576.4.dta&amp;Global_Mod=CS57.0215", "22576")</f>
        <v>22576</v>
      </c>
      <c r="N197" s="10">
        <v>101.99</v>
      </c>
      <c r="O197" s="10">
        <v>101.8</v>
      </c>
      <c r="P197" s="10">
        <v>4.5679999999999996</v>
      </c>
      <c r="Q197" s="10">
        <v>4.4459999999999997</v>
      </c>
      <c r="R197" s="10">
        <v>1.2456</v>
      </c>
      <c r="S197" s="10">
        <v>0.82240000000000002</v>
      </c>
      <c r="T197" s="10">
        <v>0.35170000000000001</v>
      </c>
      <c r="U197" s="10">
        <v>0.3468</v>
      </c>
      <c r="V197" s="7">
        <v>1</v>
      </c>
      <c r="W197" s="7">
        <v>1</v>
      </c>
      <c r="X197" s="10">
        <v>3.55</v>
      </c>
      <c r="Y197" s="10">
        <v>3.49</v>
      </c>
      <c r="Z197" s="11" t="s">
        <v>1306</v>
      </c>
      <c r="AA197" s="11" t="s">
        <v>1306</v>
      </c>
      <c r="AB197" s="7" t="s">
        <v>13</v>
      </c>
    </row>
    <row r="198" spans="1:28" s="12" customFormat="1">
      <c r="A198" s="9" t="s">
        <v>193</v>
      </c>
      <c r="B198" s="9" t="s">
        <v>1568</v>
      </c>
      <c r="C198" s="9" t="s">
        <v>1569</v>
      </c>
      <c r="D198" s="7" t="s">
        <v>1775</v>
      </c>
      <c r="E198" s="9" t="s">
        <v>258</v>
      </c>
      <c r="F198" s="7" t="s">
        <v>1352</v>
      </c>
      <c r="G198" s="7">
        <v>593</v>
      </c>
      <c r="H198" s="9" t="s">
        <v>259</v>
      </c>
      <c r="I198" s="9" t="s">
        <v>260</v>
      </c>
      <c r="J198" s="7">
        <v>5</v>
      </c>
      <c r="K198" s="7">
        <v>1011.9057</v>
      </c>
      <c r="L198" s="7" t="str">
        <f>HYPERLINK("http://ms.phosphosite.org:5080/cgi-bin/plot-msms.cgi?MassType=1&amp;NumAxis=1&amp;Mod12=184&amp;Mod40=147&amp;Mod41=184&amp;Mod44=147&amp;Pep=QLVGGSQAFYQRAPYPGSLPLQQQQQQLWQQQQATAATSMRFAM&amp;Dta=/var/www/html/dta/yong/23616.22507.5.dta&amp;Global_Mod=CS57.0215", "22507")</f>
        <v>22507</v>
      </c>
      <c r="M198" s="7" t="str">
        <f>HYPERLINK("http://ms.phosphosite.org:5080/cgi-bin/plot-msms.cgi?MassType=1&amp;NumAxis=1&amp;Mod12=184&amp;Mod40=147&amp;Mod41=184&amp;Mod44=147&amp;Pep=QLVGGSQAFYQRAPYPGSLPLQQQQQQLWQQQQATAATSMRFAM&amp;Dta=/var/www/html/dta/yong/23617.22600.5.dta&amp;Global_Mod=CS57.0215", "22600")</f>
        <v>22600</v>
      </c>
      <c r="N198" s="10">
        <v>102.16</v>
      </c>
      <c r="O198" s="10">
        <v>101.89</v>
      </c>
      <c r="P198" s="10">
        <v>3.3090000000000002</v>
      </c>
      <c r="Q198" s="10">
        <v>3.984</v>
      </c>
      <c r="R198" s="10">
        <v>-8.9599999999999999E-2</v>
      </c>
      <c r="S198" s="10">
        <v>1.7586999999999999</v>
      </c>
      <c r="T198" s="10">
        <v>0.1011</v>
      </c>
      <c r="U198" s="10">
        <v>8.5300000000000001E-2</v>
      </c>
      <c r="V198" s="7">
        <v>53</v>
      </c>
      <c r="W198" s="7">
        <v>9</v>
      </c>
      <c r="X198" s="10">
        <v>1.78</v>
      </c>
      <c r="Y198" s="10">
        <v>1.84</v>
      </c>
      <c r="Z198" s="11" t="s">
        <v>1306</v>
      </c>
      <c r="AA198" s="11" t="s">
        <v>1306</v>
      </c>
      <c r="AB198" s="7" t="s">
        <v>13</v>
      </c>
    </row>
    <row r="199" spans="1:28" s="12" customFormat="1">
      <c r="A199" s="9" t="s">
        <v>193</v>
      </c>
      <c r="B199" s="9" t="s">
        <v>1568</v>
      </c>
      <c r="C199" s="9" t="s">
        <v>1569</v>
      </c>
      <c r="D199" s="7" t="s">
        <v>1775</v>
      </c>
      <c r="E199" s="9" t="s">
        <v>258</v>
      </c>
      <c r="F199" s="7" t="s">
        <v>1352</v>
      </c>
      <c r="G199" s="7">
        <v>593</v>
      </c>
      <c r="H199" s="9" t="s">
        <v>259</v>
      </c>
      <c r="I199" s="9" t="s">
        <v>261</v>
      </c>
      <c r="J199" s="7">
        <v>4</v>
      </c>
      <c r="K199" s="7">
        <v>1304.1476</v>
      </c>
      <c r="L199" s="7" t="str">
        <f>HYPERLINK("http://ms.phosphosite.org:5080/cgi-bin/plot-msms.cgi?MassType=1&amp;NumAxis=1&amp;Mod12=184&amp;Mod40=147&amp;Mod41=184&amp;Mod44=147&amp;Pep=QLVGGSQAFYQRAPYPGSLPLQQQQQQLWQQQQATAATSMRFAMSA&amp;Dta=/var/www/html/dta/yong/23616.23065.4.dta&amp;Global_Mod=CS57.0215", "23065")</f>
        <v>23065</v>
      </c>
      <c r="M199" s="7" t="str">
        <f>HYPERLINK("http://ms.phosphosite.org:5080/cgi-bin/plot-msms.cgi?MassType=1&amp;NumAxis=1&amp;Mod12=184&amp;Mod40=147&amp;Mod41=184&amp;Mod44=147&amp;Pep=QLVGGSQAFYQRAPYPGSLPLQQQQQQLWQQQQATAATSMRFAMSA&amp;Dta=/var/www/html/dta/yong/23617.23198.4.dta&amp;Global_Mod=CS57.0215", "23198")</f>
        <v>23198</v>
      </c>
      <c r="N199" s="10">
        <v>104.38</v>
      </c>
      <c r="O199" s="10">
        <v>104.31</v>
      </c>
      <c r="P199" s="10">
        <v>3.0529999999999999</v>
      </c>
      <c r="Q199" s="10">
        <v>3.4510000000000001</v>
      </c>
      <c r="R199" s="10">
        <v>0.83960000000000001</v>
      </c>
      <c r="S199" s="10">
        <v>1.9369000000000001</v>
      </c>
      <c r="T199" s="10">
        <v>0.01</v>
      </c>
      <c r="U199" s="10">
        <v>0.2031</v>
      </c>
      <c r="V199" s="7">
        <v>17</v>
      </c>
      <c r="W199" s="7">
        <v>1</v>
      </c>
      <c r="X199" s="10">
        <v>1.17</v>
      </c>
      <c r="Y199" s="10">
        <v>2.2999999999999998</v>
      </c>
      <c r="Z199" s="11" t="s">
        <v>1306</v>
      </c>
      <c r="AA199" s="11" t="s">
        <v>1306</v>
      </c>
      <c r="AB199" s="7" t="s">
        <v>13</v>
      </c>
    </row>
    <row r="200" spans="1:28" s="12" customFormat="1">
      <c r="A200" s="9" t="s">
        <v>193</v>
      </c>
      <c r="B200" s="9" t="s">
        <v>1568</v>
      </c>
      <c r="C200" s="9" t="s">
        <v>1569</v>
      </c>
      <c r="D200" s="7" t="s">
        <v>1775</v>
      </c>
      <c r="E200" s="9" t="s">
        <v>258</v>
      </c>
      <c r="F200" s="7" t="s">
        <v>1352</v>
      </c>
      <c r="G200" s="7">
        <v>593</v>
      </c>
      <c r="H200" s="9" t="s">
        <v>259</v>
      </c>
      <c r="I200" s="9" t="s">
        <v>261</v>
      </c>
      <c r="J200" s="7">
        <v>4</v>
      </c>
      <c r="K200" s="7">
        <v>1304.1476</v>
      </c>
      <c r="L200" s="7" t="str">
        <f>HYPERLINK("http://ms.phosphosite.org:5080/cgi-bin/plot-msms.cgi?MassType=1&amp;NumAxis=1&amp;Mod12=184&amp;Mod40=147&amp;Mod41=184&amp;Mod44=147&amp;Pep=QLVGGSQAFYQRAPYPGSLPLQQQQQQLWQQQQATAATSMRFAMSA&amp;Dta=/var/www/html/dta/yong/23616.23106.4.dta&amp;Global_Mod=CS57.0215", "23106")</f>
        <v>23106</v>
      </c>
      <c r="M200" s="7" t="str">
        <f>HYPERLINK("http://ms.phosphosite.org:5080/cgi-bin/plot-msms.cgi?MassType=1&amp;NumAxis=1&amp;Mod12=184&amp;Mod40=147&amp;Mod41=184&amp;Mod44=147&amp;Pep=QLVGGSQAFYQRAPYPGSLPLQQQQQQLWQQQQATAATSMRFAMSA&amp;Dta=/var/www/html/dta/yong/23617.23364.4.dta&amp;Global_Mod=CS57.0215", "23364")</f>
        <v>23364</v>
      </c>
      <c r="N200" s="10">
        <v>104.54</v>
      </c>
      <c r="O200" s="10">
        <v>104.98</v>
      </c>
      <c r="P200" s="10">
        <v>2.8759999999999999</v>
      </c>
      <c r="Q200" s="10">
        <v>3.1989999999999998</v>
      </c>
      <c r="R200" s="10">
        <v>0.83589999999999998</v>
      </c>
      <c r="S200" s="10">
        <v>2.1897000000000002</v>
      </c>
      <c r="T200" s="10">
        <v>0.10150000000000001</v>
      </c>
      <c r="U200" s="10">
        <v>6.1100000000000002E-2</v>
      </c>
      <c r="V200" s="7">
        <v>1</v>
      </c>
      <c r="W200" s="7">
        <v>2</v>
      </c>
      <c r="X200" s="10">
        <v>1.65</v>
      </c>
      <c r="Y200" s="10">
        <v>1.41</v>
      </c>
      <c r="Z200" s="11" t="s">
        <v>1306</v>
      </c>
      <c r="AA200" s="11" t="s">
        <v>1306</v>
      </c>
      <c r="AB200" s="7" t="s">
        <v>13</v>
      </c>
    </row>
    <row r="201" spans="1:28" s="12" customFormat="1">
      <c r="A201" s="9" t="s">
        <v>193</v>
      </c>
      <c r="B201" s="9" t="s">
        <v>1568</v>
      </c>
      <c r="C201" s="9" t="s">
        <v>1569</v>
      </c>
      <c r="D201" s="7" t="s">
        <v>1775</v>
      </c>
      <c r="E201" s="9" t="s">
        <v>258</v>
      </c>
      <c r="F201" s="7" t="s">
        <v>1352</v>
      </c>
      <c r="G201" s="7">
        <v>593</v>
      </c>
      <c r="H201" s="9" t="s">
        <v>259</v>
      </c>
      <c r="I201" s="9" t="s">
        <v>261</v>
      </c>
      <c r="J201" s="7">
        <v>4</v>
      </c>
      <c r="K201" s="7">
        <v>1304.1476</v>
      </c>
      <c r="L201" s="7" t="str">
        <f>HYPERLINK("http://ms.phosphosite.org:5080/cgi-bin/plot-msms.cgi?MassType=1&amp;NumAxis=1&amp;Mod12=184&amp;Mod40=147&amp;Mod41=184&amp;Mod44=147&amp;Pep=QLVGGSQAFYQRAPYPGSLPLQQQQQQLWQQQQATAATSMRFAMSA&amp;Dta=/var/www/html/dta/yong/23616.23304.4.dta&amp;Global_Mod=CS57.0215", "23304")</f>
        <v>23304</v>
      </c>
      <c r="M201" s="7" t="str">
        <f>HYPERLINK("http://ms.phosphosite.org:5080/cgi-bin/plot-msms.cgi?MassType=1&amp;NumAxis=1&amp;Mod12=184&amp;Mod40=147&amp;Mod41=184&amp;Mod44=147&amp;Pep=QLVGGSQAFYQRAPYPGSLPLQQQQQQLWQQQQATAATSMRFAMSA&amp;Dta=/var/www/html/dta/yong/23617.23238.4.dta&amp;Global_Mod=CS57.0215", "23238")</f>
        <v>23238</v>
      </c>
      <c r="N201" s="10">
        <v>105.33</v>
      </c>
      <c r="O201" s="10">
        <v>104.47</v>
      </c>
      <c r="P201" s="10">
        <v>3.2250000000000001</v>
      </c>
      <c r="Q201" s="10">
        <v>3.3889999999999998</v>
      </c>
      <c r="R201" s="10">
        <v>1.4824999999999999</v>
      </c>
      <c r="S201" s="10">
        <v>1.5961000000000001</v>
      </c>
      <c r="T201" s="10">
        <v>0.1424</v>
      </c>
      <c r="U201" s="10">
        <v>0.1583</v>
      </c>
      <c r="V201" s="7">
        <v>1</v>
      </c>
      <c r="W201" s="7">
        <v>2</v>
      </c>
      <c r="X201" s="10">
        <v>1.95</v>
      </c>
      <c r="Y201" s="10">
        <v>2.0499999999999998</v>
      </c>
      <c r="Z201" s="11" t="s">
        <v>1306</v>
      </c>
      <c r="AA201" s="11" t="s">
        <v>1306</v>
      </c>
      <c r="AB201" s="7" t="s">
        <v>13</v>
      </c>
    </row>
    <row r="202" spans="1:28" s="13" customFormat="1">
      <c r="A202" s="9" t="s">
        <v>193</v>
      </c>
      <c r="B202" s="9" t="s">
        <v>1568</v>
      </c>
      <c r="C202" s="9" t="s">
        <v>1569</v>
      </c>
      <c r="D202" s="7" t="s">
        <v>1775</v>
      </c>
      <c r="E202" s="9" t="s">
        <v>258</v>
      </c>
      <c r="F202" s="7" t="s">
        <v>1352</v>
      </c>
      <c r="G202" s="7">
        <v>593</v>
      </c>
      <c r="H202" s="9" t="s">
        <v>259</v>
      </c>
      <c r="I202" s="9" t="s">
        <v>260</v>
      </c>
      <c r="J202" s="7">
        <v>4</v>
      </c>
      <c r="K202" s="7">
        <v>1264.6303</v>
      </c>
      <c r="L202" s="7"/>
      <c r="M202" s="7" t="str">
        <f>HYPERLINK("http://ms.phosphosite.org:5080/cgi-bin/plot-msms.cgi?MassType=1&amp;NumAxis=1&amp;Mod12=184&amp;Mod40=147&amp;Mod41=184&amp;Mod44=147&amp;Pep=QLVGGSQAFYQRAPYPGSLPLQQQQQQLWQQQQATAATSMRFAM&amp;Dta=/var/www/html/dta/yong/23617.22566.4.dta&amp;Global_Mod=CS57.0215", "22566")</f>
        <v>22566</v>
      </c>
      <c r="N202" s="10"/>
      <c r="O202" s="10">
        <v>101.75</v>
      </c>
      <c r="P202" s="10"/>
      <c r="Q202" s="10">
        <v>4.984</v>
      </c>
      <c r="R202" s="10"/>
      <c r="S202" s="10">
        <v>0.82240000000000002</v>
      </c>
      <c r="T202" s="10"/>
      <c r="U202" s="10">
        <v>0.31559999999999999</v>
      </c>
      <c r="V202" s="7"/>
      <c r="W202" s="7">
        <v>1</v>
      </c>
      <c r="X202" s="10"/>
      <c r="Y202" s="10">
        <v>3.48</v>
      </c>
      <c r="Z202" s="11"/>
      <c r="AA202" s="11" t="s">
        <v>1306</v>
      </c>
      <c r="AB202" s="7" t="s">
        <v>13</v>
      </c>
    </row>
    <row r="203" spans="1:28">
      <c r="A203" s="3" t="s">
        <v>193</v>
      </c>
      <c r="B203" s="9" t="s">
        <v>1568</v>
      </c>
      <c r="C203" s="9" t="s">
        <v>1569</v>
      </c>
      <c r="D203" s="4">
        <v>2836</v>
      </c>
      <c r="E203" s="3" t="s">
        <v>258</v>
      </c>
      <c r="F203" s="7" t="s">
        <v>1352</v>
      </c>
      <c r="G203" s="4">
        <v>593</v>
      </c>
      <c r="H203" s="3" t="s">
        <v>262</v>
      </c>
      <c r="I203" s="3" t="s">
        <v>265</v>
      </c>
      <c r="J203" s="4">
        <v>3</v>
      </c>
      <c r="K203" s="4">
        <v>500.6037</v>
      </c>
      <c r="L203" s="4" t="str">
        <f>HYPERLINK("http://ms.phosphosite.org:5080/cgi-bin/plot-msms.cgi?MassType=1&amp;NumAxis=1&amp;Mod3=184&amp;Pep=SARFPSTPGPELGR&amp;Dta=/var/www/html/dta/yong/23616.10161.3.dta&amp;Global_Mod=CS57.0215", "10161")</f>
        <v>10161</v>
      </c>
      <c r="M203" s="4" t="str">
        <f>HYPERLINK("http://ms.phosphosite.org:5080/cgi-bin/plot-msms.cgi?MassType=1&amp;NumAxis=1&amp;Mod3=184&amp;Pep=SARFPSTPGPELGR&amp;Dta=/var/www/html/dta/yong/23617.10276.3.dta&amp;Global_Mod=CS57.0215", "10276")</f>
        <v>10276</v>
      </c>
      <c r="N203" s="5">
        <v>49.8</v>
      </c>
      <c r="O203" s="5">
        <v>49.76</v>
      </c>
      <c r="P203" s="5">
        <v>2.6459999999999999</v>
      </c>
      <c r="Q203" s="5">
        <v>2.5859999999999999</v>
      </c>
      <c r="R203" s="5">
        <v>0.33610000000000001</v>
      </c>
      <c r="S203" s="5">
        <v>0.18890000000000001</v>
      </c>
      <c r="T203" s="5">
        <v>0.20219999999999999</v>
      </c>
      <c r="U203" s="5">
        <v>0.1017</v>
      </c>
      <c r="V203" s="4">
        <v>52</v>
      </c>
      <c r="W203" s="4">
        <v>21</v>
      </c>
      <c r="X203" s="5">
        <v>2.61</v>
      </c>
      <c r="Y203" s="5">
        <v>2.02</v>
      </c>
      <c r="Z203" s="6">
        <v>1000</v>
      </c>
      <c r="AA203" s="6">
        <v>1000</v>
      </c>
      <c r="AB203" s="4" t="s">
        <v>13</v>
      </c>
    </row>
    <row r="204" spans="1:28">
      <c r="A204" s="3" t="s">
        <v>193</v>
      </c>
      <c r="B204" s="9" t="s">
        <v>1568</v>
      </c>
      <c r="C204" s="9" t="s">
        <v>1569</v>
      </c>
      <c r="D204" s="4">
        <v>2836</v>
      </c>
      <c r="E204" s="3" t="s">
        <v>258</v>
      </c>
      <c r="F204" s="7" t="s">
        <v>1352</v>
      </c>
      <c r="G204" s="4">
        <v>593</v>
      </c>
      <c r="H204" s="3" t="s">
        <v>262</v>
      </c>
      <c r="I204" s="3" t="s">
        <v>264</v>
      </c>
      <c r="J204" s="4">
        <v>3</v>
      </c>
      <c r="K204" s="4">
        <v>549.6155</v>
      </c>
      <c r="L204" s="4" t="str">
        <f>HYPERLINK("http://ms.phosphosite.org:5080/cgi-bin/plot-msms.cgi?MassType=1&amp;NumAxis=1&amp;Mod1=147&amp;Mod4=184&amp;Pep=MSARFPSTPGPELGR&amp;Dta=/var/www/html/dta/yong/23616.10478.3.dta&amp;Global_Mod=CS57.0215", "10478")</f>
        <v>10478</v>
      </c>
      <c r="M204" s="4" t="str">
        <f>HYPERLINK("http://ms.phosphosite.org:5080/cgi-bin/plot-msms.cgi?MassType=1&amp;NumAxis=1&amp;Mod1=147&amp;Mod4=184&amp;Pep=MSARFPSTPGPELGR&amp;Dta=/var/www/html/dta/yong/23617.10596.3.dta&amp;Global_Mod=CS57.0215", "10596")</f>
        <v>10596</v>
      </c>
      <c r="N204" s="5">
        <v>51.12</v>
      </c>
      <c r="O204" s="5">
        <v>51.08</v>
      </c>
      <c r="P204" s="5">
        <v>2.891</v>
      </c>
      <c r="Q204" s="5">
        <v>2.2850000000000001</v>
      </c>
      <c r="R204" s="5">
        <v>0.43959999999999999</v>
      </c>
      <c r="S204" s="5">
        <v>8.4400000000000003E-2</v>
      </c>
      <c r="T204" s="5">
        <v>0.24640000000000001</v>
      </c>
      <c r="U204" s="5">
        <v>0.21379999999999999</v>
      </c>
      <c r="V204" s="4">
        <v>21</v>
      </c>
      <c r="W204" s="4">
        <v>3</v>
      </c>
      <c r="X204" s="5">
        <v>2.94</v>
      </c>
      <c r="Y204" s="5">
        <v>2.56</v>
      </c>
      <c r="Z204" s="6">
        <v>1000</v>
      </c>
      <c r="AA204" s="6">
        <v>1000</v>
      </c>
      <c r="AB204" s="4" t="s">
        <v>13</v>
      </c>
    </row>
    <row r="205" spans="1:28">
      <c r="A205" s="3" t="s">
        <v>193</v>
      </c>
      <c r="B205" s="9" t="s">
        <v>1568</v>
      </c>
      <c r="C205" s="9" t="s">
        <v>1569</v>
      </c>
      <c r="D205" s="4">
        <v>2836</v>
      </c>
      <c r="E205" s="3" t="s">
        <v>258</v>
      </c>
      <c r="F205" s="7" t="s">
        <v>1352</v>
      </c>
      <c r="G205" s="4">
        <v>593</v>
      </c>
      <c r="H205" s="3" t="s">
        <v>262</v>
      </c>
      <c r="I205" s="3" t="s">
        <v>263</v>
      </c>
      <c r="J205" s="4">
        <v>3</v>
      </c>
      <c r="K205" s="4">
        <v>573.29449999999997</v>
      </c>
      <c r="L205" s="4" t="str">
        <f>HYPERLINK("http://ms.phosphosite.org:5080/cgi-bin/plot-msms.cgi?MassType=1&amp;NumAxis=1&amp;Mod2=147&amp;Mod5=184&amp;Pep=AMSARFPSTPGPELGR&amp;Dta=/var/www/html/dta/yong/23616.10548.3.dta&amp;Global_Mod=CS57.0215", "10548")</f>
        <v>10548</v>
      </c>
      <c r="M205" s="4" t="str">
        <f>HYPERLINK("http://ms.phosphosite.org:5080/cgi-bin/plot-msms.cgi?MassType=1&amp;NumAxis=1&amp;Mod2=147&amp;Mod5=184&amp;Pep=AMSARFPSTPGPELGR&amp;Dta=/var/www/html/dta/yong/23617.10663.3.dta&amp;Global_Mod=CS57.0215", "10663")</f>
        <v>10663</v>
      </c>
      <c r="N205" s="5">
        <v>51.39</v>
      </c>
      <c r="O205" s="5">
        <v>51.36</v>
      </c>
      <c r="P205" s="5">
        <v>2.6230000000000002</v>
      </c>
      <c r="Q205" s="5">
        <v>2.8069999999999999</v>
      </c>
      <c r="R205" s="5">
        <v>0.40500000000000003</v>
      </c>
      <c r="S205" s="5">
        <v>-7.1199999999999999E-2</v>
      </c>
      <c r="T205" s="5">
        <v>0.32600000000000001</v>
      </c>
      <c r="U205" s="5">
        <v>0.26319999999999999</v>
      </c>
      <c r="V205" s="4">
        <v>4</v>
      </c>
      <c r="W205" s="4">
        <v>15</v>
      </c>
      <c r="X205" s="5">
        <v>3.31</v>
      </c>
      <c r="Y205" s="5">
        <v>2.97</v>
      </c>
      <c r="Z205" s="6">
        <v>1000</v>
      </c>
      <c r="AA205" s="6">
        <v>1000</v>
      </c>
      <c r="AB205" s="4" t="s">
        <v>13</v>
      </c>
    </row>
    <row r="206" spans="1:28">
      <c r="A206" s="3" t="s">
        <v>193</v>
      </c>
      <c r="B206" s="9" t="s">
        <v>1568</v>
      </c>
      <c r="C206" s="9" t="s">
        <v>1569</v>
      </c>
      <c r="D206" s="4">
        <v>2836</v>
      </c>
      <c r="E206" s="3" t="s">
        <v>258</v>
      </c>
      <c r="F206" s="7" t="s">
        <v>1352</v>
      </c>
      <c r="G206" s="4">
        <v>593</v>
      </c>
      <c r="H206" s="3" t="s">
        <v>262</v>
      </c>
      <c r="I206" s="3" t="s">
        <v>265</v>
      </c>
      <c r="J206" s="4">
        <v>2</v>
      </c>
      <c r="K206" s="4">
        <v>750.40189999999996</v>
      </c>
      <c r="L206" s="4"/>
      <c r="M206" s="4" t="str">
        <f>HYPERLINK("http://ms.phosphosite.org:5080/cgi-bin/plot-msms.cgi?MassType=1&amp;NumAxis=1&amp;Mod3=184&amp;Pep=SARFPSTPGPELGR&amp;Dta=/var/www/html/dta/yong/23617.10317.2.dta&amp;Global_Mod=CS57.0215", "10317")</f>
        <v>10317</v>
      </c>
      <c r="N206" s="5"/>
      <c r="O206" s="5">
        <v>49.94</v>
      </c>
      <c r="P206" s="5"/>
      <c r="Q206" s="5">
        <v>3.0859999999999999</v>
      </c>
      <c r="R206" s="5"/>
      <c r="S206" s="5">
        <v>0.91180000000000005</v>
      </c>
      <c r="T206" s="5"/>
      <c r="U206" s="5">
        <v>0.33979999999999999</v>
      </c>
      <c r="V206" s="4"/>
      <c r="W206" s="4">
        <v>1</v>
      </c>
      <c r="X206" s="5"/>
      <c r="Y206" s="5">
        <v>3.49</v>
      </c>
      <c r="Z206" s="6"/>
      <c r="AA206" s="6">
        <v>1000</v>
      </c>
      <c r="AB206" s="4" t="s">
        <v>13</v>
      </c>
    </row>
    <row r="207" spans="1:28">
      <c r="A207" s="3" t="s">
        <v>193</v>
      </c>
      <c r="B207" s="9" t="s">
        <v>1568</v>
      </c>
      <c r="C207" s="9" t="s">
        <v>1569</v>
      </c>
      <c r="D207" s="4">
        <v>2836</v>
      </c>
      <c r="E207" s="3" t="s">
        <v>258</v>
      </c>
      <c r="F207" s="7" t="s">
        <v>1352</v>
      </c>
      <c r="G207" s="4">
        <v>593</v>
      </c>
      <c r="H207" s="3" t="s">
        <v>262</v>
      </c>
      <c r="I207" s="3" t="s">
        <v>263</v>
      </c>
      <c r="J207" s="4">
        <v>3</v>
      </c>
      <c r="K207" s="4">
        <v>573.29449999999997</v>
      </c>
      <c r="L207" s="4"/>
      <c r="M207" s="4" t="str">
        <f>HYPERLINK("http://ms.phosphosite.org:5080/cgi-bin/plot-msms.cgi?MassType=1&amp;NumAxis=1&amp;Mod2=147&amp;Mod5=184&amp;Pep=AMSARFPSTPGPELGR&amp;Dta=/var/www/html/dta/yong/23617.10740.3.dta&amp;Global_Mod=CS57.0215", "10740")</f>
        <v>10740</v>
      </c>
      <c r="N207" s="5"/>
      <c r="O207" s="5">
        <v>51.64</v>
      </c>
      <c r="P207" s="5"/>
      <c r="Q207" s="5">
        <v>2.569</v>
      </c>
      <c r="R207" s="5"/>
      <c r="S207" s="5">
        <v>-0.16059999999999999</v>
      </c>
      <c r="T207" s="5"/>
      <c r="U207" s="5">
        <v>0.156</v>
      </c>
      <c r="V207" s="4"/>
      <c r="W207" s="4">
        <v>4</v>
      </c>
      <c r="X207" s="5"/>
      <c r="Y207" s="5">
        <v>2.29</v>
      </c>
      <c r="Z207" s="6"/>
      <c r="AA207" s="6">
        <v>1000</v>
      </c>
      <c r="AB207" s="4" t="s">
        <v>13</v>
      </c>
    </row>
    <row r="208" spans="1:28">
      <c r="A208" s="9" t="s">
        <v>193</v>
      </c>
      <c r="B208" s="9" t="s">
        <v>1568</v>
      </c>
      <c r="C208" s="9" t="s">
        <v>1569</v>
      </c>
      <c r="D208" s="7">
        <v>2860</v>
      </c>
      <c r="E208" s="9" t="s">
        <v>258</v>
      </c>
      <c r="F208" s="7" t="s">
        <v>1352</v>
      </c>
      <c r="G208" s="7">
        <v>593</v>
      </c>
      <c r="H208" s="9" t="s">
        <v>266</v>
      </c>
      <c r="I208" s="9" t="s">
        <v>267</v>
      </c>
      <c r="J208" s="7">
        <v>3</v>
      </c>
      <c r="K208" s="7">
        <v>956.51869999999997</v>
      </c>
      <c r="L208" s="7" t="str">
        <f>HYPERLINK("http://ms.phosphosite.org:5080/cgi-bin/plot-msms.cgi?MassType=1&amp;NumAxis=1&amp;Mod13=184&amp;Pep=QALGSPLAGISTRLPGPGEPVPGPAGPAQF&amp;Dta=/var/www/html/dta/yong/23616.25250.3.dta&amp;Global_Mod=CS57.0215", "25250")</f>
        <v>25250</v>
      </c>
      <c r="M208" s="7"/>
      <c r="N208" s="10">
        <v>113.19</v>
      </c>
      <c r="O208" s="10"/>
      <c r="P208" s="10">
        <v>2.7389999999999999</v>
      </c>
      <c r="Q208" s="10"/>
      <c r="R208" s="10">
        <v>1.0264</v>
      </c>
      <c r="S208" s="10"/>
      <c r="T208" s="10">
        <v>4.7800000000000002E-2</v>
      </c>
      <c r="U208" s="10"/>
      <c r="V208" s="7">
        <v>58</v>
      </c>
      <c r="W208" s="7"/>
      <c r="X208" s="10">
        <v>1.59</v>
      </c>
      <c r="Y208" s="10"/>
      <c r="Z208" s="11">
        <v>1000</v>
      </c>
      <c r="AA208" s="11"/>
      <c r="AB208" s="7" t="s">
        <v>13</v>
      </c>
    </row>
    <row r="209" spans="1:28">
      <c r="A209" s="9" t="s">
        <v>193</v>
      </c>
      <c r="B209" s="9" t="s">
        <v>1568</v>
      </c>
      <c r="C209" s="9" t="s">
        <v>1569</v>
      </c>
      <c r="D209" s="7">
        <v>2860</v>
      </c>
      <c r="E209" s="9" t="s">
        <v>258</v>
      </c>
      <c r="F209" s="7" t="s">
        <v>1352</v>
      </c>
      <c r="G209" s="7">
        <v>593</v>
      </c>
      <c r="H209" s="9" t="s">
        <v>266</v>
      </c>
      <c r="I209" s="9" t="s">
        <v>267</v>
      </c>
      <c r="J209" s="7">
        <v>3</v>
      </c>
      <c r="K209" s="7">
        <v>956.51869999999997</v>
      </c>
      <c r="L209" s="7" t="str">
        <f>HYPERLINK("http://ms.phosphosite.org:5080/cgi-bin/plot-msms.cgi?MassType=1&amp;NumAxis=1&amp;Mod13=184&amp;Pep=QALGSPLAGISTRLPGPGEPVPGPAGPAQF&amp;Dta=/var/www/html/dta/yong/23616.25267.3.dta&amp;Global_Mod=CS57.0215", "25267")</f>
        <v>25267</v>
      </c>
      <c r="M209" s="7"/>
      <c r="N209" s="10">
        <v>113.26</v>
      </c>
      <c r="O209" s="10"/>
      <c r="P209" s="10">
        <v>2.9820000000000002</v>
      </c>
      <c r="Q209" s="10"/>
      <c r="R209" s="10">
        <v>8.0600000000000005E-2</v>
      </c>
      <c r="S209" s="10"/>
      <c r="T209" s="10">
        <v>0.17430000000000001</v>
      </c>
      <c r="U209" s="10"/>
      <c r="V209" s="7">
        <v>4</v>
      </c>
      <c r="W209" s="7"/>
      <c r="X209" s="10">
        <v>2.4</v>
      </c>
      <c r="Y209" s="10"/>
      <c r="Z209" s="11">
        <v>1000</v>
      </c>
      <c r="AA209" s="11"/>
      <c r="AB209" s="7" t="s">
        <v>13</v>
      </c>
    </row>
    <row r="210" spans="1:28" s="18" customFormat="1">
      <c r="A210" s="9" t="s">
        <v>193</v>
      </c>
      <c r="B210" s="9" t="s">
        <v>1568</v>
      </c>
      <c r="C210" s="9" t="s">
        <v>1569</v>
      </c>
      <c r="D210" s="7">
        <v>2860</v>
      </c>
      <c r="E210" s="9" t="s">
        <v>258</v>
      </c>
      <c r="F210" s="7" t="s">
        <v>1352</v>
      </c>
      <c r="G210" s="7">
        <v>593</v>
      </c>
      <c r="H210" s="9" t="s">
        <v>266</v>
      </c>
      <c r="I210" s="9" t="s">
        <v>268</v>
      </c>
      <c r="J210" s="7">
        <v>3</v>
      </c>
      <c r="K210" s="7">
        <v>1126.9558999999999</v>
      </c>
      <c r="L210" s="7" t="str">
        <f>HYPERLINK("http://ms.phosphosite.org:5080/cgi-bin/plot-msms.cgi?MassType=1&amp;NumAxis=1&amp;Mod13=184&amp;Pep=QALGSPLAGISTRLPGPGEPVPGPAGPAQFIELR&amp;Dta=/var/www/html/dta/yong/23616.26500.3.dta&amp;Global_Mod=CS57.0215", "26500")</f>
        <v>26500</v>
      </c>
      <c r="M210" s="7" t="str">
        <f>HYPERLINK("http://ms.phosphosite.org:5080/cgi-bin/plot-msms.cgi?MassType=1&amp;NumAxis=1&amp;Mod13=184&amp;Pep=QALGSPLAGISTRLPGPGEPVPGPAGPAQFIELR&amp;Dta=/var/www/html/dta/yong/23617.26610.3.dta&amp;Global_Mod=CS57.0215", "26610")</f>
        <v>26610</v>
      </c>
      <c r="N210" s="10">
        <v>118.51</v>
      </c>
      <c r="O210" s="10">
        <v>118.48</v>
      </c>
      <c r="P210" s="10">
        <v>4.6950000000000003</v>
      </c>
      <c r="Q210" s="10">
        <v>5.2939999999999996</v>
      </c>
      <c r="R210" s="10">
        <v>0.60470000000000002</v>
      </c>
      <c r="S210" s="10">
        <v>1.2915000000000001</v>
      </c>
      <c r="T210" s="10">
        <v>0.42630000000000001</v>
      </c>
      <c r="U210" s="10">
        <v>0.41820000000000002</v>
      </c>
      <c r="V210" s="7">
        <v>1</v>
      </c>
      <c r="W210" s="7">
        <v>1</v>
      </c>
      <c r="X210" s="10">
        <v>4.3</v>
      </c>
      <c r="Y210" s="10">
        <v>4.4000000000000004</v>
      </c>
      <c r="Z210" s="11">
        <v>1000</v>
      </c>
      <c r="AA210" s="11">
        <v>1000</v>
      </c>
      <c r="AB210" s="7" t="s">
        <v>13</v>
      </c>
    </row>
    <row r="211" spans="1:28" s="18" customFormat="1">
      <c r="A211" s="9" t="s">
        <v>193</v>
      </c>
      <c r="B211" s="9" t="s">
        <v>1568</v>
      </c>
      <c r="C211" s="9" t="s">
        <v>1569</v>
      </c>
      <c r="D211" s="7">
        <v>2860</v>
      </c>
      <c r="E211" s="9" t="s">
        <v>258</v>
      </c>
      <c r="F211" s="7" t="s">
        <v>1352</v>
      </c>
      <c r="G211" s="7">
        <v>593</v>
      </c>
      <c r="H211" s="9" t="s">
        <v>266</v>
      </c>
      <c r="I211" s="9" t="s">
        <v>268</v>
      </c>
      <c r="J211" s="7">
        <v>4</v>
      </c>
      <c r="K211" s="7">
        <v>845.46879999999999</v>
      </c>
      <c r="L211" s="7" t="str">
        <f>HYPERLINK("http://ms.phosphosite.org:5080/cgi-bin/plot-msms.cgi?MassType=1&amp;NumAxis=1&amp;Mod13=184&amp;Pep=QALGSPLAGISTRLPGPGEPVPGPAGPAQFIELR&amp;Dta=/var/www/html/dta/yong/23616.26504.4.dta&amp;Global_Mod=CS57.0215", "26504")</f>
        <v>26504</v>
      </c>
      <c r="M211" s="7" t="str">
        <f>HYPERLINK("http://ms.phosphosite.org:5080/cgi-bin/plot-msms.cgi?MassType=1&amp;NumAxis=1&amp;Mod13=184&amp;Pep=QALGSPLAGISTRLPGPGEPVPGPAGPAQFIELR&amp;Dta=/var/www/html/dta/yong/23617.26572.4.dta&amp;Global_Mod=CS57.0215", "26572")</f>
        <v>26572</v>
      </c>
      <c r="N211" s="10">
        <v>118.53</v>
      </c>
      <c r="O211" s="10">
        <v>118.31</v>
      </c>
      <c r="P211" s="10">
        <v>3.3439999999999999</v>
      </c>
      <c r="Q211" s="10">
        <v>3.056</v>
      </c>
      <c r="R211" s="10">
        <v>0.1396</v>
      </c>
      <c r="S211" s="10">
        <v>1.8764000000000001</v>
      </c>
      <c r="T211" s="10">
        <v>0.15429999999999999</v>
      </c>
      <c r="U211" s="10">
        <v>7.3899999999999993E-2</v>
      </c>
      <c r="V211" s="7">
        <v>16</v>
      </c>
      <c r="W211" s="7">
        <v>46</v>
      </c>
      <c r="X211" s="10">
        <v>2.37</v>
      </c>
      <c r="Y211" s="10">
        <v>1.73</v>
      </c>
      <c r="Z211" s="11">
        <v>1000</v>
      </c>
      <c r="AA211" s="11">
        <v>1000</v>
      </c>
      <c r="AB211" s="7" t="s">
        <v>13</v>
      </c>
    </row>
    <row r="212" spans="1:28" s="18" customFormat="1">
      <c r="A212" s="9" t="s">
        <v>193</v>
      </c>
      <c r="B212" s="9" t="s">
        <v>1568</v>
      </c>
      <c r="C212" s="9" t="s">
        <v>1569</v>
      </c>
      <c r="D212" s="7">
        <v>2860</v>
      </c>
      <c r="E212" s="9" t="s">
        <v>258</v>
      </c>
      <c r="F212" s="7" t="s">
        <v>1352</v>
      </c>
      <c r="G212" s="7">
        <v>593</v>
      </c>
      <c r="H212" s="9" t="s">
        <v>266</v>
      </c>
      <c r="I212" s="9" t="s">
        <v>268</v>
      </c>
      <c r="J212" s="7">
        <v>3</v>
      </c>
      <c r="K212" s="7">
        <v>1126.9558999999999</v>
      </c>
      <c r="L212" s="7" t="str">
        <f>HYPERLINK("http://ms.phosphosite.org:5080/cgi-bin/plot-msms.cgi?MassType=1&amp;NumAxis=1&amp;Mod13=184&amp;Pep=QALGSPLAGISTRLPGPGEPVPGPAGPAQFIELR&amp;Dta=/var/www/html/dta/yong/23616.26514.3.dta&amp;Global_Mod=CS57.0215", "26514")</f>
        <v>26514</v>
      </c>
      <c r="M212" s="7" t="str">
        <f>HYPERLINK("http://ms.phosphosite.org:5080/cgi-bin/plot-msms.cgi?MassType=1&amp;NumAxis=1&amp;Mod13=184&amp;Pep=QALGSPLAGISTRLPGPGEPVPGPAGPAQFIELR&amp;Dta=/var/www/html/dta/yong/23617.26570.3.dta&amp;Global_Mod=CS57.0215", "26570")</f>
        <v>26570</v>
      </c>
      <c r="N212" s="10">
        <v>118.58</v>
      </c>
      <c r="O212" s="10">
        <v>118.3</v>
      </c>
      <c r="P212" s="10">
        <v>5.33</v>
      </c>
      <c r="Q212" s="10">
        <v>6.0579999999999998</v>
      </c>
      <c r="R212" s="10">
        <v>0.60470000000000002</v>
      </c>
      <c r="S212" s="10">
        <v>1.5234000000000001</v>
      </c>
      <c r="T212" s="10">
        <v>0.50460000000000005</v>
      </c>
      <c r="U212" s="10">
        <v>0.54549999999999998</v>
      </c>
      <c r="V212" s="7">
        <v>1</v>
      </c>
      <c r="W212" s="7">
        <v>1</v>
      </c>
      <c r="X212" s="10">
        <v>4.93</v>
      </c>
      <c r="Y212" s="10">
        <v>5.34</v>
      </c>
      <c r="Z212" s="11">
        <v>1000</v>
      </c>
      <c r="AA212" s="11">
        <v>1000</v>
      </c>
      <c r="AB212" s="7" t="s">
        <v>13</v>
      </c>
    </row>
    <row r="213" spans="1:28" s="18" customFormat="1">
      <c r="A213" s="9" t="s">
        <v>193</v>
      </c>
      <c r="B213" s="9" t="s">
        <v>1568</v>
      </c>
      <c r="C213" s="9" t="s">
        <v>1569</v>
      </c>
      <c r="D213" s="7">
        <v>2860</v>
      </c>
      <c r="E213" s="9" t="s">
        <v>258</v>
      </c>
      <c r="F213" s="7" t="s">
        <v>1352</v>
      </c>
      <c r="G213" s="7">
        <v>593</v>
      </c>
      <c r="H213" s="9" t="s">
        <v>266</v>
      </c>
      <c r="I213" s="9" t="s">
        <v>268</v>
      </c>
      <c r="J213" s="7">
        <v>4</v>
      </c>
      <c r="K213" s="7">
        <v>845.46879999999999</v>
      </c>
      <c r="L213" s="7"/>
      <c r="M213" s="7" t="str">
        <f>HYPERLINK("http://ms.phosphosite.org:5080/cgi-bin/plot-msms.cgi?MassType=1&amp;NumAxis=1&amp;Mod13=184&amp;Pep=QALGSPLAGISTRLPGPGEPVPGPAGPAQFIELR&amp;Dta=/var/www/html/dta/yong/23617.26591.4.dta&amp;Global_Mod=CS57.0215", "26591")</f>
        <v>26591</v>
      </c>
      <c r="N213" s="10"/>
      <c r="O213" s="10">
        <v>118.4</v>
      </c>
      <c r="P213" s="10"/>
      <c r="Q213" s="10">
        <v>2.7530000000000001</v>
      </c>
      <c r="R213" s="10"/>
      <c r="S213" s="10">
        <v>1.8764000000000001</v>
      </c>
      <c r="T213" s="10"/>
      <c r="U213" s="10">
        <v>8.1299999999999997E-2</v>
      </c>
      <c r="V213" s="7"/>
      <c r="W213" s="7">
        <v>3</v>
      </c>
      <c r="X213" s="10"/>
      <c r="Y213" s="10">
        <v>1.7</v>
      </c>
      <c r="Z213" s="11"/>
      <c r="AA213" s="11">
        <v>1000</v>
      </c>
      <c r="AB213" s="7" t="s">
        <v>13</v>
      </c>
    </row>
    <row r="214" spans="1:28">
      <c r="A214" s="3" t="s">
        <v>193</v>
      </c>
      <c r="B214" s="9" t="s">
        <v>1568</v>
      </c>
      <c r="C214" s="9" t="s">
        <v>1569</v>
      </c>
      <c r="D214" s="4">
        <v>3727</v>
      </c>
      <c r="E214" s="3" t="s">
        <v>258</v>
      </c>
      <c r="F214" s="7" t="s">
        <v>1352</v>
      </c>
      <c r="G214" s="4">
        <v>593</v>
      </c>
      <c r="H214" s="3" t="s">
        <v>269</v>
      </c>
      <c r="I214" s="3" t="s">
        <v>270</v>
      </c>
      <c r="J214" s="4">
        <v>2</v>
      </c>
      <c r="K214" s="4">
        <v>892.99360000000001</v>
      </c>
      <c r="L214" s="4" t="str">
        <f>HYPERLINK("http://ms.phosphosite.org:5080/cgi-bin/plot-msms.cgi?MassType=1&amp;NumAxis=1&amp;Mod8=184&amp;Mod9=147&amp;Pep=QLQLQQQRMQLAQK&amp;Dta=/var/www/html/dta/yong/23616.7237.2.dta&amp;Global_Mod=CS57.0215", "7237")</f>
        <v>7237</v>
      </c>
      <c r="M214" s="4" t="str">
        <f>HYPERLINK("http://ms.phosphosite.org:5080/cgi-bin/plot-msms.cgi?MassType=1&amp;NumAxis=1&amp;Mod8=184&amp;Mod9=147&amp;Pep=QLQLQQQRMQLAQK&amp;Dta=/var/www/html/dta/yong/23617.7340.2.dta&amp;Global_Mod=CS57.0215", "7340")</f>
        <v>7340</v>
      </c>
      <c r="N214" s="5">
        <v>37.479999999999997</v>
      </c>
      <c r="O214" s="5">
        <v>37.61</v>
      </c>
      <c r="P214" s="5">
        <v>2.008</v>
      </c>
      <c r="Q214" s="5">
        <v>2.77</v>
      </c>
      <c r="R214" s="5">
        <v>0.96579999999999999</v>
      </c>
      <c r="S214" s="5">
        <v>1.6751</v>
      </c>
      <c r="T214" s="5">
        <v>5.0799999999999998E-2</v>
      </c>
      <c r="U214" s="5">
        <v>0.21540000000000001</v>
      </c>
      <c r="V214" s="4">
        <v>392</v>
      </c>
      <c r="W214" s="4">
        <v>29</v>
      </c>
      <c r="X214" s="5">
        <v>1.41</v>
      </c>
      <c r="Y214" s="5">
        <v>2.65</v>
      </c>
      <c r="Z214" s="6">
        <v>1000</v>
      </c>
      <c r="AA214" s="6">
        <v>1000</v>
      </c>
      <c r="AB214" s="4" t="s">
        <v>13</v>
      </c>
    </row>
    <row r="215" spans="1:28">
      <c r="A215" s="3" t="s">
        <v>193</v>
      </c>
      <c r="B215" s="9" t="s">
        <v>1568</v>
      </c>
      <c r="C215" s="9" t="s">
        <v>1569</v>
      </c>
      <c r="D215" s="4">
        <v>3727</v>
      </c>
      <c r="E215" s="3" t="s">
        <v>258</v>
      </c>
      <c r="F215" s="7" t="s">
        <v>1352</v>
      </c>
      <c r="G215" s="4">
        <v>593</v>
      </c>
      <c r="H215" s="3" t="s">
        <v>269</v>
      </c>
      <c r="I215" s="3" t="s">
        <v>271</v>
      </c>
      <c r="J215" s="4">
        <v>3</v>
      </c>
      <c r="K215" s="4">
        <v>590.33320000000003</v>
      </c>
      <c r="L215" s="4"/>
      <c r="M215" s="4" t="str">
        <f>HYPERLINK("http://ms.phosphosite.org:5080/cgi-bin/plot-msms.cgi?MassType=1&amp;NumAxis=1&amp;Mod8=184&amp;Pep=QLQLQQQRMQLAQK&amp;Dta=/var/www/html/dta/yong/23617.10039.3.dta&amp;Global_Mod=CS57.0215", "10039")</f>
        <v>10039</v>
      </c>
      <c r="N215" s="5"/>
      <c r="O215" s="5">
        <v>48.81</v>
      </c>
      <c r="P215" s="5"/>
      <c r="Q215" s="5">
        <v>2.089</v>
      </c>
      <c r="R215" s="5"/>
      <c r="S215" s="5">
        <v>0.45679999999999998</v>
      </c>
      <c r="T215" s="5"/>
      <c r="U215" s="5">
        <v>0.19889999999999999</v>
      </c>
      <c r="V215" s="4"/>
      <c r="W215" s="4">
        <v>63</v>
      </c>
      <c r="X215" s="5"/>
      <c r="Y215" s="5">
        <v>2.4</v>
      </c>
      <c r="Z215" s="6"/>
      <c r="AA215" s="6">
        <v>1000</v>
      </c>
      <c r="AB215" s="4" t="s">
        <v>13</v>
      </c>
    </row>
    <row r="216" spans="1:28">
      <c r="A216" s="9" t="s">
        <v>193</v>
      </c>
      <c r="B216" s="9" t="s">
        <v>1568</v>
      </c>
      <c r="C216" s="9" t="s">
        <v>1569</v>
      </c>
      <c r="D216" s="7">
        <v>4198</v>
      </c>
      <c r="E216" s="9" t="s">
        <v>258</v>
      </c>
      <c r="F216" s="7" t="s">
        <v>1352</v>
      </c>
      <c r="G216" s="7">
        <v>593</v>
      </c>
      <c r="H216" s="9" t="s">
        <v>272</v>
      </c>
      <c r="I216" s="9" t="s">
        <v>278</v>
      </c>
      <c r="J216" s="7">
        <v>3</v>
      </c>
      <c r="K216" s="7">
        <v>503.6472</v>
      </c>
      <c r="L216" s="7" t="str">
        <f>HYPERLINK("http://ms.phosphosite.org:5080/cgi-bin/plot-msms.cgi?MassType=1&amp;NumAxis=1&amp;Mod5=184&amp;Pep=VGQLRAQLQGVLAK&amp;Dta=/var/www/html/dta/yong/23616.13476.3.dta&amp;Global_Mod=CS57.0215", "13476")</f>
        <v>13476</v>
      </c>
      <c r="M216" s="7" t="str">
        <f>HYPERLINK("http://ms.phosphosite.org:5080/cgi-bin/plot-msms.cgi?MassType=1&amp;NumAxis=1&amp;Mod5=184&amp;Pep=VGQLRAQLQGVLAK&amp;Dta=/var/www/html/dta/yong/23617.13625.3.dta&amp;Global_Mod=CS57.0215", "13625")</f>
        <v>13625</v>
      </c>
      <c r="N216" s="10">
        <v>64.06</v>
      </c>
      <c r="O216" s="10">
        <v>63.97</v>
      </c>
      <c r="P216" s="10">
        <v>4.1150000000000002</v>
      </c>
      <c r="Q216" s="10">
        <v>3.7930000000000001</v>
      </c>
      <c r="R216" s="10">
        <v>0.55979999999999996</v>
      </c>
      <c r="S216" s="10">
        <v>0.58320000000000005</v>
      </c>
      <c r="T216" s="10">
        <v>0.30020000000000002</v>
      </c>
      <c r="U216" s="10">
        <v>0.2419</v>
      </c>
      <c r="V216" s="7">
        <v>1</v>
      </c>
      <c r="W216" s="7">
        <v>1</v>
      </c>
      <c r="X216" s="10">
        <v>3.61</v>
      </c>
      <c r="Y216" s="10">
        <v>3.19</v>
      </c>
      <c r="Z216" s="11">
        <v>1000</v>
      </c>
      <c r="AA216" s="11">
        <v>1000</v>
      </c>
      <c r="AB216" s="7" t="s">
        <v>13</v>
      </c>
    </row>
    <row r="217" spans="1:28" s="18" customFormat="1">
      <c r="A217" s="9" t="s">
        <v>193</v>
      </c>
      <c r="B217" s="9" t="s">
        <v>1568</v>
      </c>
      <c r="C217" s="9" t="s">
        <v>1569</v>
      </c>
      <c r="D217" s="7">
        <v>4198</v>
      </c>
      <c r="E217" s="9" t="s">
        <v>258</v>
      </c>
      <c r="F217" s="7" t="s">
        <v>1352</v>
      </c>
      <c r="G217" s="7">
        <v>593</v>
      </c>
      <c r="H217" s="9" t="s">
        <v>272</v>
      </c>
      <c r="I217" s="9" t="s">
        <v>278</v>
      </c>
      <c r="J217" s="7">
        <v>2</v>
      </c>
      <c r="K217" s="7">
        <v>754.96720000000005</v>
      </c>
      <c r="L217" s="7" t="str">
        <f>HYPERLINK("http://ms.phosphosite.org:5080/cgi-bin/plot-msms.cgi?MassType=1&amp;NumAxis=1&amp;Mod5=184&amp;Pep=VGQLRAQLQGVLAK&amp;Dta=/var/www/html/dta/yong/23616.13498.2.dta&amp;Global_Mod=CS57.0215", "13498")</f>
        <v>13498</v>
      </c>
      <c r="M217" s="7" t="str">
        <f>HYPERLINK("http://ms.phosphosite.org:5080/cgi-bin/plot-msms.cgi?MassType=1&amp;NumAxis=1&amp;Mod5=184&amp;Pep=VGQLRAQLQGVLAK&amp;Dta=/var/www/html/dta/yong/23617.13646.2.dta&amp;Global_Mod=CS57.0215", "13646")</f>
        <v>13646</v>
      </c>
      <c r="N217" s="10">
        <v>64.150000000000006</v>
      </c>
      <c r="O217" s="10">
        <v>64.069999999999993</v>
      </c>
      <c r="P217" s="10">
        <v>3.2330000000000001</v>
      </c>
      <c r="Q217" s="10">
        <v>3.282</v>
      </c>
      <c r="R217" s="10">
        <v>0.90329999999999999</v>
      </c>
      <c r="S217" s="10">
        <v>0.99709999999999999</v>
      </c>
      <c r="T217" s="10">
        <v>0.1802</v>
      </c>
      <c r="U217" s="10">
        <v>0.21740000000000001</v>
      </c>
      <c r="V217" s="7">
        <v>1</v>
      </c>
      <c r="W217" s="7">
        <v>1</v>
      </c>
      <c r="X217" s="10">
        <v>2.64</v>
      </c>
      <c r="Y217" s="10">
        <v>2.86</v>
      </c>
      <c r="Z217" s="11">
        <v>1000</v>
      </c>
      <c r="AA217" s="11">
        <v>1000</v>
      </c>
      <c r="AB217" s="7" t="s">
        <v>13</v>
      </c>
    </row>
    <row r="218" spans="1:28" s="18" customFormat="1">
      <c r="A218" s="9" t="s">
        <v>193</v>
      </c>
      <c r="B218" s="9" t="s">
        <v>1568</v>
      </c>
      <c r="C218" s="9" t="s">
        <v>1569</v>
      </c>
      <c r="D218" s="7">
        <v>4198</v>
      </c>
      <c r="E218" s="9" t="s">
        <v>258</v>
      </c>
      <c r="F218" s="7" t="s">
        <v>1352</v>
      </c>
      <c r="G218" s="7">
        <v>593</v>
      </c>
      <c r="H218" s="9" t="s">
        <v>272</v>
      </c>
      <c r="I218" s="9" t="s">
        <v>273</v>
      </c>
      <c r="J218" s="7">
        <v>4</v>
      </c>
      <c r="K218" s="7">
        <v>1033.3280999999999</v>
      </c>
      <c r="L218" s="7" t="str">
        <f>HYPERLINK("http://ms.phosphosite.org:5080/cgi-bin/plot-msms.cgi?MassType=1&amp;NumAxis=1&amp;Mod25=147&amp;Mod32=184&amp;Pep=NTGPQPPKPGPVLQSGQGLPGVGIMPTVGQLRAQLQGVLAK&amp;Dta=/var/www/html/dta/yong/23616.25820.4.dta&amp;Global_Mod=CS57.0215", "25820")</f>
        <v>25820</v>
      </c>
      <c r="M218" s="7" t="str">
        <f>HYPERLINK("http://ms.phosphosite.org:5080/cgi-bin/plot-msms.cgi?MassType=1&amp;NumAxis=1&amp;Mod25=147&amp;Mod32=184&amp;Pep=NTGPQPPKPGPVLQSGQGLPGVGIMPTVGQLRAQLQGVLAK&amp;Dta=/var/www/html/dta/yong/23617.25975.4.dta&amp;Global_Mod=CS57.0215", "25975")</f>
        <v>25975</v>
      </c>
      <c r="N218" s="10">
        <v>115.59</v>
      </c>
      <c r="O218" s="10">
        <v>115.73</v>
      </c>
      <c r="P218" s="10">
        <v>2.9590000000000001</v>
      </c>
      <c r="Q218" s="10">
        <v>2.6480000000000001</v>
      </c>
      <c r="R218" s="10">
        <v>0.19020000000000001</v>
      </c>
      <c r="S218" s="10">
        <v>0.62</v>
      </c>
      <c r="T218" s="10">
        <v>0.1303</v>
      </c>
      <c r="U218" s="10">
        <v>9.2999999999999999E-2</v>
      </c>
      <c r="V218" s="7">
        <v>1</v>
      </c>
      <c r="W218" s="7">
        <v>1</v>
      </c>
      <c r="X218" s="10">
        <v>2.0699999999999998</v>
      </c>
      <c r="Y218" s="10">
        <v>1.73</v>
      </c>
      <c r="Z218" s="11">
        <v>1000</v>
      </c>
      <c r="AA218" s="11">
        <v>1000</v>
      </c>
      <c r="AB218" s="7" t="s">
        <v>13</v>
      </c>
    </row>
    <row r="219" spans="1:28" s="18" customFormat="1">
      <c r="A219" s="9" t="s">
        <v>193</v>
      </c>
      <c r="B219" s="9" t="s">
        <v>1568</v>
      </c>
      <c r="C219" s="9" t="s">
        <v>1569</v>
      </c>
      <c r="D219" s="7">
        <v>4198</v>
      </c>
      <c r="E219" s="9" t="s">
        <v>258</v>
      </c>
      <c r="F219" s="7" t="s">
        <v>1352</v>
      </c>
      <c r="G219" s="7">
        <v>593</v>
      </c>
      <c r="H219" s="9" t="s">
        <v>272</v>
      </c>
      <c r="I219" s="9" t="s">
        <v>273</v>
      </c>
      <c r="J219" s="7">
        <v>4</v>
      </c>
      <c r="K219" s="7">
        <v>1033.3280999999999</v>
      </c>
      <c r="L219" s="7" t="str">
        <f>HYPERLINK("http://ms.phosphosite.org:5080/cgi-bin/plot-msms.cgi?MassType=1&amp;NumAxis=1&amp;Mod25=147&amp;Mod32=184&amp;Pep=NTGPQPPKPGPVLQSGQGLPGVGIMPTVGQLRAQLQGVLAK&amp;Dta=/var/www/html/dta/yong/23616.25843.4.dta&amp;Global_Mod=CS57.0215", "25843")</f>
        <v>25843</v>
      </c>
      <c r="M219" s="7" t="str">
        <f>HYPERLINK("http://ms.phosphosite.org:5080/cgi-bin/plot-msms.cgi?MassType=1&amp;NumAxis=1&amp;Mod25=147&amp;Mod32=184&amp;Pep=NTGPQPPKPGPVLQSGQGLPGVGIMPTVGQLRAQLQGVLAK&amp;Dta=/var/www/html/dta/yong/23617.25997.4.dta&amp;Global_Mod=CS57.0215", "25997")</f>
        <v>25997</v>
      </c>
      <c r="N219" s="10">
        <v>115.68</v>
      </c>
      <c r="O219" s="10">
        <v>115.83</v>
      </c>
      <c r="P219" s="10">
        <v>2.9660000000000002</v>
      </c>
      <c r="Q219" s="10">
        <v>2.944</v>
      </c>
      <c r="R219" s="10">
        <v>0.33510000000000001</v>
      </c>
      <c r="S219" s="10">
        <v>0.2792</v>
      </c>
      <c r="T219" s="10">
        <v>6.9099999999999995E-2</v>
      </c>
      <c r="U219" s="10">
        <v>0.12859999999999999</v>
      </c>
      <c r="V219" s="7">
        <v>1</v>
      </c>
      <c r="W219" s="7">
        <v>1</v>
      </c>
      <c r="X219" s="10">
        <v>1.73</v>
      </c>
      <c r="Y219" s="10">
        <v>2.0299999999999998</v>
      </c>
      <c r="Z219" s="11">
        <v>1000</v>
      </c>
      <c r="AA219" s="11">
        <v>1000</v>
      </c>
      <c r="AB219" s="7" t="s">
        <v>13</v>
      </c>
    </row>
    <row r="220" spans="1:28" s="18" customFormat="1">
      <c r="A220" s="9" t="s">
        <v>193</v>
      </c>
      <c r="B220" s="9" t="s">
        <v>1568</v>
      </c>
      <c r="C220" s="9" t="s">
        <v>1569</v>
      </c>
      <c r="D220" s="7">
        <v>4198</v>
      </c>
      <c r="E220" s="9" t="s">
        <v>258</v>
      </c>
      <c r="F220" s="7" t="s">
        <v>1352</v>
      </c>
      <c r="G220" s="7">
        <v>593</v>
      </c>
      <c r="H220" s="9" t="s">
        <v>272</v>
      </c>
      <c r="I220" s="9" t="s">
        <v>273</v>
      </c>
      <c r="J220" s="7">
        <v>4</v>
      </c>
      <c r="K220" s="7">
        <v>1033.3280999999999</v>
      </c>
      <c r="L220" s="7" t="str">
        <f>HYPERLINK("http://ms.phosphosite.org:5080/cgi-bin/plot-msms.cgi?MassType=1&amp;NumAxis=1&amp;Mod25=147&amp;Mod32=184&amp;Pep=NTGPQPPKPGPVLQSGQGLPGVGIMPTVGQLRAQLQGVLAK&amp;Dta=/var/www/html/dta/yong/23616.25862.4.dta&amp;Global_Mod=CS57.0215", "25862")</f>
        <v>25862</v>
      </c>
      <c r="M220" s="7" t="str">
        <f>HYPERLINK("http://ms.phosphosite.org:5080/cgi-bin/plot-msms.cgi?MassType=1&amp;NumAxis=1&amp;Mod25=147&amp;Mod32=184&amp;Pep=NTGPQPPKPGPVLQSGQGLPGVGIMPTVGQLRAQLQGVLAK&amp;Dta=/var/www/html/dta/yong/23617.26016.4.dta&amp;Global_Mod=CS57.0215", "26016")</f>
        <v>26016</v>
      </c>
      <c r="N220" s="10">
        <v>115.77</v>
      </c>
      <c r="O220" s="10">
        <v>115.91</v>
      </c>
      <c r="P220" s="10">
        <v>2.9460000000000002</v>
      </c>
      <c r="Q220" s="10">
        <v>3.343</v>
      </c>
      <c r="R220" s="10">
        <v>0.33510000000000001</v>
      </c>
      <c r="S220" s="10">
        <v>0.64400000000000002</v>
      </c>
      <c r="T220" s="10">
        <v>2.5999999999999999E-3</v>
      </c>
      <c r="U220" s="10">
        <v>0.23080000000000001</v>
      </c>
      <c r="V220" s="7">
        <v>1</v>
      </c>
      <c r="W220" s="7">
        <v>1</v>
      </c>
      <c r="X220" s="10">
        <v>1.35</v>
      </c>
      <c r="Y220" s="10">
        <v>2.72</v>
      </c>
      <c r="Z220" s="11">
        <v>1000</v>
      </c>
      <c r="AA220" s="11">
        <v>1000</v>
      </c>
      <c r="AB220" s="7" t="s">
        <v>13</v>
      </c>
    </row>
    <row r="221" spans="1:28" s="18" customFormat="1">
      <c r="A221" s="9" t="s">
        <v>193</v>
      </c>
      <c r="B221" s="9" t="s">
        <v>1568</v>
      </c>
      <c r="C221" s="9" t="s">
        <v>1569</v>
      </c>
      <c r="D221" s="7">
        <v>4198</v>
      </c>
      <c r="E221" s="9" t="s">
        <v>258</v>
      </c>
      <c r="F221" s="7" t="s">
        <v>1352</v>
      </c>
      <c r="G221" s="7">
        <v>593</v>
      </c>
      <c r="H221" s="9" t="s">
        <v>272</v>
      </c>
      <c r="I221" s="9" t="s">
        <v>275</v>
      </c>
      <c r="J221" s="7">
        <v>4</v>
      </c>
      <c r="K221" s="7">
        <v>1154.8755000000001</v>
      </c>
      <c r="L221" s="7" t="str">
        <f>HYPERLINK("http://ms.phosphosite.org:5080/cgi-bin/plot-msms.cgi?MassType=1&amp;NumAxis=1&amp;Mod2=147&amp;Mod29=147&amp;Mod36=184&amp;Pep=PMQNNTGPQPPKPGPVLQSGQGLPGVGIMPTVGQLRAQLQGVLAK&amp;Dta=/var/www/html/dta/yong/23616.25890.4.dta&amp;Global_Mod=CS57.0215", "25890")</f>
        <v>25890</v>
      </c>
      <c r="M221" s="7"/>
      <c r="N221" s="10">
        <v>115.9</v>
      </c>
      <c r="O221" s="10"/>
      <c r="P221" s="10">
        <v>3.8530000000000002</v>
      </c>
      <c r="Q221" s="10"/>
      <c r="R221" s="10">
        <v>1.2924</v>
      </c>
      <c r="S221" s="10"/>
      <c r="T221" s="10">
        <v>0.1082</v>
      </c>
      <c r="U221" s="10"/>
      <c r="V221" s="7">
        <v>43</v>
      </c>
      <c r="W221" s="7"/>
      <c r="X221" s="10">
        <v>2.12</v>
      </c>
      <c r="Y221" s="10"/>
      <c r="Z221" s="11">
        <v>1000</v>
      </c>
      <c r="AA221" s="11"/>
      <c r="AB221" s="7" t="s">
        <v>13</v>
      </c>
    </row>
    <row r="222" spans="1:28" s="18" customFormat="1">
      <c r="A222" s="9" t="s">
        <v>193</v>
      </c>
      <c r="B222" s="9" t="s">
        <v>1568</v>
      </c>
      <c r="C222" s="9" t="s">
        <v>1569</v>
      </c>
      <c r="D222" s="7">
        <v>4198</v>
      </c>
      <c r="E222" s="9" t="s">
        <v>258</v>
      </c>
      <c r="F222" s="7" t="s">
        <v>1352</v>
      </c>
      <c r="G222" s="7">
        <v>593</v>
      </c>
      <c r="H222" s="9" t="s">
        <v>272</v>
      </c>
      <c r="I222" s="9" t="s">
        <v>273</v>
      </c>
      <c r="J222" s="7">
        <v>4</v>
      </c>
      <c r="K222" s="7">
        <v>1033.3280999999999</v>
      </c>
      <c r="L222" s="7" t="str">
        <f>HYPERLINK("http://ms.phosphosite.org:5080/cgi-bin/plot-msms.cgi?MassType=1&amp;NumAxis=1&amp;Mod25=147&amp;Mod32=184&amp;Pep=NTGPQPPKPGPVLQSGQGLPGVGIMPTVGQLRAQLQGVLAK&amp;Dta=/var/www/html/dta/yong/23616.25904.4.dta&amp;Global_Mod=CS57.0215", "25904")</f>
        <v>25904</v>
      </c>
      <c r="M222" s="7"/>
      <c r="N222" s="10">
        <v>115.95</v>
      </c>
      <c r="O222" s="10"/>
      <c r="P222" s="10">
        <v>3.7639999999999998</v>
      </c>
      <c r="Q222" s="10"/>
      <c r="R222" s="10">
        <v>0.33439999999999998</v>
      </c>
      <c r="S222" s="10"/>
      <c r="T222" s="10">
        <v>0.33700000000000002</v>
      </c>
      <c r="U222" s="10"/>
      <c r="V222" s="7">
        <v>1</v>
      </c>
      <c r="W222" s="7"/>
      <c r="X222" s="10">
        <v>3.48</v>
      </c>
      <c r="Y222" s="10"/>
      <c r="Z222" s="11">
        <v>1000</v>
      </c>
      <c r="AA222" s="11"/>
      <c r="AB222" s="7" t="s">
        <v>13</v>
      </c>
    </row>
    <row r="223" spans="1:28" s="18" customFormat="1">
      <c r="A223" s="9" t="s">
        <v>193</v>
      </c>
      <c r="B223" s="9" t="s">
        <v>1568</v>
      </c>
      <c r="C223" s="9" t="s">
        <v>1569</v>
      </c>
      <c r="D223" s="7">
        <v>4198</v>
      </c>
      <c r="E223" s="9" t="s">
        <v>258</v>
      </c>
      <c r="F223" s="7" t="s">
        <v>1352</v>
      </c>
      <c r="G223" s="7">
        <v>593</v>
      </c>
      <c r="H223" s="9" t="s">
        <v>272</v>
      </c>
      <c r="I223" s="9" t="s">
        <v>277</v>
      </c>
      <c r="J223" s="7">
        <v>4</v>
      </c>
      <c r="K223" s="7">
        <v>1004.8174</v>
      </c>
      <c r="L223" s="7" t="str">
        <f>HYPERLINK("http://ms.phosphosite.org:5080/cgi-bin/plot-msms.cgi?MassType=1&amp;NumAxis=1&amp;Mod24=147&amp;Mod31=184&amp;Pep=TGPQPPKPGPVLQSGQGLPGVGIMPTVGQLRAQLQGVLAK&amp;Dta=/var/www/html/dta/yong/23616.25907.4.dta&amp;Global_Mod=CS57.0215", "25907")</f>
        <v>25907</v>
      </c>
      <c r="M223" s="7" t="str">
        <f>HYPERLINK("http://ms.phosphosite.org:5080/cgi-bin/plot-msms.cgi?MassType=1&amp;NumAxis=1&amp;Mod24=147&amp;Mod31=184&amp;Pep=TGPQPPKPGPVLQSGQGLPGVGIMPTVGQLRAQLQGVLAK&amp;Dta=/var/www/html/dta/yong/23617.26019.4.dta&amp;Global_Mod=CS57.0215", "26019")</f>
        <v>26019</v>
      </c>
      <c r="N223" s="10">
        <v>115.96</v>
      </c>
      <c r="O223" s="10">
        <v>115.93</v>
      </c>
      <c r="P223" s="10">
        <v>3.2690000000000001</v>
      </c>
      <c r="Q223" s="10">
        <v>2.4060000000000001</v>
      </c>
      <c r="R223" s="10">
        <v>1.7885</v>
      </c>
      <c r="S223" s="10">
        <v>0.16</v>
      </c>
      <c r="T223" s="10">
        <v>0.1191</v>
      </c>
      <c r="U223" s="10">
        <v>6.2700000000000006E-2</v>
      </c>
      <c r="V223" s="7">
        <v>1</v>
      </c>
      <c r="W223" s="7">
        <v>2</v>
      </c>
      <c r="X223" s="10">
        <v>2.0499999999999998</v>
      </c>
      <c r="Y223" s="10">
        <v>1.5</v>
      </c>
      <c r="Z223" s="11">
        <v>1000</v>
      </c>
      <c r="AA223" s="11">
        <v>1000</v>
      </c>
      <c r="AB223" s="7" t="s">
        <v>13</v>
      </c>
    </row>
    <row r="224" spans="1:28" s="18" customFormat="1">
      <c r="A224" s="9" t="s">
        <v>193</v>
      </c>
      <c r="B224" s="9" t="s">
        <v>1568</v>
      </c>
      <c r="C224" s="9" t="s">
        <v>1569</v>
      </c>
      <c r="D224" s="7">
        <v>4198</v>
      </c>
      <c r="E224" s="9" t="s">
        <v>258</v>
      </c>
      <c r="F224" s="7" t="s">
        <v>1352</v>
      </c>
      <c r="G224" s="7">
        <v>593</v>
      </c>
      <c r="H224" s="9" t="s">
        <v>272</v>
      </c>
      <c r="I224" s="9" t="s">
        <v>274</v>
      </c>
      <c r="J224" s="7">
        <v>4</v>
      </c>
      <c r="K224" s="7">
        <v>828.47220000000004</v>
      </c>
      <c r="L224" s="7" t="str">
        <f>HYPERLINK("http://ms.phosphosite.org:5080/cgi-bin/plot-msms.cgi?MassType=1&amp;NumAxis=1&amp;Mod17=147&amp;Mod24=184&amp;Pep=PGPVLQSGQGLPGVGIMPTVGQLRAQLQGVLAK&amp;Dta=/var/www/html/dta/yong/23616.27513.4.dta&amp;Global_Mod=CS57.0215", "27513")</f>
        <v>27513</v>
      </c>
      <c r="M224" s="7" t="str">
        <f>HYPERLINK("http://ms.phosphosite.org:5080/cgi-bin/plot-msms.cgi?MassType=1&amp;NumAxis=1&amp;Mod17=147&amp;Mod24=184&amp;Pep=PGPVLQSGQGLPGVGIMPTVGQLRAQLQGVLAK&amp;Dta=/var/www/html/dta/yong/23617.27728.4.dta&amp;Global_Mod=CS57.0215", "27728")</f>
        <v>27728</v>
      </c>
      <c r="N224" s="10">
        <v>123.08</v>
      </c>
      <c r="O224" s="10">
        <v>123.65</v>
      </c>
      <c r="P224" s="10">
        <v>4.1639999999999997</v>
      </c>
      <c r="Q224" s="10">
        <v>4.2450000000000001</v>
      </c>
      <c r="R224" s="10">
        <v>1.0495000000000001</v>
      </c>
      <c r="S224" s="10">
        <v>1.1940999999999999</v>
      </c>
      <c r="T224" s="10">
        <v>0.32340000000000002</v>
      </c>
      <c r="U224" s="10">
        <v>0.27639999999999998</v>
      </c>
      <c r="V224" s="7">
        <v>1</v>
      </c>
      <c r="W224" s="7">
        <v>1</v>
      </c>
      <c r="X224" s="10">
        <v>3.57</v>
      </c>
      <c r="Y224" s="10">
        <v>3.3</v>
      </c>
      <c r="Z224" s="11">
        <v>1000</v>
      </c>
      <c r="AA224" s="11">
        <v>1000</v>
      </c>
      <c r="AB224" s="7" t="s">
        <v>13</v>
      </c>
    </row>
    <row r="225" spans="1:28">
      <c r="A225" s="9" t="s">
        <v>193</v>
      </c>
      <c r="B225" s="9" t="s">
        <v>1568</v>
      </c>
      <c r="C225" s="9" t="s">
        <v>1569</v>
      </c>
      <c r="D225" s="7">
        <v>4198</v>
      </c>
      <c r="E225" s="9" t="s">
        <v>258</v>
      </c>
      <c r="F225" s="7" t="s">
        <v>1352</v>
      </c>
      <c r="G225" s="7">
        <v>593</v>
      </c>
      <c r="H225" s="9" t="s">
        <v>272</v>
      </c>
      <c r="I225" s="9" t="s">
        <v>274</v>
      </c>
      <c r="J225" s="7">
        <v>3</v>
      </c>
      <c r="K225" s="7">
        <v>1104.2937999999999</v>
      </c>
      <c r="L225" s="7" t="str">
        <f>HYPERLINK("http://ms.phosphosite.org:5080/cgi-bin/plot-msms.cgi?MassType=1&amp;NumAxis=1&amp;Mod17=147&amp;Mod24=184&amp;Pep=PGPVLQSGQGLPGVGIMPTVGQLRAQLQGVLAK&amp;Dta=/var/www/html/dta/yong/23616.27533.3.dta&amp;Global_Mod=CS57.0215", "27533")</f>
        <v>27533</v>
      </c>
      <c r="M225" s="7" t="str">
        <f>HYPERLINK("http://ms.phosphosite.org:5080/cgi-bin/plot-msms.cgi?MassType=1&amp;NumAxis=1&amp;Mod17=147&amp;Mod24=184&amp;Pep=PGPVLQSGQGLPGVGIMPTVGQLRAQLQGVLAK&amp;Dta=/var/www/html/dta/yong/23617.27625.3.dta&amp;Global_Mod=CS57.0215", "27625")</f>
        <v>27625</v>
      </c>
      <c r="N225" s="10">
        <v>123.18</v>
      </c>
      <c r="O225" s="10">
        <v>123.16</v>
      </c>
      <c r="P225" s="10">
        <v>5.9880000000000004</v>
      </c>
      <c r="Q225" s="10">
        <v>5.7939999999999996</v>
      </c>
      <c r="R225" s="10">
        <v>0.87119999999999997</v>
      </c>
      <c r="S225" s="10">
        <v>1.7397</v>
      </c>
      <c r="T225" s="10">
        <v>0.4844</v>
      </c>
      <c r="U225" s="10">
        <v>0.4481</v>
      </c>
      <c r="V225" s="7">
        <v>1</v>
      </c>
      <c r="W225" s="7">
        <v>1</v>
      </c>
      <c r="X225" s="10">
        <v>5</v>
      </c>
      <c r="Y225" s="10">
        <v>4.71</v>
      </c>
      <c r="Z225" s="11">
        <v>1000</v>
      </c>
      <c r="AA225" s="11">
        <v>1000</v>
      </c>
      <c r="AB225" s="7" t="s">
        <v>13</v>
      </c>
    </row>
    <row r="226" spans="1:28">
      <c r="A226" s="9" t="s">
        <v>193</v>
      </c>
      <c r="B226" s="9" t="s">
        <v>1568</v>
      </c>
      <c r="C226" s="9" t="s">
        <v>1569</v>
      </c>
      <c r="D226" s="7">
        <v>4198</v>
      </c>
      <c r="E226" s="9" t="s">
        <v>258</v>
      </c>
      <c r="F226" s="7" t="s">
        <v>1352</v>
      </c>
      <c r="G226" s="7">
        <v>593</v>
      </c>
      <c r="H226" s="9" t="s">
        <v>272</v>
      </c>
      <c r="I226" s="9" t="s">
        <v>274</v>
      </c>
      <c r="J226" s="7">
        <v>3</v>
      </c>
      <c r="K226" s="7">
        <v>1104.2937999999999</v>
      </c>
      <c r="L226" s="7" t="str">
        <f>HYPERLINK("http://ms.phosphosite.org:5080/cgi-bin/plot-msms.cgi?MassType=1&amp;NumAxis=1&amp;Mod17=147&amp;Mod24=184&amp;Pep=PGPVLQSGQGLPGVGIMPTVGQLRAQLQGVLAK&amp;Dta=/var/www/html/dta/yong/23616.27549.3.dta&amp;Global_Mod=CS57.0215", "27549")</f>
        <v>27549</v>
      </c>
      <c r="M226" s="7" t="str">
        <f>HYPERLINK("http://ms.phosphosite.org:5080/cgi-bin/plot-msms.cgi?MassType=1&amp;NumAxis=1&amp;Mod17=147&amp;Mod24=184&amp;Pep=PGPVLQSGQGLPGVGIMPTVGQLRAQLQGVLAK&amp;Dta=/var/www/html/dta/yong/23617.27601.3.dta&amp;Global_Mod=CS57.0215", "27601")</f>
        <v>27601</v>
      </c>
      <c r="N226" s="10">
        <v>123.25</v>
      </c>
      <c r="O226" s="10">
        <v>123.05</v>
      </c>
      <c r="P226" s="10">
        <v>5.7240000000000002</v>
      </c>
      <c r="Q226" s="10">
        <v>5.43</v>
      </c>
      <c r="R226" s="10">
        <v>0.66379999999999995</v>
      </c>
      <c r="S226" s="10">
        <v>1.6146</v>
      </c>
      <c r="T226" s="10">
        <v>0.45479999999999998</v>
      </c>
      <c r="U226" s="10">
        <v>0.47049999999999997</v>
      </c>
      <c r="V226" s="7">
        <v>1</v>
      </c>
      <c r="W226" s="7">
        <v>1</v>
      </c>
      <c r="X226" s="10">
        <v>4.7699999999999996</v>
      </c>
      <c r="Y226" s="10">
        <v>4.7300000000000004</v>
      </c>
      <c r="Z226" s="11">
        <v>1000</v>
      </c>
      <c r="AA226" s="11">
        <v>1000</v>
      </c>
      <c r="AB226" s="7" t="s">
        <v>13</v>
      </c>
    </row>
    <row r="227" spans="1:28">
      <c r="A227" s="9" t="s">
        <v>193</v>
      </c>
      <c r="B227" s="9" t="s">
        <v>1568</v>
      </c>
      <c r="C227" s="9" t="s">
        <v>1569</v>
      </c>
      <c r="D227" s="7">
        <v>4198</v>
      </c>
      <c r="E227" s="9" t="s">
        <v>258</v>
      </c>
      <c r="F227" s="7" t="s">
        <v>1352</v>
      </c>
      <c r="G227" s="7">
        <v>593</v>
      </c>
      <c r="H227" s="9" t="s">
        <v>272</v>
      </c>
      <c r="I227" s="9" t="s">
        <v>274</v>
      </c>
      <c r="J227" s="7">
        <v>4</v>
      </c>
      <c r="K227" s="7">
        <v>828.47220000000004</v>
      </c>
      <c r="L227" s="7" t="str">
        <f>HYPERLINK("http://ms.phosphosite.org:5080/cgi-bin/plot-msms.cgi?MassType=1&amp;NumAxis=1&amp;Mod17=147&amp;Mod24=184&amp;Pep=PGPVLQSGQGLPGVGIMPTVGQLRAQLQGVLAK&amp;Dta=/var/www/html/dta/yong/23616.27572.4.dta&amp;Global_Mod=CS57.0215", "27572")</f>
        <v>27572</v>
      </c>
      <c r="M227" s="7" t="str">
        <f>HYPERLINK("http://ms.phosphosite.org:5080/cgi-bin/plot-msms.cgi?MassType=1&amp;NumAxis=1&amp;Mod17=147&amp;Mod24=184&amp;Pep=PGPVLQSGQGLPGVGIMPTVGQLRAQLQGVLAK&amp;Dta=/var/www/html/dta/yong/23617.27589.4.dta&amp;Global_Mod=CS57.0215", "27589")</f>
        <v>27589</v>
      </c>
      <c r="N227" s="10">
        <v>123.36</v>
      </c>
      <c r="O227" s="10">
        <v>122.99</v>
      </c>
      <c r="P227" s="10">
        <v>3.6949999999999998</v>
      </c>
      <c r="Q227" s="10">
        <v>3.7989999999999999</v>
      </c>
      <c r="R227" s="10">
        <v>1.2216</v>
      </c>
      <c r="S227" s="10">
        <v>0.91949999999999998</v>
      </c>
      <c r="T227" s="10">
        <v>0.32969999999999999</v>
      </c>
      <c r="U227" s="10">
        <v>0.25280000000000002</v>
      </c>
      <c r="V227" s="7">
        <v>1</v>
      </c>
      <c r="W227" s="7">
        <v>1</v>
      </c>
      <c r="X227" s="10">
        <v>3.46</v>
      </c>
      <c r="Y227" s="10">
        <v>3.05</v>
      </c>
      <c r="Z227" s="11">
        <v>1000</v>
      </c>
      <c r="AA227" s="11">
        <v>1000</v>
      </c>
      <c r="AB227" s="7" t="s">
        <v>13</v>
      </c>
    </row>
    <row r="228" spans="1:28">
      <c r="A228" s="9" t="s">
        <v>193</v>
      </c>
      <c r="B228" s="9" t="s">
        <v>1568</v>
      </c>
      <c r="C228" s="9" t="s">
        <v>1569</v>
      </c>
      <c r="D228" s="7">
        <v>4198</v>
      </c>
      <c r="E228" s="9" t="s">
        <v>258</v>
      </c>
      <c r="F228" s="7" t="s">
        <v>1352</v>
      </c>
      <c r="G228" s="7">
        <v>593</v>
      </c>
      <c r="H228" s="9" t="s">
        <v>272</v>
      </c>
      <c r="I228" s="9" t="s">
        <v>274</v>
      </c>
      <c r="J228" s="7">
        <v>3</v>
      </c>
      <c r="K228" s="7">
        <v>1104.2937999999999</v>
      </c>
      <c r="L228" s="7" t="str">
        <f>HYPERLINK("http://ms.phosphosite.org:5080/cgi-bin/plot-msms.cgi?MassType=1&amp;NumAxis=1&amp;Mod17=147&amp;Mod24=184&amp;Pep=PGPVLQSGQGLPGVGIMPTVGQLRAQLQGVLAK&amp;Dta=/var/www/html/dta/yong/23616.27657.3.dta&amp;Global_Mod=CS57.0215", "27657")</f>
        <v>27657</v>
      </c>
      <c r="M228" s="7" t="str">
        <f>HYPERLINK("http://ms.phosphosite.org:5080/cgi-bin/plot-msms.cgi?MassType=1&amp;NumAxis=1&amp;Mod17=147&amp;Mod24=184&amp;Pep=PGPVLQSGQGLPGVGIMPTVGQLRAQLQGVLAK&amp;Dta=/var/www/html/dta/yong/23617.27692.3.dta&amp;Global_Mod=CS57.0215", "27692")</f>
        <v>27692</v>
      </c>
      <c r="N228" s="10">
        <v>123.76</v>
      </c>
      <c r="O228" s="10">
        <v>123.48</v>
      </c>
      <c r="P228" s="10">
        <v>4.1749999999999998</v>
      </c>
      <c r="Q228" s="10">
        <v>5.6</v>
      </c>
      <c r="R228" s="10">
        <v>-1.1456</v>
      </c>
      <c r="S228" s="10">
        <v>1.6146</v>
      </c>
      <c r="T228" s="10">
        <v>0.35549999999999998</v>
      </c>
      <c r="U228" s="10">
        <v>0.39800000000000002</v>
      </c>
      <c r="V228" s="7">
        <v>2</v>
      </c>
      <c r="W228" s="7">
        <v>1</v>
      </c>
      <c r="X228" s="10">
        <v>3.69</v>
      </c>
      <c r="Y228" s="10">
        <v>4.37</v>
      </c>
      <c r="Z228" s="11">
        <v>1000</v>
      </c>
      <c r="AA228" s="11">
        <v>1000</v>
      </c>
      <c r="AB228" s="7" t="s">
        <v>13</v>
      </c>
    </row>
    <row r="229" spans="1:28">
      <c r="A229" s="9" t="s">
        <v>193</v>
      </c>
      <c r="B229" s="9" t="s">
        <v>1568</v>
      </c>
      <c r="C229" s="9" t="s">
        <v>1569</v>
      </c>
      <c r="D229" s="7">
        <v>4198</v>
      </c>
      <c r="E229" s="9" t="s">
        <v>258</v>
      </c>
      <c r="F229" s="7" t="s">
        <v>1352</v>
      </c>
      <c r="G229" s="7">
        <v>593</v>
      </c>
      <c r="H229" s="9" t="s">
        <v>272</v>
      </c>
      <c r="I229" s="9" t="s">
        <v>274</v>
      </c>
      <c r="J229" s="7">
        <v>4</v>
      </c>
      <c r="K229" s="7">
        <v>828.47220000000004</v>
      </c>
      <c r="L229" s="7" t="str">
        <f>HYPERLINK("http://ms.phosphosite.org:5080/cgi-bin/plot-msms.cgi?MassType=1&amp;NumAxis=1&amp;Mod17=147&amp;Mod24=184&amp;Pep=PGPVLQSGQGLPGVGIMPTVGQLRAQLQGVLAK&amp;Dta=/var/www/html/dta/yong/23616.27668.4.dta&amp;Global_Mod=CS57.0215", "27668")</f>
        <v>27668</v>
      </c>
      <c r="M229" s="7" t="str">
        <f>HYPERLINK("http://ms.phosphosite.org:5080/cgi-bin/plot-msms.cgi?MassType=1&amp;NumAxis=1&amp;Mod17=147&amp;Mod24=184&amp;Pep=PGPVLQSGQGLPGVGIMPTVGQLRAQLQGVLAK&amp;Dta=/var/www/html/dta/yong/23617.27599.4.dta&amp;Global_Mod=CS57.0215", "27599")</f>
        <v>27599</v>
      </c>
      <c r="N229" s="10">
        <v>123.82</v>
      </c>
      <c r="O229" s="10">
        <v>123.04</v>
      </c>
      <c r="P229" s="10">
        <v>3.4359999999999999</v>
      </c>
      <c r="Q229" s="10">
        <v>4.5410000000000004</v>
      </c>
      <c r="R229" s="10">
        <v>1.4320999999999999</v>
      </c>
      <c r="S229" s="10">
        <v>1.0118</v>
      </c>
      <c r="T229" s="10">
        <v>0.11749999999999999</v>
      </c>
      <c r="U229" s="10">
        <v>0.41570000000000001</v>
      </c>
      <c r="V229" s="7">
        <v>1</v>
      </c>
      <c r="W229" s="7">
        <v>1</v>
      </c>
      <c r="X229" s="10">
        <v>2.17</v>
      </c>
      <c r="Y229" s="10">
        <v>4.1900000000000004</v>
      </c>
      <c r="Z229" s="11">
        <v>1000</v>
      </c>
      <c r="AA229" s="11">
        <v>1000</v>
      </c>
      <c r="AB229" s="7" t="s">
        <v>13</v>
      </c>
    </row>
    <row r="230" spans="1:28">
      <c r="A230" s="9" t="s">
        <v>193</v>
      </c>
      <c r="B230" s="9" t="s">
        <v>1568</v>
      </c>
      <c r="C230" s="9" t="s">
        <v>1569</v>
      </c>
      <c r="D230" s="7">
        <v>4198</v>
      </c>
      <c r="E230" s="9" t="s">
        <v>258</v>
      </c>
      <c r="F230" s="7" t="s">
        <v>1352</v>
      </c>
      <c r="G230" s="7">
        <v>593</v>
      </c>
      <c r="H230" s="9" t="s">
        <v>272</v>
      </c>
      <c r="I230" s="9" t="s">
        <v>276</v>
      </c>
      <c r="J230" s="7">
        <v>4</v>
      </c>
      <c r="K230" s="7">
        <v>1150.8768</v>
      </c>
      <c r="L230" s="7" t="str">
        <f>HYPERLINK("http://ms.phosphosite.org:5080/cgi-bin/plot-msms.cgi?MassType=1&amp;NumAxis=1&amp;Mod2=147&amp;Mod36=184&amp;Pep=PMQNNTGPQPPKPGPVLQSGQGLPGVGIMPTVGQLRAQLQGVLAK&amp;Dta=/var/www/html/dta/yong/23616.28931.4.dta&amp;Global_Mod=CS57.0215", "28931")</f>
        <v>28931</v>
      </c>
      <c r="M230" s="7" t="str">
        <f>HYPERLINK("http://ms.phosphosite.org:5080/cgi-bin/plot-msms.cgi?MassType=1&amp;NumAxis=1&amp;Mod2=147&amp;Mod36=184&amp;Pep=PMQNNTGPQPPKPGPVLQSGQGLPGVGIMPTVGQLRAQLQGVLAK&amp;Dta=/var/www/html/dta/yong/23617.28969.4.dta&amp;Global_Mod=CS57.0215", "28969")</f>
        <v>28969</v>
      </c>
      <c r="N230" s="10">
        <v>129.72999999999999</v>
      </c>
      <c r="O230" s="10">
        <v>129.54</v>
      </c>
      <c r="P230" s="10">
        <v>5.016</v>
      </c>
      <c r="Q230" s="10">
        <v>3.6</v>
      </c>
      <c r="R230" s="10">
        <v>2.7324000000000002</v>
      </c>
      <c r="S230" s="10">
        <v>1.863</v>
      </c>
      <c r="T230" s="10">
        <v>0.34239999999999998</v>
      </c>
      <c r="U230" s="10">
        <v>7.7799999999999994E-2</v>
      </c>
      <c r="V230" s="7">
        <v>1</v>
      </c>
      <c r="W230" s="7">
        <v>7</v>
      </c>
      <c r="X230" s="10">
        <v>3.72</v>
      </c>
      <c r="Y230" s="10">
        <v>1.83</v>
      </c>
      <c r="Z230" s="11">
        <v>1000</v>
      </c>
      <c r="AA230" s="11">
        <v>1000</v>
      </c>
      <c r="AB230" s="7" t="s">
        <v>13</v>
      </c>
    </row>
    <row r="231" spans="1:28">
      <c r="A231" s="9" t="s">
        <v>193</v>
      </c>
      <c r="B231" s="9" t="s">
        <v>1568</v>
      </c>
      <c r="C231" s="9" t="s">
        <v>1569</v>
      </c>
      <c r="D231" s="7">
        <v>4198</v>
      </c>
      <c r="E231" s="9" t="s">
        <v>258</v>
      </c>
      <c r="F231" s="7" t="s">
        <v>1352</v>
      </c>
      <c r="G231" s="7">
        <v>593</v>
      </c>
      <c r="H231" s="9" t="s">
        <v>272</v>
      </c>
      <c r="I231" s="9" t="s">
        <v>276</v>
      </c>
      <c r="J231" s="7">
        <v>4</v>
      </c>
      <c r="K231" s="7">
        <v>1150.8768</v>
      </c>
      <c r="L231" s="7" t="str">
        <f>HYPERLINK("http://ms.phosphosite.org:5080/cgi-bin/plot-msms.cgi?MassType=1&amp;NumAxis=1&amp;Mod2=147&amp;Mod36=184&amp;Pep=PMQNNTGPQPPKPGPVLQSGQGLPGVGIMPTVGQLRAQLQGVLAK&amp;Dta=/var/www/html/dta/yong/23616.28941.4.dta&amp;Global_Mod=CS57.0215", "28941")</f>
        <v>28941</v>
      </c>
      <c r="M231" s="7"/>
      <c r="N231" s="10">
        <v>129.78</v>
      </c>
      <c r="O231" s="10"/>
      <c r="P231" s="10">
        <v>4.4409999999999998</v>
      </c>
      <c r="Q231" s="10"/>
      <c r="R231" s="10">
        <v>1.9422999999999999</v>
      </c>
      <c r="S231" s="10"/>
      <c r="T231" s="10">
        <v>0.26719999999999999</v>
      </c>
      <c r="U231" s="10"/>
      <c r="V231" s="7">
        <v>5</v>
      </c>
      <c r="W231" s="7"/>
      <c r="X231" s="10">
        <v>3.17</v>
      </c>
      <c r="Y231" s="10"/>
      <c r="Z231" s="11">
        <v>1000</v>
      </c>
      <c r="AA231" s="11"/>
      <c r="AB231" s="7" t="s">
        <v>13</v>
      </c>
    </row>
    <row r="232" spans="1:28">
      <c r="A232" s="9" t="s">
        <v>193</v>
      </c>
      <c r="B232" s="9" t="s">
        <v>1568</v>
      </c>
      <c r="C232" s="9" t="s">
        <v>1569</v>
      </c>
      <c r="D232" s="7">
        <v>4198</v>
      </c>
      <c r="E232" s="9" t="s">
        <v>258</v>
      </c>
      <c r="F232" s="7" t="s">
        <v>1352</v>
      </c>
      <c r="G232" s="7">
        <v>593</v>
      </c>
      <c r="H232" s="9" t="s">
        <v>272</v>
      </c>
      <c r="I232" s="9" t="s">
        <v>276</v>
      </c>
      <c r="J232" s="7">
        <v>5</v>
      </c>
      <c r="K232" s="7">
        <v>920.90290000000005</v>
      </c>
      <c r="L232" s="7" t="str">
        <f>HYPERLINK("http://ms.phosphosite.org:5080/cgi-bin/plot-msms.cgi?MassType=1&amp;NumAxis=1&amp;Mod2=147&amp;Mod36=184&amp;Pep=PMQNNTGPQPPKPGPVLQSGQGLPGVGIMPTVGQLRAQLQGVLAK&amp;Dta=/var/www/html/dta/yong/23616.28956.5.dta&amp;Global_Mod=CS57.0215", "28956")</f>
        <v>28956</v>
      </c>
      <c r="M232" s="7"/>
      <c r="N232" s="10">
        <v>129.85</v>
      </c>
      <c r="O232" s="10"/>
      <c r="P232" s="10">
        <v>2.9860000000000002</v>
      </c>
      <c r="Q232" s="10"/>
      <c r="R232" s="10">
        <v>1.2684</v>
      </c>
      <c r="S232" s="10"/>
      <c r="T232" s="10">
        <v>2.8000000000000001E-2</v>
      </c>
      <c r="U232" s="10"/>
      <c r="V232" s="7">
        <v>386</v>
      </c>
      <c r="W232" s="7"/>
      <c r="X232" s="10">
        <v>1.3</v>
      </c>
      <c r="Y232" s="10"/>
      <c r="Z232" s="11">
        <v>1000</v>
      </c>
      <c r="AA232" s="11"/>
      <c r="AB232" s="7" t="s">
        <v>13</v>
      </c>
    </row>
    <row r="233" spans="1:28">
      <c r="A233" s="9" t="s">
        <v>193</v>
      </c>
      <c r="B233" s="9" t="s">
        <v>1568</v>
      </c>
      <c r="C233" s="9" t="s">
        <v>1569</v>
      </c>
      <c r="D233" s="7">
        <v>4198</v>
      </c>
      <c r="E233" s="9" t="s">
        <v>258</v>
      </c>
      <c r="F233" s="7" t="s">
        <v>1352</v>
      </c>
      <c r="G233" s="7">
        <v>593</v>
      </c>
      <c r="H233" s="9" t="s">
        <v>272</v>
      </c>
      <c r="I233" s="9" t="s">
        <v>276</v>
      </c>
      <c r="J233" s="7">
        <v>4</v>
      </c>
      <c r="K233" s="7">
        <v>1150.8768</v>
      </c>
      <c r="L233" s="7" t="str">
        <f>HYPERLINK("http://ms.phosphosite.org:5080/cgi-bin/plot-msms.cgi?MassType=1&amp;NumAxis=1&amp;Mod2=147&amp;Mod36=184&amp;Pep=PMQNNTGPQPPKPGPVLQSGQGLPGVGIMPTVGQLRAQLQGVLAK&amp;Dta=/var/www/html/dta/yong/23616.28965.4.dta&amp;Global_Mod=CS57.0215", "28965")</f>
        <v>28965</v>
      </c>
      <c r="M233" s="7" t="str">
        <f>HYPERLINK("http://ms.phosphosite.org:5080/cgi-bin/plot-msms.cgi?MassType=1&amp;NumAxis=1&amp;Mod2=147&amp;Mod36=184&amp;Pep=PMQNNTGPQPPKPGPVLQSGQGLPGVGIMPTVGQLRAQLQGVLAK&amp;Dta=/var/www/html/dta/yong/23617.28983.4.dta&amp;Global_Mod=CS57.0215", "28983")</f>
        <v>28983</v>
      </c>
      <c r="N233" s="10">
        <v>129.9</v>
      </c>
      <c r="O233" s="10">
        <v>129.61000000000001</v>
      </c>
      <c r="P233" s="10">
        <v>3.641</v>
      </c>
      <c r="Q233" s="10">
        <v>3.5920000000000001</v>
      </c>
      <c r="R233" s="10">
        <v>2.7324000000000002</v>
      </c>
      <c r="S233" s="10">
        <v>1.863</v>
      </c>
      <c r="T233" s="10">
        <v>0.1676</v>
      </c>
      <c r="U233" s="10">
        <v>0.1459</v>
      </c>
      <c r="V233" s="7">
        <v>3</v>
      </c>
      <c r="W233" s="7">
        <v>1</v>
      </c>
      <c r="X233" s="10">
        <v>2.34</v>
      </c>
      <c r="Y233" s="10">
        <v>2.21</v>
      </c>
      <c r="Z233" s="11">
        <v>1000</v>
      </c>
      <c r="AA233" s="11">
        <v>1000</v>
      </c>
      <c r="AB233" s="7" t="s">
        <v>13</v>
      </c>
    </row>
    <row r="234" spans="1:28">
      <c r="A234" s="3" t="s">
        <v>193</v>
      </c>
      <c r="B234" s="9" t="s">
        <v>1568</v>
      </c>
      <c r="C234" s="9" t="s">
        <v>1569</v>
      </c>
      <c r="D234" s="4">
        <v>5275</v>
      </c>
      <c r="E234" s="3" t="s">
        <v>258</v>
      </c>
      <c r="F234" s="7" t="s">
        <v>1352</v>
      </c>
      <c r="G234" s="4">
        <v>593</v>
      </c>
      <c r="H234" s="3" t="s">
        <v>279</v>
      </c>
      <c r="I234" s="3" t="s">
        <v>280</v>
      </c>
      <c r="J234" s="4">
        <v>6</v>
      </c>
      <c r="K234" s="4">
        <v>745.23779999999999</v>
      </c>
      <c r="L234" s="4" t="str">
        <f>HYPERLINK("http://ms.phosphosite.org:5080/cgi-bin/plot-msms.cgi?MassType=1&amp;NumAxis=1&amp;Mod2=170&amp;Mod30=170&amp;Mod38=147&amp;Mod39=184&amp;Pep=GRPEFVIKVIEQGLEDLVFTDASPQAVWNRIIEPVAAMR&amp;Dta=/var/www/html/dta/yong/23616.22292.6.dta&amp;Global_Mod=CS57.0215", "22292")</f>
        <v>22292</v>
      </c>
      <c r="M234" s="4"/>
      <c r="N234" s="5">
        <v>101.33</v>
      </c>
      <c r="O234" s="5"/>
      <c r="P234" s="5">
        <v>2.99</v>
      </c>
      <c r="Q234" s="5"/>
      <c r="R234" s="5">
        <v>10.0684</v>
      </c>
      <c r="S234" s="5"/>
      <c r="T234" s="5">
        <v>0.159</v>
      </c>
      <c r="U234" s="5"/>
      <c r="V234" s="4">
        <v>468</v>
      </c>
      <c r="W234" s="4"/>
      <c r="X234" s="5">
        <v>1.48</v>
      </c>
      <c r="Y234" s="5"/>
      <c r="Z234" s="6" t="s">
        <v>1307</v>
      </c>
      <c r="AA234" s="6"/>
      <c r="AB234" s="4" t="s">
        <v>13</v>
      </c>
    </row>
    <row r="235" spans="1:28">
      <c r="A235" s="3" t="s">
        <v>193</v>
      </c>
      <c r="B235" s="3" t="s">
        <v>281</v>
      </c>
      <c r="C235" s="3" t="s">
        <v>281</v>
      </c>
      <c r="D235" s="4" t="s">
        <v>282</v>
      </c>
      <c r="E235" s="3" t="s">
        <v>283</v>
      </c>
      <c r="F235" s="7" t="s">
        <v>1353</v>
      </c>
      <c r="G235" s="4">
        <v>43.3</v>
      </c>
      <c r="H235" s="3" t="s">
        <v>284</v>
      </c>
      <c r="I235" s="3" t="s">
        <v>285</v>
      </c>
      <c r="J235" s="4">
        <v>3</v>
      </c>
      <c r="K235" s="4">
        <v>614.34019999999998</v>
      </c>
      <c r="L235" s="4"/>
      <c r="M235" s="4" t="str">
        <f>HYPERLINK("http://ms.phosphosite.org:5080/cgi-bin/plot-msms.cgi?MassType=1&amp;NumAxis=1&amp;Mod9=184&amp;Mod11=184&amp;Pep=MLLETGLERDRARPGA&amp;Dta=/var/www/html/dta/yong/23617.15459.3.dta&amp;Global_Mod=CS57.0215", "15459")</f>
        <v>15459</v>
      </c>
      <c r="N235" s="5"/>
      <c r="O235" s="5">
        <v>71.89</v>
      </c>
      <c r="P235" s="5"/>
      <c r="Q235" s="5">
        <v>2.2549999999999999</v>
      </c>
      <c r="R235" s="5"/>
      <c r="S235" s="5">
        <v>-0.61770000000000003</v>
      </c>
      <c r="T235" s="5"/>
      <c r="U235" s="5">
        <v>0.17910000000000001</v>
      </c>
      <c r="V235" s="4"/>
      <c r="W235" s="4">
        <v>85</v>
      </c>
      <c r="X235" s="5"/>
      <c r="Y235" s="5">
        <v>1.1399999999999999</v>
      </c>
      <c r="Z235" s="6"/>
      <c r="AA235" s="6" t="s">
        <v>1309</v>
      </c>
      <c r="AB235" s="4" t="s">
        <v>13</v>
      </c>
    </row>
    <row r="236" spans="1:28">
      <c r="A236" s="3" t="s">
        <v>193</v>
      </c>
      <c r="B236" s="3" t="s">
        <v>1570</v>
      </c>
      <c r="C236" s="3" t="s">
        <v>1571</v>
      </c>
      <c r="D236" s="4" t="s">
        <v>1776</v>
      </c>
      <c r="E236" s="3" t="s">
        <v>286</v>
      </c>
      <c r="F236" s="7" t="s">
        <v>1488</v>
      </c>
      <c r="G236" s="4">
        <v>315</v>
      </c>
      <c r="H236" s="3" t="s">
        <v>287</v>
      </c>
      <c r="I236" s="3" t="s">
        <v>288</v>
      </c>
      <c r="J236" s="4">
        <v>3</v>
      </c>
      <c r="K236" s="4">
        <v>723.44740000000002</v>
      </c>
      <c r="L236" s="4" t="str">
        <f>HYPERLINK("http://ms.phosphosite.org:5080/cgi-bin/plot-msms.cgi?MassType=1&amp;NumAxis=1&amp;Mod4=184&amp;Mod18=184&amp;Pep=AGPRLLLIPVQQGSPTLRPV&amp;Dta=/var/www/html/dta/yong/23616.21192.3.dta&amp;Global_Mod=CS57.0215", "21192")</f>
        <v>21192</v>
      </c>
      <c r="M236" s="4" t="str">
        <f>HYPERLINK("http://ms.phosphosite.org:5080/cgi-bin/plot-msms.cgi?MassType=1&amp;NumAxis=1&amp;Mod4=184&amp;Mod18=184&amp;Pep=AGPRLLLIPVQQGSPTLRPV&amp;Dta=/var/www/html/dta/yong/23617.21312.3.dta&amp;Global_Mod=CS57.0215", "21312")</f>
        <v>21312</v>
      </c>
      <c r="N236" s="5">
        <v>96.85</v>
      </c>
      <c r="O236" s="5">
        <v>96.66</v>
      </c>
      <c r="P236" s="5">
        <v>3.7719999999999998</v>
      </c>
      <c r="Q236" s="5">
        <v>4.3440000000000003</v>
      </c>
      <c r="R236" s="5">
        <v>0.63480000000000003</v>
      </c>
      <c r="S236" s="5">
        <v>1.0547</v>
      </c>
      <c r="T236" s="5">
        <v>0.47389999999999999</v>
      </c>
      <c r="U236" s="5">
        <v>0.41310000000000002</v>
      </c>
      <c r="V236" s="4">
        <v>1</v>
      </c>
      <c r="W236" s="4">
        <v>1</v>
      </c>
      <c r="X236" s="5">
        <v>3.46</v>
      </c>
      <c r="Y236" s="5">
        <v>3.3</v>
      </c>
      <c r="Z236" s="6" t="s">
        <v>1306</v>
      </c>
      <c r="AA236" s="6" t="s">
        <v>1306</v>
      </c>
      <c r="AB236" s="4" t="s">
        <v>13</v>
      </c>
    </row>
    <row r="237" spans="1:28">
      <c r="A237" s="3" t="s">
        <v>193</v>
      </c>
      <c r="B237" s="3" t="s">
        <v>1570</v>
      </c>
      <c r="C237" s="3" t="s">
        <v>1571</v>
      </c>
      <c r="D237" s="4" t="s">
        <v>1776</v>
      </c>
      <c r="E237" s="3" t="s">
        <v>286</v>
      </c>
      <c r="F237" s="7" t="s">
        <v>1488</v>
      </c>
      <c r="G237" s="4">
        <v>315</v>
      </c>
      <c r="H237" s="3" t="s">
        <v>287</v>
      </c>
      <c r="I237" s="3" t="s">
        <v>288</v>
      </c>
      <c r="J237" s="4">
        <v>3</v>
      </c>
      <c r="K237" s="4">
        <v>723.44740000000002</v>
      </c>
      <c r="L237" s="4"/>
      <c r="M237" s="4" t="str">
        <f>HYPERLINK("http://ms.phosphosite.org:5080/cgi-bin/plot-msms.cgi?MassType=1&amp;NumAxis=1&amp;Mod4=184&amp;Mod18=184&amp;Pep=AGPRLLLIPVQQGSPTLRPV&amp;Dta=/var/www/html/dta/yong/23617.21321.3.dta&amp;Global_Mod=CS57.0215", "21321")</f>
        <v>21321</v>
      </c>
      <c r="N237" s="5"/>
      <c r="O237" s="5">
        <v>96.7</v>
      </c>
      <c r="P237" s="5"/>
      <c r="Q237" s="5">
        <v>4.1109999999999998</v>
      </c>
      <c r="R237" s="5"/>
      <c r="S237" s="5">
        <v>0.81889999999999996</v>
      </c>
      <c r="T237" s="5"/>
      <c r="U237" s="5">
        <v>0.44140000000000001</v>
      </c>
      <c r="V237" s="4"/>
      <c r="W237" s="4">
        <v>1</v>
      </c>
      <c r="X237" s="5"/>
      <c r="Y237" s="5">
        <v>3.4</v>
      </c>
      <c r="Z237" s="6"/>
      <c r="AA237" s="6" t="s">
        <v>1306</v>
      </c>
      <c r="AB237" s="4" t="s">
        <v>13</v>
      </c>
    </row>
    <row r="238" spans="1:28">
      <c r="A238" s="9" t="s">
        <v>193</v>
      </c>
      <c r="B238" s="9" t="s">
        <v>1572</v>
      </c>
      <c r="C238" s="9" t="s">
        <v>1573</v>
      </c>
      <c r="D238" s="7">
        <v>1131</v>
      </c>
      <c r="E238" s="9" t="s">
        <v>289</v>
      </c>
      <c r="F238" s="7" t="s">
        <v>1354</v>
      </c>
      <c r="G238" s="7">
        <v>156.69999999999999</v>
      </c>
      <c r="H238" s="9" t="s">
        <v>290</v>
      </c>
      <c r="I238" s="9" t="s">
        <v>292</v>
      </c>
      <c r="J238" s="7">
        <v>2</v>
      </c>
      <c r="K238" s="7">
        <v>636.85829999999999</v>
      </c>
      <c r="L238" s="7" t="str">
        <f>HYPERLINK("http://ms.phosphosite.org:5080/cgi-bin/plot-msms.cgi?MassType=1&amp;NumAxis=1&amp;Mod7=184&amp;Mod9=147&amp;Pep=QLIQQQRAML&amp;Dta=/var/www/html/dta/yong/23616.10053.2.dta&amp;Global_Mod=CS57.0215", "10053")</f>
        <v>10053</v>
      </c>
      <c r="M238" s="7" t="str">
        <f>HYPERLINK("http://ms.phosphosite.org:5080/cgi-bin/plot-msms.cgi?MassType=1&amp;NumAxis=1&amp;Mod7=184&amp;Mod9=147&amp;Pep=QLIQQQRAML&amp;Dta=/var/www/html/dta/yong/23617.10146.2.dta&amp;Global_Mod=CS57.0215", "10146")</f>
        <v>10146</v>
      </c>
      <c r="N238" s="10">
        <v>49.37</v>
      </c>
      <c r="O238" s="10">
        <v>49.26</v>
      </c>
      <c r="P238" s="10">
        <v>2.6989999999999998</v>
      </c>
      <c r="Q238" s="10">
        <v>2.5369999999999999</v>
      </c>
      <c r="R238" s="10">
        <v>0.36990000000000001</v>
      </c>
      <c r="S238" s="10">
        <v>0.20910000000000001</v>
      </c>
      <c r="T238" s="10">
        <v>0.1789</v>
      </c>
      <c r="U238" s="10">
        <v>0.17649999999999999</v>
      </c>
      <c r="V238" s="7">
        <v>1</v>
      </c>
      <c r="W238" s="7">
        <v>1</v>
      </c>
      <c r="X238" s="10">
        <v>1.67</v>
      </c>
      <c r="Y238" s="10">
        <v>1.57</v>
      </c>
      <c r="Z238" s="11">
        <v>1000</v>
      </c>
      <c r="AA238" s="11">
        <v>1000</v>
      </c>
      <c r="AB238" s="7" t="s">
        <v>13</v>
      </c>
    </row>
    <row r="239" spans="1:28">
      <c r="A239" s="9" t="s">
        <v>193</v>
      </c>
      <c r="B239" s="9" t="s">
        <v>1572</v>
      </c>
      <c r="C239" s="9" t="s">
        <v>1573</v>
      </c>
      <c r="D239" s="7">
        <v>1131</v>
      </c>
      <c r="E239" s="9" t="s">
        <v>289</v>
      </c>
      <c r="F239" s="7" t="s">
        <v>1354</v>
      </c>
      <c r="G239" s="7">
        <v>156.69999999999999</v>
      </c>
      <c r="H239" s="9" t="s">
        <v>290</v>
      </c>
      <c r="I239" s="9" t="s">
        <v>291</v>
      </c>
      <c r="J239" s="7">
        <v>2</v>
      </c>
      <c r="K239" s="7">
        <v>580.31619999999998</v>
      </c>
      <c r="L239" s="7" t="str">
        <f>HYPERLINK("http://ms.phosphosite.org:5080/cgi-bin/plot-msms.cgi?MassType=1&amp;NumAxis=1&amp;Mod7=184&amp;Mod9=147&amp;Pep=QLIQQQRAM&amp;Dta=/var/www/html/dta/yong/23616.4366.2.dta&amp;Global_Mod=CS57.0215", "4366")</f>
        <v>4366</v>
      </c>
      <c r="M239" s="7" t="str">
        <f>HYPERLINK("http://ms.phosphosite.org:5080/cgi-bin/plot-msms.cgi?MassType=1&amp;NumAxis=1&amp;Mod7=184&amp;Mod9=147&amp;Pep=QLIQQQRAM&amp;Dta=/var/www/html/dta/yong/23617.4444.2.dta&amp;Global_Mod=CS57.0215", "4444")</f>
        <v>4444</v>
      </c>
      <c r="N239" s="10">
        <v>25.58</v>
      </c>
      <c r="O239" s="10">
        <v>25.56</v>
      </c>
      <c r="P239" s="10">
        <v>2.5099999999999998</v>
      </c>
      <c r="Q239" s="10">
        <v>2.5219999999999998</v>
      </c>
      <c r="R239" s="10">
        <v>0.99009999999999998</v>
      </c>
      <c r="S239" s="10">
        <v>0.70489999999999997</v>
      </c>
      <c r="T239" s="10">
        <v>0.25569999999999998</v>
      </c>
      <c r="U239" s="10">
        <v>0.2838</v>
      </c>
      <c r="V239" s="7">
        <v>1</v>
      </c>
      <c r="W239" s="7">
        <v>1</v>
      </c>
      <c r="X239" s="10">
        <v>2.0299999999999998</v>
      </c>
      <c r="Y239" s="10">
        <v>2.17</v>
      </c>
      <c r="Z239" s="11">
        <v>1000</v>
      </c>
      <c r="AA239" s="11">
        <v>1000</v>
      </c>
      <c r="AB239" s="7" t="s">
        <v>13</v>
      </c>
    </row>
    <row r="240" spans="1:28">
      <c r="A240" s="9" t="s">
        <v>193</v>
      </c>
      <c r="B240" s="9" t="s">
        <v>1572</v>
      </c>
      <c r="C240" s="9" t="s">
        <v>1573</v>
      </c>
      <c r="D240" s="7">
        <v>1131</v>
      </c>
      <c r="E240" s="9" t="s">
        <v>289</v>
      </c>
      <c r="F240" s="7" t="s">
        <v>1354</v>
      </c>
      <c r="G240" s="7">
        <v>156.69999999999999</v>
      </c>
      <c r="H240" s="9" t="s">
        <v>290</v>
      </c>
      <c r="I240" s="9" t="s">
        <v>292</v>
      </c>
      <c r="J240" s="7">
        <v>2</v>
      </c>
      <c r="K240" s="7">
        <v>636.85829999999999</v>
      </c>
      <c r="L240" s="7"/>
      <c r="M240" s="7" t="str">
        <f>HYPERLINK("http://ms.phosphosite.org:5080/cgi-bin/plot-msms.cgi?MassType=1&amp;NumAxis=1&amp;Mod7=184&amp;Mod9=147&amp;Pep=QLIQQQRAML&amp;Dta=/var/www/html/dta/yong/23617.10166.2.dta&amp;Global_Mod=CS57.0215", "10166")</f>
        <v>10166</v>
      </c>
      <c r="N240" s="10"/>
      <c r="O240" s="10">
        <v>49.32</v>
      </c>
      <c r="P240" s="10"/>
      <c r="Q240" s="10">
        <v>2.7709999999999999</v>
      </c>
      <c r="R240" s="10"/>
      <c r="S240" s="10">
        <v>0.18110000000000001</v>
      </c>
      <c r="T240" s="10"/>
      <c r="U240" s="10">
        <v>0.1812</v>
      </c>
      <c r="V240" s="7"/>
      <c r="W240" s="7">
        <v>1</v>
      </c>
      <c r="X240" s="10"/>
      <c r="Y240" s="10">
        <v>1.67</v>
      </c>
      <c r="Z240" s="11"/>
      <c r="AA240" s="11">
        <v>1000</v>
      </c>
      <c r="AB240" s="7" t="s">
        <v>13</v>
      </c>
    </row>
    <row r="241" spans="1:28">
      <c r="A241" s="3" t="s">
        <v>193</v>
      </c>
      <c r="B241" s="3" t="s">
        <v>1574</v>
      </c>
      <c r="C241" s="3" t="s">
        <v>1575</v>
      </c>
      <c r="D241" s="4">
        <v>5</v>
      </c>
      <c r="E241" s="3" t="s">
        <v>293</v>
      </c>
      <c r="F241" s="7" t="s">
        <v>1489</v>
      </c>
      <c r="G241" s="4">
        <v>96.6</v>
      </c>
      <c r="H241" s="3" t="s">
        <v>294</v>
      </c>
      <c r="I241" s="3" t="s">
        <v>295</v>
      </c>
      <c r="J241" s="4">
        <v>2</v>
      </c>
      <c r="K241" s="4">
        <v>703.84199999999998</v>
      </c>
      <c r="L241" s="4" t="str">
        <f>HYPERLINK("http://ms.phosphosite.org:5080/cgi-bin/plot-msms.cgi?MassType=1&amp;NumAxis=1&amp;Mod5=184&amp;Mod14=147&amp;Pep=MLSGRDLGAPAGSM&amp;Dta=/var/www/html/dta/yong/23616.9688.2.dta&amp;Global_Mod=CS57.0215", "9688")</f>
        <v>9688</v>
      </c>
      <c r="M241" s="4"/>
      <c r="N241" s="5">
        <v>47.8</v>
      </c>
      <c r="O241" s="5"/>
      <c r="P241" s="5">
        <v>2.2930000000000001</v>
      </c>
      <c r="Q241" s="5"/>
      <c r="R241" s="5">
        <v>9.8688000000000002</v>
      </c>
      <c r="S241" s="5"/>
      <c r="T241" s="5">
        <v>0.28470000000000001</v>
      </c>
      <c r="U241" s="5"/>
      <c r="V241" s="4">
        <v>1</v>
      </c>
      <c r="W241" s="4"/>
      <c r="X241" s="5">
        <v>1.54</v>
      </c>
      <c r="Y241" s="5"/>
      <c r="Z241" s="6">
        <v>1000</v>
      </c>
      <c r="AA241" s="6"/>
      <c r="AB241" s="4" t="s">
        <v>13</v>
      </c>
    </row>
    <row r="242" spans="1:28">
      <c r="A242" s="3" t="s">
        <v>193</v>
      </c>
      <c r="B242" s="3" t="s">
        <v>1576</v>
      </c>
      <c r="C242" s="3" t="s">
        <v>1577</v>
      </c>
      <c r="D242" s="4">
        <v>390</v>
      </c>
      <c r="E242" s="3" t="s">
        <v>296</v>
      </c>
      <c r="F242" s="7" t="s">
        <v>1490</v>
      </c>
      <c r="G242" s="4">
        <v>48.8</v>
      </c>
      <c r="H242" s="3" t="s">
        <v>297</v>
      </c>
      <c r="I242" s="3" t="s">
        <v>298</v>
      </c>
      <c r="J242" s="4">
        <v>3</v>
      </c>
      <c r="K242" s="4">
        <v>552.62199999999996</v>
      </c>
      <c r="L242" s="4"/>
      <c r="M242" s="4" t="str">
        <f>HYPERLINK("http://ms.phosphosite.org:5080/cgi-bin/plot-msms.cgi?MassType=1&amp;NumAxis=1&amp;Mod2=184&amp;Pep=IRYHHHHGQDSLK&amp;Dta=/var/www/html/dta/yong/23617.1026.3.dta&amp;Global_Mod=CS57.0215", "1026")</f>
        <v>1026</v>
      </c>
      <c r="N242" s="5"/>
      <c r="O242" s="5">
        <v>11.11</v>
      </c>
      <c r="P242" s="5"/>
      <c r="Q242" s="5">
        <v>2.7330000000000001</v>
      </c>
      <c r="R242" s="5"/>
      <c r="S242" s="5">
        <v>0.72870000000000001</v>
      </c>
      <c r="T242" s="5"/>
      <c r="U242" s="5">
        <v>0.1244</v>
      </c>
      <c r="V242" s="4"/>
      <c r="W242" s="4">
        <v>1</v>
      </c>
      <c r="X242" s="5"/>
      <c r="Y242" s="5">
        <v>1.27</v>
      </c>
      <c r="Z242" s="6"/>
      <c r="AA242" s="6">
        <v>1000</v>
      </c>
      <c r="AB242" s="4" t="s">
        <v>13</v>
      </c>
    </row>
    <row r="243" spans="1:28">
      <c r="A243" s="3" t="s">
        <v>193</v>
      </c>
      <c r="B243" s="3" t="s">
        <v>1576</v>
      </c>
      <c r="C243" s="3" t="s">
        <v>1577</v>
      </c>
      <c r="D243" s="4">
        <v>390</v>
      </c>
      <c r="E243" s="3" t="s">
        <v>296</v>
      </c>
      <c r="F243" s="7" t="s">
        <v>1490</v>
      </c>
      <c r="G243" s="4">
        <v>48.8</v>
      </c>
      <c r="H243" s="3" t="s">
        <v>297</v>
      </c>
      <c r="I243" s="3" t="s">
        <v>298</v>
      </c>
      <c r="J243" s="4">
        <v>3</v>
      </c>
      <c r="K243" s="4">
        <v>552.62199999999996</v>
      </c>
      <c r="L243" s="4"/>
      <c r="M243" s="4" t="str">
        <f>HYPERLINK("http://ms.phosphosite.org:5080/cgi-bin/plot-msms.cgi?MassType=1&amp;NumAxis=1&amp;Mod2=184&amp;Pep=IRYHHHHGQDSLK&amp;Dta=/var/www/html/dta/yong/23617.1030.3.dta&amp;Global_Mod=CS57.0215", "1030")</f>
        <v>1030</v>
      </c>
      <c r="N243" s="5"/>
      <c r="O243" s="5">
        <v>11.14</v>
      </c>
      <c r="P243" s="5"/>
      <c r="Q243" s="5">
        <v>3.5329999999999999</v>
      </c>
      <c r="R243" s="5"/>
      <c r="S243" s="5">
        <v>0.72870000000000001</v>
      </c>
      <c r="T243" s="5"/>
      <c r="U243" s="5">
        <v>0.29899999999999999</v>
      </c>
      <c r="V243" s="4"/>
      <c r="W243" s="4">
        <v>1</v>
      </c>
      <c r="X243" s="5"/>
      <c r="Y243" s="5">
        <v>2.5</v>
      </c>
      <c r="Z243" s="6"/>
      <c r="AA243" s="6">
        <v>1000</v>
      </c>
      <c r="AB243" s="4" t="s">
        <v>13</v>
      </c>
    </row>
    <row r="244" spans="1:28">
      <c r="A244" s="13" t="s">
        <v>193</v>
      </c>
      <c r="B244" s="13" t="s">
        <v>1578</v>
      </c>
      <c r="C244" s="13" t="s">
        <v>1579</v>
      </c>
      <c r="D244" s="15" t="s">
        <v>1777</v>
      </c>
      <c r="E244" s="13" t="s">
        <v>299</v>
      </c>
      <c r="F244" s="15" t="s">
        <v>1355</v>
      </c>
      <c r="G244" s="15">
        <v>192.8</v>
      </c>
      <c r="H244" s="13" t="s">
        <v>300</v>
      </c>
      <c r="I244" s="13" t="s">
        <v>301</v>
      </c>
      <c r="J244" s="15">
        <v>3</v>
      </c>
      <c r="K244" s="15">
        <v>395.55470000000003</v>
      </c>
      <c r="L244" s="15" t="str">
        <f>HYPERLINK("http://ms.phosphosite.org:5080/cgi-bin/plot-msms.cgi?MassType=1&amp;NumAxis=1&amp;Mod3=184&amp;Mod9=170&amp;Mod10=184&amp;Pep=EAREPGSGRR&amp;Dta=/var/www/html/dta/yong/23616.2366.3.dta&amp;Global_Mod=CS57.0215", "2366")</f>
        <v>2366</v>
      </c>
      <c r="M244" s="15"/>
      <c r="N244" s="16">
        <v>16.97</v>
      </c>
      <c r="O244" s="16"/>
      <c r="P244" s="16">
        <v>2.6819999999999999</v>
      </c>
      <c r="Q244" s="16"/>
      <c r="R244" s="16">
        <v>8.3799999999999999E-2</v>
      </c>
      <c r="S244" s="16"/>
      <c r="T244" s="16">
        <v>0.21829999999999999</v>
      </c>
      <c r="U244" s="16"/>
      <c r="V244" s="15">
        <v>1</v>
      </c>
      <c r="W244" s="15"/>
      <c r="X244" s="16">
        <v>1.61</v>
      </c>
      <c r="Y244" s="16"/>
      <c r="Z244" s="17" t="s">
        <v>1307</v>
      </c>
      <c r="AA244" s="17"/>
      <c r="AB244" s="15" t="s">
        <v>13</v>
      </c>
    </row>
    <row r="245" spans="1:28">
      <c r="A245" s="9" t="s">
        <v>193</v>
      </c>
      <c r="B245" s="9" t="s">
        <v>1580</v>
      </c>
      <c r="C245" s="9" t="s">
        <v>1580</v>
      </c>
      <c r="D245" s="7">
        <v>283</v>
      </c>
      <c r="E245" s="9" t="s">
        <v>302</v>
      </c>
      <c r="F245" s="7" t="s">
        <v>1356</v>
      </c>
      <c r="G245" s="7">
        <v>82.5</v>
      </c>
      <c r="H245" s="9" t="s">
        <v>303</v>
      </c>
      <c r="I245" s="9" t="s">
        <v>304</v>
      </c>
      <c r="J245" s="7">
        <v>3</v>
      </c>
      <c r="K245" s="7">
        <v>704.35080000000005</v>
      </c>
      <c r="L245" s="7" t="str">
        <f>HYPERLINK("http://ms.phosphosite.org:5080/cgi-bin/plot-msms.cgi?MassType=1&amp;NumAxis=1&amp;Mod17=184&amp;Pep=TNEQSPHSQIHHSTPIRN&amp;Dta=/var/www/html/dta/yong/23616.2188.3.dta&amp;Global_Mod=CS57.0215", "2188")</f>
        <v>2188</v>
      </c>
      <c r="M245" s="7"/>
      <c r="N245" s="10">
        <v>16.170000000000002</v>
      </c>
      <c r="O245" s="10"/>
      <c r="P245" s="10">
        <v>3.5449999999999999</v>
      </c>
      <c r="Q245" s="10"/>
      <c r="R245" s="10">
        <v>2.3513000000000002</v>
      </c>
      <c r="S245" s="10"/>
      <c r="T245" s="10">
        <v>0.255</v>
      </c>
      <c r="U245" s="10"/>
      <c r="V245" s="7">
        <v>1</v>
      </c>
      <c r="W245" s="7"/>
      <c r="X245" s="10">
        <v>2.34</v>
      </c>
      <c r="Y245" s="10"/>
      <c r="Z245" s="11">
        <v>1000</v>
      </c>
      <c r="AA245" s="11"/>
      <c r="AB245" s="7" t="s">
        <v>13</v>
      </c>
    </row>
    <row r="246" spans="1:28">
      <c r="A246" s="3" t="s">
        <v>193</v>
      </c>
      <c r="B246" s="9" t="s">
        <v>1580</v>
      </c>
      <c r="C246" s="9" t="s">
        <v>1580</v>
      </c>
      <c r="D246" s="4">
        <v>308</v>
      </c>
      <c r="E246" s="3" t="s">
        <v>302</v>
      </c>
      <c r="F246" s="7" t="s">
        <v>1356</v>
      </c>
      <c r="G246" s="4">
        <v>82.5</v>
      </c>
      <c r="H246" s="3" t="s">
        <v>305</v>
      </c>
      <c r="I246" s="3" t="s">
        <v>307</v>
      </c>
      <c r="J246" s="4">
        <v>3</v>
      </c>
      <c r="K246" s="4">
        <v>778.44600000000003</v>
      </c>
      <c r="L246" s="4" t="str">
        <f>HYPERLINK("http://ms.phosphosite.org:5080/cgi-bin/plot-msms.cgi?MassType=1&amp;NumAxis=1&amp;Mod3=184&amp;Mod8=147&amp;Pep=LVRQQIAMAHLINQQIAVSR&amp;Dta=/var/www/html/dta/yong/23616.12202.3.dta&amp;Global_Mod=CS57.0215", "12202")</f>
        <v>12202</v>
      </c>
      <c r="M246" s="4"/>
      <c r="N246" s="5">
        <v>58.54</v>
      </c>
      <c r="O246" s="5"/>
      <c r="P246" s="5">
        <v>3.66</v>
      </c>
      <c r="Q246" s="5"/>
      <c r="R246" s="5">
        <v>1.6169</v>
      </c>
      <c r="S246" s="5"/>
      <c r="T246" s="5">
        <v>0.2344</v>
      </c>
      <c r="U246" s="5"/>
      <c r="V246" s="4">
        <v>1</v>
      </c>
      <c r="W246" s="4"/>
      <c r="X246" s="5">
        <v>2.2799999999999998</v>
      </c>
      <c r="Y246" s="5"/>
      <c r="Z246" s="6">
        <v>1000</v>
      </c>
      <c r="AA246" s="6"/>
      <c r="AB246" s="4" t="s">
        <v>13</v>
      </c>
    </row>
    <row r="247" spans="1:28">
      <c r="A247" s="3" t="s">
        <v>193</v>
      </c>
      <c r="B247" s="9" t="s">
        <v>1580</v>
      </c>
      <c r="C247" s="9" t="s">
        <v>1580</v>
      </c>
      <c r="D247" s="4">
        <v>308</v>
      </c>
      <c r="E247" s="3" t="s">
        <v>302</v>
      </c>
      <c r="F247" s="7" t="s">
        <v>1356</v>
      </c>
      <c r="G247" s="4">
        <v>82.5</v>
      </c>
      <c r="H247" s="3" t="s">
        <v>305</v>
      </c>
      <c r="I247" s="3" t="s">
        <v>307</v>
      </c>
      <c r="J247" s="4">
        <v>3</v>
      </c>
      <c r="K247" s="4">
        <v>778.44600000000003</v>
      </c>
      <c r="L247" s="4" t="str">
        <f>HYPERLINK("http://ms.phosphosite.org:5080/cgi-bin/plot-msms.cgi?MassType=1&amp;NumAxis=1&amp;Mod3=184&amp;Mod8=147&amp;Pep=LVRQQIAMAHLINQQIAVSR&amp;Dta=/var/www/html/dta/yong/23616.12224.3.dta&amp;Global_Mod=CS57.0215", "12224")</f>
        <v>12224</v>
      </c>
      <c r="M247" s="4"/>
      <c r="N247" s="5">
        <v>58.64</v>
      </c>
      <c r="O247" s="5"/>
      <c r="P247" s="5">
        <v>3.1930000000000001</v>
      </c>
      <c r="Q247" s="5"/>
      <c r="R247" s="5">
        <v>1.6169</v>
      </c>
      <c r="S247" s="5"/>
      <c r="T247" s="5">
        <v>0.2384</v>
      </c>
      <c r="U247" s="5"/>
      <c r="V247" s="4">
        <v>1</v>
      </c>
      <c r="W247" s="4"/>
      <c r="X247" s="5">
        <v>2.16</v>
      </c>
      <c r="Y247" s="5"/>
      <c r="Z247" s="6">
        <v>1000</v>
      </c>
      <c r="AA247" s="6"/>
      <c r="AB247" s="4" t="s">
        <v>13</v>
      </c>
    </row>
    <row r="248" spans="1:28">
      <c r="A248" s="3" t="s">
        <v>193</v>
      </c>
      <c r="B248" s="9" t="s">
        <v>1580</v>
      </c>
      <c r="C248" s="9" t="s">
        <v>1580</v>
      </c>
      <c r="D248" s="4">
        <v>308</v>
      </c>
      <c r="E248" s="3" t="s">
        <v>302</v>
      </c>
      <c r="F248" s="7" t="s">
        <v>1356</v>
      </c>
      <c r="G248" s="4">
        <v>82.5</v>
      </c>
      <c r="H248" s="3" t="s">
        <v>305</v>
      </c>
      <c r="I248" s="3" t="s">
        <v>312</v>
      </c>
      <c r="J248" s="4">
        <v>3</v>
      </c>
      <c r="K248" s="4">
        <v>702.39689999999996</v>
      </c>
      <c r="L248" s="4" t="str">
        <f>HYPERLINK("http://ms.phosphosite.org:5080/cgi-bin/plot-msms.cgi?MassType=1&amp;NumAxis=1&amp;Mod1=184&amp;Pep=RQQIAMAHLINQQIAVSR&amp;Dta=/var/www/html/dta/yong/23616.13953.3.dta&amp;Global_Mod=CS57.0215", "13953")</f>
        <v>13953</v>
      </c>
      <c r="M248" s="4"/>
      <c r="N248" s="5">
        <v>66.17</v>
      </c>
      <c r="O248" s="5"/>
      <c r="P248" s="5">
        <v>3.1280000000000001</v>
      </c>
      <c r="Q248" s="5"/>
      <c r="R248" s="5">
        <v>0.61419999999999997</v>
      </c>
      <c r="S248" s="5"/>
      <c r="T248" s="5">
        <v>0.1706</v>
      </c>
      <c r="U248" s="5"/>
      <c r="V248" s="4">
        <v>8</v>
      </c>
      <c r="W248" s="4"/>
      <c r="X248" s="5">
        <v>1.83</v>
      </c>
      <c r="Y248" s="5"/>
      <c r="Z248" s="6">
        <v>1000</v>
      </c>
      <c r="AA248" s="6"/>
      <c r="AB248" s="4" t="s">
        <v>13</v>
      </c>
    </row>
    <row r="249" spans="1:28">
      <c r="A249" s="3" t="s">
        <v>193</v>
      </c>
      <c r="B249" s="9" t="s">
        <v>1580</v>
      </c>
      <c r="C249" s="9" t="s">
        <v>1580</v>
      </c>
      <c r="D249" s="4">
        <v>308</v>
      </c>
      <c r="E249" s="3" t="s">
        <v>302</v>
      </c>
      <c r="F249" s="7" t="s">
        <v>1356</v>
      </c>
      <c r="G249" s="4">
        <v>82.5</v>
      </c>
      <c r="H249" s="3" t="s">
        <v>305</v>
      </c>
      <c r="I249" s="3" t="s">
        <v>306</v>
      </c>
      <c r="J249" s="4">
        <v>4</v>
      </c>
      <c r="K249" s="4">
        <v>690.39319999999998</v>
      </c>
      <c r="L249" s="4" t="str">
        <f>HYPERLINK("http://ms.phosphosite.org:5080/cgi-bin/plot-msms.cgi?MassType=1&amp;NumAxis=1&amp;Mod7=184&amp;Mod12=147&amp;Pep=LSPQLVRQQIAMAHLINQQIAVSR&amp;Dta=/var/www/html/dta/yong/23616.18415.4.dta&amp;Global_Mod=CS57.0215", "18415")</f>
        <v>18415</v>
      </c>
      <c r="M249" s="4"/>
      <c r="N249" s="5">
        <v>85.11</v>
      </c>
      <c r="O249" s="5"/>
      <c r="P249" s="5">
        <v>2.4750000000000001</v>
      </c>
      <c r="Q249" s="5"/>
      <c r="R249" s="5">
        <v>1.1982999999999999</v>
      </c>
      <c r="S249" s="5"/>
      <c r="T249" s="5">
        <v>0.1913</v>
      </c>
      <c r="U249" s="5"/>
      <c r="V249" s="4">
        <v>1</v>
      </c>
      <c r="W249" s="4"/>
      <c r="X249" s="5">
        <v>1.69</v>
      </c>
      <c r="Y249" s="5"/>
      <c r="Z249" s="6">
        <v>1000</v>
      </c>
      <c r="AA249" s="6"/>
      <c r="AB249" s="4" t="s">
        <v>13</v>
      </c>
    </row>
    <row r="250" spans="1:28">
      <c r="A250" s="3" t="s">
        <v>193</v>
      </c>
      <c r="B250" s="9" t="s">
        <v>1580</v>
      </c>
      <c r="C250" s="9" t="s">
        <v>1580</v>
      </c>
      <c r="D250" s="4">
        <v>308</v>
      </c>
      <c r="E250" s="3" t="s">
        <v>302</v>
      </c>
      <c r="F250" s="7" t="s">
        <v>1356</v>
      </c>
      <c r="G250" s="4">
        <v>82.5</v>
      </c>
      <c r="H250" s="3" t="s">
        <v>305</v>
      </c>
      <c r="I250" s="3" t="s">
        <v>308</v>
      </c>
      <c r="J250" s="4">
        <v>3</v>
      </c>
      <c r="K250" s="4">
        <v>1229.0062</v>
      </c>
      <c r="L250" s="4" t="str">
        <f>HYPERLINK("http://ms.phosphosite.org:5080/cgi-bin/plot-msms.cgi?MassType=1&amp;NumAxis=1&amp;Mod1=147&amp;Mod16=184&amp;Mod21=147&amp;Pep=MSPGLLSPQLSPQLVRQQIAMAHLINQQIAVSR&amp;Dta=/var/www/html/dta/yong/23616.24091.3.dta&amp;Global_Mod=CS57.0215", "24091")</f>
        <v>24091</v>
      </c>
      <c r="M250" s="4" t="str">
        <f>HYPERLINK("http://ms.phosphosite.org:5080/cgi-bin/plot-msms.cgi?MassType=1&amp;NumAxis=1&amp;Mod1=147&amp;Mod16=184&amp;Mod21=147&amp;Pep=MSPGLLSPQLSPQLVRQQIAMAHLINQQIAVSR&amp;Dta=/var/www/html/dta/yong/23617.24235.3.dta&amp;Global_Mod=CS57.0215", "24235")</f>
        <v>24235</v>
      </c>
      <c r="N250" s="5">
        <v>108.53</v>
      </c>
      <c r="O250" s="5">
        <v>108.54</v>
      </c>
      <c r="P250" s="5">
        <v>3.2959999999999998</v>
      </c>
      <c r="Q250" s="5">
        <v>3.49</v>
      </c>
      <c r="R250" s="5">
        <v>0.3856</v>
      </c>
      <c r="S250" s="5">
        <v>1.5542</v>
      </c>
      <c r="T250" s="5">
        <v>0.27560000000000001</v>
      </c>
      <c r="U250" s="5">
        <v>0.32429999999999998</v>
      </c>
      <c r="V250" s="4">
        <v>1</v>
      </c>
      <c r="W250" s="4">
        <v>1</v>
      </c>
      <c r="X250" s="5">
        <v>2.33</v>
      </c>
      <c r="Y250" s="5">
        <v>2.58</v>
      </c>
      <c r="Z250" s="6">
        <v>1000</v>
      </c>
      <c r="AA250" s="6">
        <v>1000</v>
      </c>
      <c r="AB250" s="4" t="s">
        <v>13</v>
      </c>
    </row>
    <row r="251" spans="1:28">
      <c r="A251" s="3" t="s">
        <v>193</v>
      </c>
      <c r="B251" s="9" t="s">
        <v>1580</v>
      </c>
      <c r="C251" s="9" t="s">
        <v>1580</v>
      </c>
      <c r="D251" s="4">
        <v>308</v>
      </c>
      <c r="E251" s="3" t="s">
        <v>302</v>
      </c>
      <c r="F251" s="7" t="s">
        <v>1356</v>
      </c>
      <c r="G251" s="4">
        <v>82.5</v>
      </c>
      <c r="H251" s="3" t="s">
        <v>305</v>
      </c>
      <c r="I251" s="3" t="s">
        <v>308</v>
      </c>
      <c r="J251" s="4">
        <v>5</v>
      </c>
      <c r="K251" s="4">
        <v>737.8066</v>
      </c>
      <c r="L251" s="4" t="str">
        <f>HYPERLINK("http://ms.phosphosite.org:5080/cgi-bin/plot-msms.cgi?MassType=1&amp;NumAxis=1&amp;Mod1=147&amp;Mod16=184&amp;Mod21=147&amp;Pep=MSPGLLSPQLSPQLVRQQIAMAHLINQQIAVSR&amp;Dta=/var/www/html/dta/yong/23616.24118.5.dta&amp;Global_Mod=CS57.0215", "24118")</f>
        <v>24118</v>
      </c>
      <c r="M251" s="4"/>
      <c r="N251" s="5">
        <v>108.63</v>
      </c>
      <c r="O251" s="5"/>
      <c r="P251" s="5">
        <v>3.2629999999999999</v>
      </c>
      <c r="Q251" s="5"/>
      <c r="R251" s="5">
        <v>0.82299999999999995</v>
      </c>
      <c r="S251" s="5"/>
      <c r="T251" s="5">
        <v>0.16569999999999999</v>
      </c>
      <c r="U251" s="5"/>
      <c r="V251" s="4">
        <v>5</v>
      </c>
      <c r="W251" s="4"/>
      <c r="X251" s="5">
        <v>1.72</v>
      </c>
      <c r="Y251" s="5"/>
      <c r="Z251" s="6">
        <v>1000</v>
      </c>
      <c r="AA251" s="6"/>
      <c r="AB251" s="4" t="s">
        <v>13</v>
      </c>
    </row>
    <row r="252" spans="1:28">
      <c r="A252" s="3" t="s">
        <v>193</v>
      </c>
      <c r="B252" s="9" t="s">
        <v>1580</v>
      </c>
      <c r="C252" s="9" t="s">
        <v>1580</v>
      </c>
      <c r="D252" s="4">
        <v>308</v>
      </c>
      <c r="E252" s="3" t="s">
        <v>302</v>
      </c>
      <c r="F252" s="7" t="s">
        <v>1356</v>
      </c>
      <c r="G252" s="4">
        <v>82.5</v>
      </c>
      <c r="H252" s="3" t="s">
        <v>305</v>
      </c>
      <c r="I252" s="3" t="s">
        <v>313</v>
      </c>
      <c r="J252" s="4">
        <v>4</v>
      </c>
      <c r="K252" s="4">
        <v>885.24760000000003</v>
      </c>
      <c r="L252" s="4" t="str">
        <f>HYPERLINK("http://ms.phosphosite.org:5080/cgi-bin/plot-msms.cgi?MassType=1&amp;NumAxis=1&amp;Mod15=184&amp;Mod20=147&amp;Pep=SPGLLSPQLSPQLVRQQIAMAHLINQQIAVSR&amp;Dta=/var/www/html/dta/yong/23616.24156.4.dta&amp;Global_Mod=CS57.0215", "24156")</f>
        <v>24156</v>
      </c>
      <c r="M252" s="4"/>
      <c r="N252" s="5">
        <v>108.78</v>
      </c>
      <c r="O252" s="5"/>
      <c r="P252" s="5">
        <v>3.625</v>
      </c>
      <c r="Q252" s="5"/>
      <c r="R252" s="5">
        <v>1.1807000000000001</v>
      </c>
      <c r="S252" s="5"/>
      <c r="T252" s="5">
        <v>0.21709999999999999</v>
      </c>
      <c r="U252" s="5"/>
      <c r="V252" s="4">
        <v>1</v>
      </c>
      <c r="W252" s="4"/>
      <c r="X252" s="5">
        <v>2.09</v>
      </c>
      <c r="Y252" s="5"/>
      <c r="Z252" s="6">
        <v>1000</v>
      </c>
      <c r="AA252" s="6"/>
      <c r="AB252" s="4" t="s">
        <v>13</v>
      </c>
    </row>
    <row r="253" spans="1:28">
      <c r="A253" s="3" t="s">
        <v>193</v>
      </c>
      <c r="B253" s="9" t="s">
        <v>1580</v>
      </c>
      <c r="C253" s="9" t="s">
        <v>1580</v>
      </c>
      <c r="D253" s="4">
        <v>308</v>
      </c>
      <c r="E253" s="3" t="s">
        <v>302</v>
      </c>
      <c r="F253" s="7" t="s">
        <v>1356</v>
      </c>
      <c r="G253" s="4">
        <v>82.5</v>
      </c>
      <c r="H253" s="3" t="s">
        <v>305</v>
      </c>
      <c r="I253" s="3" t="s">
        <v>313</v>
      </c>
      <c r="J253" s="4">
        <v>4</v>
      </c>
      <c r="K253" s="4">
        <v>885.24760000000003</v>
      </c>
      <c r="L253" s="4" t="str">
        <f>HYPERLINK("http://ms.phosphosite.org:5080/cgi-bin/plot-msms.cgi?MassType=1&amp;NumAxis=1&amp;Mod15=184&amp;Mod20=147&amp;Pep=SPGLLSPQLSPQLVRQQIAMAHLINQQIAVSR&amp;Dta=/var/www/html/dta/yong/23616.24209.4.dta&amp;Global_Mod=CS57.0215", "24209")</f>
        <v>24209</v>
      </c>
      <c r="M253" s="4"/>
      <c r="N253" s="5">
        <v>108.99</v>
      </c>
      <c r="O253" s="5"/>
      <c r="P253" s="5">
        <v>3.778</v>
      </c>
      <c r="Q253" s="5"/>
      <c r="R253" s="5">
        <v>1.0418000000000001</v>
      </c>
      <c r="S253" s="5"/>
      <c r="T253" s="5">
        <v>0.26729999999999998</v>
      </c>
      <c r="U253" s="5"/>
      <c r="V253" s="4">
        <v>7</v>
      </c>
      <c r="W253" s="4"/>
      <c r="X253" s="5">
        <v>2.42</v>
      </c>
      <c r="Y253" s="5"/>
      <c r="Z253" s="6">
        <v>1000</v>
      </c>
      <c r="AA253" s="6"/>
      <c r="AB253" s="4" t="s">
        <v>13</v>
      </c>
    </row>
    <row r="254" spans="1:28">
      <c r="A254" s="3" t="s">
        <v>193</v>
      </c>
      <c r="B254" s="9" t="s">
        <v>1580</v>
      </c>
      <c r="C254" s="9" t="s">
        <v>1580</v>
      </c>
      <c r="D254" s="4">
        <v>308</v>
      </c>
      <c r="E254" s="3" t="s">
        <v>302</v>
      </c>
      <c r="F254" s="7" t="s">
        <v>1356</v>
      </c>
      <c r="G254" s="4">
        <v>82.5</v>
      </c>
      <c r="H254" s="3" t="s">
        <v>305</v>
      </c>
      <c r="I254" s="3" t="s">
        <v>309</v>
      </c>
      <c r="J254" s="4">
        <v>4</v>
      </c>
      <c r="K254" s="4">
        <v>918.0077</v>
      </c>
      <c r="L254" s="4" t="str">
        <f>HYPERLINK("http://ms.phosphosite.org:5080/cgi-bin/plot-msms.cgi?MassType=1&amp;NumAxis=1&amp;Mod1=147&amp;Mod16=184&amp;Pep=MSPGLLSPQLSPQLVRQQIAMAHLINQQIAVSR&amp;Dta=/var/www/html/dta/yong/23616.26865.4.dta&amp;Global_Mod=CS57.0215", "26865")</f>
        <v>26865</v>
      </c>
      <c r="M254" s="4"/>
      <c r="N254" s="5">
        <v>120.07</v>
      </c>
      <c r="O254" s="5"/>
      <c r="P254" s="5">
        <v>2.9620000000000002</v>
      </c>
      <c r="Q254" s="5"/>
      <c r="R254" s="5">
        <v>1.0329999999999999</v>
      </c>
      <c r="S254" s="5"/>
      <c r="T254" s="5">
        <v>0.1053</v>
      </c>
      <c r="U254" s="5"/>
      <c r="V254" s="4">
        <v>23</v>
      </c>
      <c r="W254" s="4"/>
      <c r="X254" s="5">
        <v>1.26</v>
      </c>
      <c r="Y254" s="5"/>
      <c r="Z254" s="6">
        <v>1000</v>
      </c>
      <c r="AA254" s="6"/>
      <c r="AB254" s="4" t="s">
        <v>13</v>
      </c>
    </row>
    <row r="255" spans="1:28">
      <c r="A255" s="3" t="s">
        <v>193</v>
      </c>
      <c r="B255" s="9" t="s">
        <v>1580</v>
      </c>
      <c r="C255" s="9" t="s">
        <v>1580</v>
      </c>
      <c r="D255" s="4">
        <v>308</v>
      </c>
      <c r="E255" s="3" t="s">
        <v>302</v>
      </c>
      <c r="F255" s="7" t="s">
        <v>1356</v>
      </c>
      <c r="G255" s="4">
        <v>82.5</v>
      </c>
      <c r="H255" s="3" t="s">
        <v>305</v>
      </c>
      <c r="I255" s="3" t="s">
        <v>311</v>
      </c>
      <c r="J255" s="4">
        <v>3</v>
      </c>
      <c r="K255" s="4">
        <v>707.72850000000005</v>
      </c>
      <c r="L255" s="4"/>
      <c r="M255" s="4" t="str">
        <f>HYPERLINK("http://ms.phosphosite.org:5080/cgi-bin/plot-msms.cgi?MassType=1&amp;NumAxis=1&amp;Mod1=184&amp;Mod6=147&amp;Pep=RQQIAMAHLINQQIAVSR&amp;Dta=/var/www/html/dta/yong/23617.10131.3.dta&amp;Global_Mod=CS57.0215", "10131")</f>
        <v>10131</v>
      </c>
      <c r="N255" s="5"/>
      <c r="O255" s="5">
        <v>49.2</v>
      </c>
      <c r="P255" s="5"/>
      <c r="Q255" s="5">
        <v>3.2789999999999999</v>
      </c>
      <c r="R255" s="5"/>
      <c r="S255" s="5">
        <v>1.2952999999999999</v>
      </c>
      <c r="T255" s="5"/>
      <c r="U255" s="5">
        <v>0.36659999999999998</v>
      </c>
      <c r="V255" s="4"/>
      <c r="W255" s="4">
        <v>1</v>
      </c>
      <c r="X255" s="5"/>
      <c r="Y255" s="5">
        <v>2.92</v>
      </c>
      <c r="Z255" s="6"/>
      <c r="AA255" s="6">
        <v>1000</v>
      </c>
      <c r="AB255" s="4" t="s">
        <v>13</v>
      </c>
    </row>
    <row r="256" spans="1:28">
      <c r="A256" s="3" t="s">
        <v>193</v>
      </c>
      <c r="B256" s="9" t="s">
        <v>1580</v>
      </c>
      <c r="C256" s="9" t="s">
        <v>1580</v>
      </c>
      <c r="D256" s="4">
        <v>308</v>
      </c>
      <c r="E256" s="3" t="s">
        <v>302</v>
      </c>
      <c r="F256" s="7" t="s">
        <v>1356</v>
      </c>
      <c r="G256" s="4">
        <v>82.5</v>
      </c>
      <c r="H256" s="3" t="s">
        <v>305</v>
      </c>
      <c r="I256" s="3" t="s">
        <v>310</v>
      </c>
      <c r="J256" s="4">
        <v>4</v>
      </c>
      <c r="K256" s="4">
        <v>918.0077</v>
      </c>
      <c r="L256" s="4"/>
      <c r="M256" s="4" t="str">
        <f>HYPERLINK("http://ms.phosphosite.org:5080/cgi-bin/plot-msms.cgi?MassType=1&amp;NumAxis=1&amp;Mod16=184&amp;Mod21=147&amp;Pep=MSPGLLSPQLSPQLVRQQIAMAHLINQQIAVSR&amp;Dta=/var/www/html/dta/yong/23617.24222.4.dta&amp;Global_Mod=CS57.0215", "24222")</f>
        <v>24222</v>
      </c>
      <c r="N256" s="5"/>
      <c r="O256" s="5">
        <v>108.49</v>
      </c>
      <c r="P256" s="5"/>
      <c r="Q256" s="5">
        <v>3.8079999999999998</v>
      </c>
      <c r="R256" s="5"/>
      <c r="S256" s="5">
        <v>-4.6821999999999999</v>
      </c>
      <c r="T256" s="5"/>
      <c r="U256" s="5">
        <v>0.15989999999999999</v>
      </c>
      <c r="V256" s="4"/>
      <c r="W256" s="4">
        <v>3</v>
      </c>
      <c r="X256" s="5"/>
      <c r="Y256" s="5">
        <v>1.58</v>
      </c>
      <c r="Z256" s="6"/>
      <c r="AA256" s="6">
        <v>1000</v>
      </c>
      <c r="AB256" s="4" t="s">
        <v>13</v>
      </c>
    </row>
    <row r="257" spans="1:28">
      <c r="A257" s="3" t="s">
        <v>193</v>
      </c>
      <c r="B257" s="9" t="s">
        <v>1580</v>
      </c>
      <c r="C257" s="9" t="s">
        <v>1580</v>
      </c>
      <c r="D257" s="4">
        <v>308</v>
      </c>
      <c r="E257" s="3" t="s">
        <v>302</v>
      </c>
      <c r="F257" s="7" t="s">
        <v>1356</v>
      </c>
      <c r="G257" s="4">
        <v>82.5</v>
      </c>
      <c r="H257" s="3" t="s">
        <v>305</v>
      </c>
      <c r="I257" s="3" t="s">
        <v>308</v>
      </c>
      <c r="J257" s="4">
        <v>3</v>
      </c>
      <c r="K257" s="4">
        <v>1229.0062</v>
      </c>
      <c r="L257" s="4"/>
      <c r="M257" s="4" t="str">
        <f>HYPERLINK("http://ms.phosphosite.org:5080/cgi-bin/plot-msms.cgi?MassType=1&amp;NumAxis=1&amp;Mod1=147&amp;Mod16=184&amp;Mod21=147&amp;Pep=MSPGLLSPQLSPQLVRQQIAMAHLINQQIAVSR&amp;Dta=/var/www/html/dta/yong/23617.24343.3.dta&amp;Global_Mod=CS57.0215", "24343")</f>
        <v>24343</v>
      </c>
      <c r="N257" s="5"/>
      <c r="O257" s="5">
        <v>108.98</v>
      </c>
      <c r="P257" s="5"/>
      <c r="Q257" s="5">
        <v>2.99</v>
      </c>
      <c r="R257" s="5"/>
      <c r="S257" s="5">
        <v>1.2163999999999999</v>
      </c>
      <c r="T257" s="5"/>
      <c r="U257" s="5">
        <v>0.25090000000000001</v>
      </c>
      <c r="V257" s="4"/>
      <c r="W257" s="4">
        <v>12</v>
      </c>
      <c r="X257" s="5"/>
      <c r="Y257" s="5">
        <v>2.0299999999999998</v>
      </c>
      <c r="Z257" s="6"/>
      <c r="AA257" s="6">
        <v>1000</v>
      </c>
      <c r="AB257" s="4" t="s">
        <v>13</v>
      </c>
    </row>
    <row r="258" spans="1:28">
      <c r="A258" s="3" t="s">
        <v>193</v>
      </c>
      <c r="B258" s="3" t="s">
        <v>314</v>
      </c>
      <c r="C258" s="3" t="s">
        <v>315</v>
      </c>
      <c r="D258" s="4">
        <v>1064</v>
      </c>
      <c r="E258" s="3" t="s">
        <v>316</v>
      </c>
      <c r="F258" s="7" t="s">
        <v>1357</v>
      </c>
      <c r="G258" s="4">
        <v>122.8</v>
      </c>
      <c r="H258" s="3" t="s">
        <v>317</v>
      </c>
      <c r="I258" s="3" t="s">
        <v>320</v>
      </c>
      <c r="J258" s="4">
        <v>3</v>
      </c>
      <c r="K258" s="4">
        <v>1310.674</v>
      </c>
      <c r="L258" s="4" t="str">
        <f>HYPERLINK("http://ms.phosphosite.org:5080/cgi-bin/plot-msms.cgi?MassType=1&amp;NumAxis=1&amp;Mod1=147&amp;Mod21=147&amp;Mod24=147&amp;Mod32=184&amp;Pep=MIPTVAANIHPSGSGPTPPGMPPMPGNILGPRVPLTAPN&amp;Dta=/var/www/html/dta/yong/23616.20007.3.dta&amp;Global_Mod=CS57.0215", "20007")</f>
        <v>20007</v>
      </c>
      <c r="M258" s="4" t="str">
        <f>HYPERLINK("http://ms.phosphosite.org:5080/cgi-bin/plot-msms.cgi?MassType=1&amp;NumAxis=1&amp;Mod1=147&amp;Mod21=147&amp;Mod24=147&amp;Mod32=184&amp;Pep=MIPTVAANIHPSGSGPTPPGMPPMPGNILGPRVPLTAPN&amp;Dta=/var/www/html/dta/yong/23617.20330.3.dta&amp;Global_Mod=CS57.0215", "20330")</f>
        <v>20330</v>
      </c>
      <c r="N258" s="5">
        <v>91.87</v>
      </c>
      <c r="O258" s="5">
        <v>92.54</v>
      </c>
      <c r="P258" s="5">
        <v>4.117</v>
      </c>
      <c r="Q258" s="5">
        <v>3.8929999999999998</v>
      </c>
      <c r="R258" s="5">
        <v>0.86809999999999998</v>
      </c>
      <c r="S258" s="5">
        <v>1.7841</v>
      </c>
      <c r="T258" s="5">
        <v>0.35649999999999998</v>
      </c>
      <c r="U258" s="5">
        <v>0.22320000000000001</v>
      </c>
      <c r="V258" s="4">
        <v>1</v>
      </c>
      <c r="W258" s="4">
        <v>6</v>
      </c>
      <c r="X258" s="5">
        <v>3.02</v>
      </c>
      <c r="Y258" s="5">
        <v>2.1800000000000002</v>
      </c>
      <c r="Z258" s="6">
        <v>1000</v>
      </c>
      <c r="AA258" s="6">
        <v>1000</v>
      </c>
      <c r="AB258" s="4" t="s">
        <v>13</v>
      </c>
    </row>
    <row r="259" spans="1:28">
      <c r="A259" s="3" t="s">
        <v>193</v>
      </c>
      <c r="B259" s="3" t="s">
        <v>314</v>
      </c>
      <c r="C259" s="3" t="s">
        <v>315</v>
      </c>
      <c r="D259" s="4">
        <v>1064</v>
      </c>
      <c r="E259" s="3" t="s">
        <v>316</v>
      </c>
      <c r="F259" s="7" t="s">
        <v>1357</v>
      </c>
      <c r="G259" s="4">
        <v>122.8</v>
      </c>
      <c r="H259" s="3" t="s">
        <v>317</v>
      </c>
      <c r="I259" s="3" t="s">
        <v>320</v>
      </c>
      <c r="J259" s="4">
        <v>3</v>
      </c>
      <c r="K259" s="4">
        <v>1310.674</v>
      </c>
      <c r="L259" s="4" t="str">
        <f>HYPERLINK("http://ms.phosphosite.org:5080/cgi-bin/plot-msms.cgi?MassType=1&amp;NumAxis=1&amp;Mod1=147&amp;Mod21=147&amp;Mod24=147&amp;Mod32=184&amp;Pep=MIPTVAANIHPSGSGPTPPGMPPMPGNILGPRVPLTAPN&amp;Dta=/var/www/html/dta/yong/23616.20044.3.dta&amp;Global_Mod=CS57.0215", "20044")</f>
        <v>20044</v>
      </c>
      <c r="M259" s="4" t="str">
        <f>HYPERLINK("http://ms.phosphosite.org:5080/cgi-bin/plot-msms.cgi?MassType=1&amp;NumAxis=1&amp;Mod1=147&amp;Mod21=147&amp;Mod24=147&amp;Mod32=184&amp;Pep=MIPTVAANIHPSGSGPTPPGMPPMPGNILGPRVPLTAPN&amp;Dta=/var/www/html/dta/yong/23617.20171.3.dta&amp;Global_Mod=CS57.0215", "20171")</f>
        <v>20171</v>
      </c>
      <c r="N259" s="5">
        <v>92.03</v>
      </c>
      <c r="O259" s="5">
        <v>91.87</v>
      </c>
      <c r="P259" s="5">
        <v>3.5070000000000001</v>
      </c>
      <c r="Q259" s="5">
        <v>4.593</v>
      </c>
      <c r="R259" s="5">
        <v>1.0414000000000001</v>
      </c>
      <c r="S259" s="5">
        <v>1.3441000000000001</v>
      </c>
      <c r="T259" s="5">
        <v>0.28070000000000001</v>
      </c>
      <c r="U259" s="5">
        <v>0.36399999999999999</v>
      </c>
      <c r="V259" s="4">
        <v>2</v>
      </c>
      <c r="W259" s="4">
        <v>1</v>
      </c>
      <c r="X259" s="5">
        <v>2.41</v>
      </c>
      <c r="Y259" s="5">
        <v>3.21</v>
      </c>
      <c r="Z259" s="6">
        <v>1000</v>
      </c>
      <c r="AA259" s="6">
        <v>1000</v>
      </c>
      <c r="AB259" s="4" t="s">
        <v>13</v>
      </c>
    </row>
    <row r="260" spans="1:28">
      <c r="A260" s="3" t="s">
        <v>193</v>
      </c>
      <c r="B260" s="3" t="s">
        <v>314</v>
      </c>
      <c r="C260" s="3" t="s">
        <v>315</v>
      </c>
      <c r="D260" s="4">
        <v>1064</v>
      </c>
      <c r="E260" s="3" t="s">
        <v>316</v>
      </c>
      <c r="F260" s="7" t="s">
        <v>1357</v>
      </c>
      <c r="G260" s="4">
        <v>122.8</v>
      </c>
      <c r="H260" s="3" t="s">
        <v>317</v>
      </c>
      <c r="I260" s="3" t="s">
        <v>319</v>
      </c>
      <c r="J260" s="4">
        <v>3</v>
      </c>
      <c r="K260" s="4">
        <v>1216.6297</v>
      </c>
      <c r="L260" s="4" t="str">
        <f>HYPERLINK("http://ms.phosphosite.org:5080/cgi-bin/plot-msms.cgi?MassType=1&amp;NumAxis=1&amp;Mod1=147&amp;Mod21=147&amp;Mod24=147&amp;Mod32=184&amp;Pep=MIPTVAANIHPSGSGPTPPGMPPMPGNILGPRVPLT&amp;Dta=/var/www/html/dta/yong/23616.20153.3.dta&amp;Global_Mod=CS57.0215", "20153")</f>
        <v>20153</v>
      </c>
      <c r="M260" s="4" t="str">
        <f>HYPERLINK("http://ms.phosphosite.org:5080/cgi-bin/plot-msms.cgi?MassType=1&amp;NumAxis=1&amp;Mod1=147&amp;Mod21=147&amp;Mod24=147&amp;Mod32=184&amp;Pep=MIPTVAANIHPSGSGPTPPGMPPMPGNILGPRVPLT&amp;Dta=/var/www/html/dta/yong/23617.20302.3.dta&amp;Global_Mod=CS57.0215", "20302")</f>
        <v>20302</v>
      </c>
      <c r="N260" s="5">
        <v>92.48</v>
      </c>
      <c r="O260" s="5">
        <v>92.42</v>
      </c>
      <c r="P260" s="5">
        <v>4.2089999999999996</v>
      </c>
      <c r="Q260" s="5">
        <v>4.2850000000000001</v>
      </c>
      <c r="R260" s="5">
        <v>1.1471</v>
      </c>
      <c r="S260" s="5">
        <v>1.5001</v>
      </c>
      <c r="T260" s="5">
        <v>0.37780000000000002</v>
      </c>
      <c r="U260" s="5">
        <v>0.38779999999999998</v>
      </c>
      <c r="V260" s="4">
        <v>1</v>
      </c>
      <c r="W260" s="4">
        <v>1</v>
      </c>
      <c r="X260" s="5">
        <v>3.18</v>
      </c>
      <c r="Y260" s="5">
        <v>3.27</v>
      </c>
      <c r="Z260" s="6">
        <v>1000</v>
      </c>
      <c r="AA260" s="6">
        <v>1000</v>
      </c>
      <c r="AB260" s="4" t="s">
        <v>13</v>
      </c>
    </row>
    <row r="261" spans="1:28">
      <c r="A261" s="3" t="s">
        <v>193</v>
      </c>
      <c r="B261" s="3" t="s">
        <v>314</v>
      </c>
      <c r="C261" s="3" t="s">
        <v>315</v>
      </c>
      <c r="D261" s="4">
        <v>1064</v>
      </c>
      <c r="E261" s="3" t="s">
        <v>316</v>
      </c>
      <c r="F261" s="7" t="s">
        <v>1357</v>
      </c>
      <c r="G261" s="4">
        <v>122.8</v>
      </c>
      <c r="H261" s="3" t="s">
        <v>317</v>
      </c>
      <c r="I261" s="3" t="s">
        <v>320</v>
      </c>
      <c r="J261" s="4">
        <v>3</v>
      </c>
      <c r="K261" s="4">
        <v>1310.674</v>
      </c>
      <c r="L261" s="4" t="str">
        <f>HYPERLINK("http://ms.phosphosite.org:5080/cgi-bin/plot-msms.cgi?MassType=1&amp;NumAxis=1&amp;Mod1=147&amp;Mod21=147&amp;Mod24=147&amp;Mod32=184&amp;Pep=MIPTVAANIHPSGSGPTPPGMPPMPGNILGPRVPLTAPN&amp;Dta=/var/www/html/dta/yong/23616.20178.3.dta&amp;Global_Mod=CS57.0215", "20178")</f>
        <v>20178</v>
      </c>
      <c r="M261" s="4" t="str">
        <f>HYPERLINK("http://ms.phosphosite.org:5080/cgi-bin/plot-msms.cgi?MassType=1&amp;NumAxis=1&amp;Mod1=147&amp;Mod21=147&amp;Mod24=147&amp;Mod32=184&amp;Pep=MIPTVAANIHPSGSGPTPPGMPPMPGNILGPRVPLTAPN&amp;Dta=/var/www/html/dta/yong/23617.20234.3.dta&amp;Global_Mod=CS57.0215", "20234")</f>
        <v>20234</v>
      </c>
      <c r="N261" s="5">
        <v>92.58</v>
      </c>
      <c r="O261" s="5">
        <v>92.14</v>
      </c>
      <c r="P261" s="5">
        <v>4.0890000000000004</v>
      </c>
      <c r="Q261" s="5">
        <v>4.6660000000000004</v>
      </c>
      <c r="R261" s="5">
        <v>0.31009999999999999</v>
      </c>
      <c r="S261" s="5">
        <v>1.4032</v>
      </c>
      <c r="T261" s="5">
        <v>0.24229999999999999</v>
      </c>
      <c r="U261" s="5">
        <v>0.38059999999999999</v>
      </c>
      <c r="V261" s="4">
        <v>1</v>
      </c>
      <c r="W261" s="4">
        <v>1</v>
      </c>
      <c r="X261" s="5">
        <v>2.38</v>
      </c>
      <c r="Y261" s="5">
        <v>3.32</v>
      </c>
      <c r="Z261" s="6">
        <v>1000</v>
      </c>
      <c r="AA261" s="6">
        <v>1000</v>
      </c>
      <c r="AB261" s="4" t="s">
        <v>13</v>
      </c>
    </row>
    <row r="262" spans="1:28">
      <c r="A262" s="3" t="s">
        <v>193</v>
      </c>
      <c r="B262" s="3" t="s">
        <v>314</v>
      </c>
      <c r="C262" s="3" t="s">
        <v>315</v>
      </c>
      <c r="D262" s="4">
        <v>1064</v>
      </c>
      <c r="E262" s="3" t="s">
        <v>316</v>
      </c>
      <c r="F262" s="7" t="s">
        <v>1357</v>
      </c>
      <c r="G262" s="4">
        <v>122.8</v>
      </c>
      <c r="H262" s="3" t="s">
        <v>317</v>
      </c>
      <c r="I262" s="3" t="s">
        <v>319</v>
      </c>
      <c r="J262" s="4">
        <v>3</v>
      </c>
      <c r="K262" s="4">
        <v>1216.6297</v>
      </c>
      <c r="L262" s="4" t="str">
        <f>HYPERLINK("http://ms.phosphosite.org:5080/cgi-bin/plot-msms.cgi?MassType=1&amp;NumAxis=1&amp;Mod1=147&amp;Mod21=147&amp;Mod24=147&amp;Mod32=184&amp;Pep=MIPTVAANIHPSGSGPTPPGMPPMPGNILGPRVPLT&amp;Dta=/var/www/html/dta/yong/23616.20257.3.dta&amp;Global_Mod=CS57.0215", "20257")</f>
        <v>20257</v>
      </c>
      <c r="M262" s="4" t="str">
        <f>HYPERLINK("http://ms.phosphosite.org:5080/cgi-bin/plot-msms.cgi?MassType=1&amp;NumAxis=1&amp;Mod1=147&amp;Mod21=147&amp;Mod24=147&amp;Mod32=184&amp;Pep=MIPTVAANIHPSGSGPTPPGMPPMPGNILGPRVPLT&amp;Dta=/var/www/html/dta/yong/23617.20379.3.dta&amp;Global_Mod=CS57.0215", "20379")</f>
        <v>20379</v>
      </c>
      <c r="N262" s="5">
        <v>92.89</v>
      </c>
      <c r="O262" s="5">
        <v>92.73</v>
      </c>
      <c r="P262" s="5">
        <v>4.0010000000000003</v>
      </c>
      <c r="Q262" s="5">
        <v>3.923</v>
      </c>
      <c r="R262" s="5">
        <v>1.0545</v>
      </c>
      <c r="S262" s="5">
        <v>1.6149</v>
      </c>
      <c r="T262" s="5">
        <v>0.32850000000000001</v>
      </c>
      <c r="U262" s="5">
        <v>0.37819999999999998</v>
      </c>
      <c r="V262" s="4">
        <v>13</v>
      </c>
      <c r="W262" s="4">
        <v>1</v>
      </c>
      <c r="X262" s="5">
        <v>2.84</v>
      </c>
      <c r="Y262" s="5">
        <v>3.1</v>
      </c>
      <c r="Z262" s="6">
        <v>1000</v>
      </c>
      <c r="AA262" s="6">
        <v>1000</v>
      </c>
      <c r="AB262" s="4" t="s">
        <v>13</v>
      </c>
    </row>
    <row r="263" spans="1:28">
      <c r="A263" s="3" t="s">
        <v>193</v>
      </c>
      <c r="B263" s="3" t="s">
        <v>314</v>
      </c>
      <c r="C263" s="3" t="s">
        <v>315</v>
      </c>
      <c r="D263" s="4">
        <v>1064</v>
      </c>
      <c r="E263" s="3" t="s">
        <v>316</v>
      </c>
      <c r="F263" s="7" t="s">
        <v>1357</v>
      </c>
      <c r="G263" s="4">
        <v>122.8</v>
      </c>
      <c r="H263" s="3" t="s">
        <v>317</v>
      </c>
      <c r="I263" s="3" t="s">
        <v>319</v>
      </c>
      <c r="J263" s="4">
        <v>3</v>
      </c>
      <c r="K263" s="4">
        <v>1216.6297</v>
      </c>
      <c r="L263" s="4" t="str">
        <f>HYPERLINK("http://ms.phosphosite.org:5080/cgi-bin/plot-msms.cgi?MassType=1&amp;NumAxis=1&amp;Mod1=147&amp;Mod21=147&amp;Mod24=147&amp;Mod32=184&amp;Pep=MIPTVAANIHPSGSGPTPPGMPPMPGNILGPRVPLT&amp;Dta=/var/www/html/dta/yong/23616.20328.3.dta&amp;Global_Mod=CS57.0215", "20328")</f>
        <v>20328</v>
      </c>
      <c r="M263" s="4" t="str">
        <f>HYPERLINK("http://ms.phosphosite.org:5080/cgi-bin/plot-msms.cgi?MassType=1&amp;NumAxis=1&amp;Mod1=147&amp;Mod21=147&amp;Mod24=147&amp;Mod32=184&amp;Pep=MIPTVAANIHPSGSGPTPPGMPPMPGNILGPRVPLT&amp;Dta=/var/www/html/dta/yong/23617.20323.3.dta&amp;Global_Mod=CS57.0215", "20323")</f>
        <v>20323</v>
      </c>
      <c r="N263" s="5">
        <v>93.19</v>
      </c>
      <c r="O263" s="5">
        <v>92.51</v>
      </c>
      <c r="P263" s="5">
        <v>4.2110000000000003</v>
      </c>
      <c r="Q263" s="5">
        <v>4.2149999999999999</v>
      </c>
      <c r="R263" s="5">
        <v>1.7479</v>
      </c>
      <c r="S263" s="5">
        <v>1.6149</v>
      </c>
      <c r="T263" s="5">
        <v>0.32529999999999998</v>
      </c>
      <c r="U263" s="5">
        <v>0.3175</v>
      </c>
      <c r="V263" s="4">
        <v>1</v>
      </c>
      <c r="W263" s="4">
        <v>1</v>
      </c>
      <c r="X263" s="5">
        <v>2.86</v>
      </c>
      <c r="Y263" s="5">
        <v>2.85</v>
      </c>
      <c r="Z263" s="6">
        <v>1000</v>
      </c>
      <c r="AA263" s="6">
        <v>1000</v>
      </c>
      <c r="AB263" s="4" t="s">
        <v>13</v>
      </c>
    </row>
    <row r="264" spans="1:28">
      <c r="A264" s="3" t="s">
        <v>193</v>
      </c>
      <c r="B264" s="3" t="s">
        <v>314</v>
      </c>
      <c r="C264" s="3" t="s">
        <v>315</v>
      </c>
      <c r="D264" s="4">
        <v>1064</v>
      </c>
      <c r="E264" s="3" t="s">
        <v>316</v>
      </c>
      <c r="F264" s="7" t="s">
        <v>1357</v>
      </c>
      <c r="G264" s="4">
        <v>122.8</v>
      </c>
      <c r="H264" s="3" t="s">
        <v>317</v>
      </c>
      <c r="I264" s="3" t="s">
        <v>318</v>
      </c>
      <c r="J264" s="4">
        <v>4</v>
      </c>
      <c r="K264" s="4">
        <v>887.46220000000005</v>
      </c>
      <c r="L264" s="4" t="str">
        <f>HYPERLINK("http://ms.phosphosite.org:5080/cgi-bin/plot-msms.cgi?MassType=1&amp;NumAxis=1&amp;Mod1=147&amp;Mod21=147&amp;Mod24=147&amp;Mod32=184&amp;Pep=MIPTVAANIHPSGSGPTPPGMPPMPGNILGPRVPL&amp;Dta=/var/www/html/dta/yong/23616.21055.4.dta&amp;Global_Mod=CS57.0215", "21055")</f>
        <v>21055</v>
      </c>
      <c r="M264" s="4"/>
      <c r="N264" s="5">
        <v>96.3</v>
      </c>
      <c r="O264" s="5"/>
      <c r="P264" s="5">
        <v>3.6</v>
      </c>
      <c r="Q264" s="5"/>
      <c r="R264" s="5">
        <v>0.72609999999999997</v>
      </c>
      <c r="S264" s="5"/>
      <c r="T264" s="5">
        <v>9.8199999999999996E-2</v>
      </c>
      <c r="U264" s="5"/>
      <c r="V264" s="4">
        <v>14</v>
      </c>
      <c r="W264" s="4"/>
      <c r="X264" s="5">
        <v>1.47</v>
      </c>
      <c r="Y264" s="5"/>
      <c r="Z264" s="6">
        <v>1000</v>
      </c>
      <c r="AA264" s="6"/>
      <c r="AB264" s="4" t="s">
        <v>13</v>
      </c>
    </row>
    <row r="265" spans="1:28">
      <c r="A265" s="3" t="s">
        <v>193</v>
      </c>
      <c r="B265" s="3" t="s">
        <v>314</v>
      </c>
      <c r="C265" s="3" t="s">
        <v>315</v>
      </c>
      <c r="D265" s="4">
        <v>1064</v>
      </c>
      <c r="E265" s="3" t="s">
        <v>316</v>
      </c>
      <c r="F265" s="7" t="s">
        <v>1357</v>
      </c>
      <c r="G265" s="4">
        <v>122.8</v>
      </c>
      <c r="H265" s="3" t="s">
        <v>317</v>
      </c>
      <c r="I265" s="3" t="s">
        <v>318</v>
      </c>
      <c r="J265" s="4">
        <v>4</v>
      </c>
      <c r="K265" s="4">
        <v>887.46220000000005</v>
      </c>
      <c r="L265" s="4" t="str">
        <f>HYPERLINK("http://ms.phosphosite.org:5080/cgi-bin/plot-msms.cgi?MassType=1&amp;NumAxis=1&amp;Mod1=147&amp;Mod21=147&amp;Mod24=147&amp;Mod32=184&amp;Pep=MIPTVAANIHPSGSGPTPPGMPPMPGNILGPRVPL&amp;Dta=/var/www/html/dta/yong/23616.21104.4.dta&amp;Global_Mod=CS57.0215", "21104")</f>
        <v>21104</v>
      </c>
      <c r="M265" s="4"/>
      <c r="N265" s="5">
        <v>96.5</v>
      </c>
      <c r="O265" s="5"/>
      <c r="P265" s="5">
        <v>3.2719999999999998</v>
      </c>
      <c r="Q265" s="5"/>
      <c r="R265" s="5">
        <v>0.84619999999999995</v>
      </c>
      <c r="S265" s="5"/>
      <c r="T265" s="5">
        <v>6.4799999999999996E-2</v>
      </c>
      <c r="U265" s="5"/>
      <c r="V265" s="4">
        <v>62</v>
      </c>
      <c r="W265" s="4"/>
      <c r="X265" s="5">
        <v>1.1599999999999999</v>
      </c>
      <c r="Y265" s="5"/>
      <c r="Z265" s="6">
        <v>1000</v>
      </c>
      <c r="AA265" s="6"/>
      <c r="AB265" s="4" t="s">
        <v>13</v>
      </c>
    </row>
    <row r="266" spans="1:28">
      <c r="A266" s="3" t="s">
        <v>193</v>
      </c>
      <c r="B266" s="3" t="s">
        <v>314</v>
      </c>
      <c r="C266" s="3" t="s">
        <v>315</v>
      </c>
      <c r="D266" s="4">
        <v>1064</v>
      </c>
      <c r="E266" s="3" t="s">
        <v>316</v>
      </c>
      <c r="F266" s="7" t="s">
        <v>1357</v>
      </c>
      <c r="G266" s="4">
        <v>122.8</v>
      </c>
      <c r="H266" s="3" t="s">
        <v>317</v>
      </c>
      <c r="I266" s="3" t="s">
        <v>318</v>
      </c>
      <c r="J266" s="4">
        <v>3</v>
      </c>
      <c r="K266" s="4">
        <v>1182.9472000000001</v>
      </c>
      <c r="L266" s="4" t="str">
        <f>HYPERLINK("http://ms.phosphosite.org:5080/cgi-bin/plot-msms.cgi?MassType=1&amp;NumAxis=1&amp;Mod1=147&amp;Mod21=147&amp;Mod24=147&amp;Mod32=184&amp;Pep=MIPTVAANIHPSGSGPTPPGMPPMPGNILGPRVPL&amp;Dta=/var/www/html/dta/yong/23616.21107.3.dta&amp;Global_Mod=CS57.0215", "21107")</f>
        <v>21107</v>
      </c>
      <c r="M266" s="4" t="str">
        <f>HYPERLINK("http://ms.phosphosite.org:5080/cgi-bin/plot-msms.cgi?MassType=1&amp;NumAxis=1&amp;Mod1=147&amp;Mod21=147&amp;Mod24=147&amp;Mod32=184&amp;Pep=MIPTVAANIHPSGSGPTPPGMPPMPGNILGPRVPL&amp;Dta=/var/www/html/dta/yong/23617.21196.3.dta&amp;Global_Mod=CS57.0215", "21196")</f>
        <v>21196</v>
      </c>
      <c r="N266" s="5">
        <v>96.51</v>
      </c>
      <c r="O266" s="5">
        <v>96.2</v>
      </c>
      <c r="P266" s="5">
        <v>4.6989999999999998</v>
      </c>
      <c r="Q266" s="5">
        <v>4.2050000000000001</v>
      </c>
      <c r="R266" s="5">
        <v>1.5259</v>
      </c>
      <c r="S266" s="5">
        <v>1.4579</v>
      </c>
      <c r="T266" s="5">
        <v>0.4325</v>
      </c>
      <c r="U266" s="5">
        <v>0.37830000000000003</v>
      </c>
      <c r="V266" s="4">
        <v>1</v>
      </c>
      <c r="W266" s="4">
        <v>1</v>
      </c>
      <c r="X266" s="5">
        <v>3.63</v>
      </c>
      <c r="Y266" s="5">
        <v>3.21</v>
      </c>
      <c r="Z266" s="6">
        <v>1000</v>
      </c>
      <c r="AA266" s="6">
        <v>1000</v>
      </c>
      <c r="AB266" s="4" t="s">
        <v>13</v>
      </c>
    </row>
    <row r="267" spans="1:28">
      <c r="A267" s="3" t="s">
        <v>193</v>
      </c>
      <c r="B267" s="3" t="s">
        <v>314</v>
      </c>
      <c r="C267" s="3" t="s">
        <v>315</v>
      </c>
      <c r="D267" s="4">
        <v>1064</v>
      </c>
      <c r="E267" s="3" t="s">
        <v>316</v>
      </c>
      <c r="F267" s="7" t="s">
        <v>1357</v>
      </c>
      <c r="G267" s="4">
        <v>122.8</v>
      </c>
      <c r="H267" s="3" t="s">
        <v>317</v>
      </c>
      <c r="I267" s="3" t="s">
        <v>318</v>
      </c>
      <c r="J267" s="4">
        <v>3</v>
      </c>
      <c r="K267" s="4">
        <v>1182.9472000000001</v>
      </c>
      <c r="L267" s="4" t="str">
        <f>HYPERLINK("http://ms.phosphosite.org:5080/cgi-bin/plot-msms.cgi?MassType=1&amp;NumAxis=1&amp;Mod1=147&amp;Mod21=147&amp;Mod24=147&amp;Mod32=184&amp;Pep=MIPTVAANIHPSGSGPTPPGMPPMPGNILGPRVPL&amp;Dta=/var/www/html/dta/yong/23616.21141.3.dta&amp;Global_Mod=CS57.0215", "21141")</f>
        <v>21141</v>
      </c>
      <c r="M267" s="4"/>
      <c r="N267" s="5">
        <v>96.65</v>
      </c>
      <c r="O267" s="5"/>
      <c r="P267" s="5">
        <v>3.79</v>
      </c>
      <c r="Q267" s="5"/>
      <c r="R267" s="5">
        <v>1.6771</v>
      </c>
      <c r="S267" s="5"/>
      <c r="T267" s="5">
        <v>0.35520000000000002</v>
      </c>
      <c r="U267" s="5"/>
      <c r="V267" s="4">
        <v>1</v>
      </c>
      <c r="W267" s="4"/>
      <c r="X267" s="5">
        <v>2.92</v>
      </c>
      <c r="Y267" s="5"/>
      <c r="Z267" s="6">
        <v>1000</v>
      </c>
      <c r="AA267" s="6"/>
      <c r="AB267" s="4" t="s">
        <v>13</v>
      </c>
    </row>
    <row r="268" spans="1:28">
      <c r="A268" s="3" t="s">
        <v>193</v>
      </c>
      <c r="B268" s="3" t="s">
        <v>314</v>
      </c>
      <c r="C268" s="3" t="s">
        <v>315</v>
      </c>
      <c r="D268" s="4">
        <v>1064</v>
      </c>
      <c r="E268" s="3" t="s">
        <v>316</v>
      </c>
      <c r="F268" s="7" t="s">
        <v>1357</v>
      </c>
      <c r="G268" s="4">
        <v>122.8</v>
      </c>
      <c r="H268" s="3" t="s">
        <v>317</v>
      </c>
      <c r="I268" s="3" t="s">
        <v>319</v>
      </c>
      <c r="J268" s="4">
        <v>4</v>
      </c>
      <c r="K268" s="4">
        <v>912.72410000000002</v>
      </c>
      <c r="L268" s="4"/>
      <c r="M268" s="4" t="str">
        <f>HYPERLINK("http://ms.phosphosite.org:5080/cgi-bin/plot-msms.cgi?MassType=1&amp;NumAxis=1&amp;Mod1=147&amp;Mod21=147&amp;Mod24=147&amp;Mod32=184&amp;Pep=MIPTVAANIHPSGSGPTPPGMPPMPGNILGPRVPLT&amp;Dta=/var/www/html/dta/yong/23617.20464.4.dta&amp;Global_Mod=CS57.0215", "20464")</f>
        <v>20464</v>
      </c>
      <c r="N268" s="5"/>
      <c r="O268" s="5">
        <v>93.09</v>
      </c>
      <c r="P268" s="5"/>
      <c r="Q268" s="5">
        <v>3.8450000000000002</v>
      </c>
      <c r="R268" s="5"/>
      <c r="S268" s="5">
        <v>1.3096000000000001</v>
      </c>
      <c r="T268" s="5"/>
      <c r="U268" s="5">
        <v>0.1555</v>
      </c>
      <c r="V268" s="4"/>
      <c r="W268" s="4">
        <v>56</v>
      </c>
      <c r="X268" s="5"/>
      <c r="Y268" s="5">
        <v>1.82</v>
      </c>
      <c r="Z268" s="6"/>
      <c r="AA268" s="6">
        <v>1000</v>
      </c>
      <c r="AB268" s="4" t="s">
        <v>13</v>
      </c>
    </row>
    <row r="269" spans="1:28">
      <c r="A269" s="3" t="s">
        <v>193</v>
      </c>
      <c r="B269" s="3" t="s">
        <v>1581</v>
      </c>
      <c r="C269" s="3" t="s">
        <v>1582</v>
      </c>
      <c r="D269" s="4" t="s">
        <v>1778</v>
      </c>
      <c r="E269" s="3" t="s">
        <v>321</v>
      </c>
      <c r="F269" s="7" t="s">
        <v>1491</v>
      </c>
      <c r="G269" s="4">
        <v>37.700000000000003</v>
      </c>
      <c r="H269" s="3" t="s">
        <v>322</v>
      </c>
      <c r="I269" s="3" t="s">
        <v>323</v>
      </c>
      <c r="J269" s="4">
        <v>3</v>
      </c>
      <c r="K269" s="4">
        <v>970.85180000000003</v>
      </c>
      <c r="L269" s="4" t="str">
        <f>HYPERLINK("http://ms.phosphosite.org:5080/cgi-bin/plot-msms.cgi?MassType=1&amp;NumAxis=1&amp;Mod6=184&amp;Mod10=184&amp;Mod11=147&amp;Pep=YAGGPRPPIRMGNQPPGGVPGTQPLLPN&amp;Dta=/var/www/html/dta/yong/23616.13998.3.dta&amp;Global_Mod=CS57.0215", "13998")</f>
        <v>13998</v>
      </c>
      <c r="M269" s="4"/>
      <c r="N269" s="5">
        <v>66.37</v>
      </c>
      <c r="O269" s="5"/>
      <c r="P269" s="5">
        <v>2.4449999999999998</v>
      </c>
      <c r="Q269" s="5"/>
      <c r="R269" s="5">
        <v>0.96789999999999998</v>
      </c>
      <c r="S269" s="5"/>
      <c r="T269" s="5">
        <v>0.2072</v>
      </c>
      <c r="U269" s="5"/>
      <c r="V269" s="4">
        <v>5</v>
      </c>
      <c r="W269" s="4"/>
      <c r="X269" s="5">
        <v>1.52</v>
      </c>
      <c r="Y269" s="5"/>
      <c r="Z269" s="6" t="s">
        <v>1306</v>
      </c>
      <c r="AA269" s="6"/>
      <c r="AB269" s="4" t="s">
        <v>13</v>
      </c>
    </row>
    <row r="270" spans="1:28">
      <c r="A270" s="9" t="s">
        <v>193</v>
      </c>
      <c r="B270" s="9" t="s">
        <v>1583</v>
      </c>
      <c r="C270" s="9" t="s">
        <v>1583</v>
      </c>
      <c r="D270" s="7">
        <v>8</v>
      </c>
      <c r="E270" s="9" t="s">
        <v>324</v>
      </c>
      <c r="F270" s="7" t="s">
        <v>1358</v>
      </c>
      <c r="G270" s="7">
        <v>52.8</v>
      </c>
      <c r="H270" s="9" t="s">
        <v>325</v>
      </c>
      <c r="I270" s="9" t="s">
        <v>326</v>
      </c>
      <c r="J270" s="7">
        <v>3</v>
      </c>
      <c r="K270" s="7">
        <v>393.22300000000001</v>
      </c>
      <c r="L270" s="7" t="str">
        <f>HYPERLINK("http://ms.phosphosite.org:5080/cgi-bin/plot-msms.cgi?MassType=1&amp;NumAxis=1&amp;Mod4=184&amp;Mod5=147&amp;Mod8=147&amp;Pep=IGLRMQLMR&amp;Dta=/var/www/html/dta/yong/23616.6870.3.dta&amp;Global_Mod=CS57.0215", "6870")</f>
        <v>6870</v>
      </c>
      <c r="M270" s="7" t="str">
        <f>HYPERLINK("http://ms.phosphosite.org:5080/cgi-bin/plot-msms.cgi?MassType=1&amp;NumAxis=1&amp;Mod4=184&amp;Mod5=147&amp;Mod8=147&amp;Pep=IGLRMQLMR&amp;Dta=/var/www/html/dta/yong/23617.6906.3.dta&amp;Global_Mod=CS57.0215", "6906")</f>
        <v>6906</v>
      </c>
      <c r="N270" s="10">
        <v>35.9</v>
      </c>
      <c r="O270" s="10">
        <v>35.76</v>
      </c>
      <c r="P270" s="10">
        <v>2.2799999999999998</v>
      </c>
      <c r="Q270" s="10">
        <v>1.758</v>
      </c>
      <c r="R270" s="10">
        <v>0.31840000000000002</v>
      </c>
      <c r="S270" s="10">
        <v>0.7631</v>
      </c>
      <c r="T270" s="10">
        <v>0.2074</v>
      </c>
      <c r="U270" s="10">
        <v>0.19059999999999999</v>
      </c>
      <c r="V270" s="7">
        <v>5</v>
      </c>
      <c r="W270" s="7">
        <v>3</v>
      </c>
      <c r="X270" s="10">
        <v>1.68</v>
      </c>
      <c r="Y270" s="10">
        <v>1.44</v>
      </c>
      <c r="Z270" s="11">
        <v>1000</v>
      </c>
      <c r="AA270" s="11">
        <v>1000</v>
      </c>
      <c r="AB270" s="7" t="s">
        <v>13</v>
      </c>
    </row>
    <row r="271" spans="1:28">
      <c r="A271" s="9" t="s">
        <v>193</v>
      </c>
      <c r="B271" s="9" t="s">
        <v>1583</v>
      </c>
      <c r="C271" s="9" t="s">
        <v>1583</v>
      </c>
      <c r="D271" s="7">
        <v>8</v>
      </c>
      <c r="E271" s="9" t="s">
        <v>324</v>
      </c>
      <c r="F271" s="7" t="s">
        <v>1358</v>
      </c>
      <c r="G271" s="7">
        <v>52.8</v>
      </c>
      <c r="H271" s="9" t="s">
        <v>325</v>
      </c>
      <c r="I271" s="9" t="s">
        <v>328</v>
      </c>
      <c r="J271" s="7">
        <v>3</v>
      </c>
      <c r="K271" s="7">
        <v>387.8913</v>
      </c>
      <c r="L271" s="7"/>
      <c r="M271" s="7" t="str">
        <f>HYPERLINK("http://ms.phosphosite.org:5080/cgi-bin/plot-msms.cgi?MassType=1&amp;NumAxis=1&amp;Mod4=184&amp;Mod8=147&amp;Pep=IGLRMQLMR&amp;Dta=/var/www/html/dta/yong/23617.10747.3.dta&amp;Global_Mod=CS57.0215", "10747")</f>
        <v>10747</v>
      </c>
      <c r="N271" s="10"/>
      <c r="O271" s="10">
        <v>51.66</v>
      </c>
      <c r="P271" s="10"/>
      <c r="Q271" s="10">
        <v>2.238</v>
      </c>
      <c r="R271" s="10"/>
      <c r="S271" s="10">
        <v>0.14860000000000001</v>
      </c>
      <c r="T271" s="10"/>
      <c r="U271" s="10">
        <v>0.29370000000000002</v>
      </c>
      <c r="V271" s="7"/>
      <c r="W271" s="7">
        <v>3</v>
      </c>
      <c r="X271" s="10"/>
      <c r="Y271" s="10">
        <v>2.1800000000000002</v>
      </c>
      <c r="Z271" s="11"/>
      <c r="AA271" s="11">
        <v>1000</v>
      </c>
      <c r="AB271" s="7" t="s">
        <v>13</v>
      </c>
    </row>
    <row r="272" spans="1:28">
      <c r="A272" s="9" t="s">
        <v>193</v>
      </c>
      <c r="B272" s="9" t="s">
        <v>1583</v>
      </c>
      <c r="C272" s="9" t="s">
        <v>1583</v>
      </c>
      <c r="D272" s="7">
        <v>8</v>
      </c>
      <c r="E272" s="9" t="s">
        <v>324</v>
      </c>
      <c r="F272" s="7" t="s">
        <v>1358</v>
      </c>
      <c r="G272" s="7">
        <v>52.8</v>
      </c>
      <c r="H272" s="9" t="s">
        <v>325</v>
      </c>
      <c r="I272" s="9" t="s">
        <v>326</v>
      </c>
      <c r="J272" s="7">
        <v>3</v>
      </c>
      <c r="K272" s="7">
        <v>393.22300000000001</v>
      </c>
      <c r="L272" s="7"/>
      <c r="M272" s="7" t="str">
        <f>HYPERLINK("http://ms.phosphosite.org:5080/cgi-bin/plot-msms.cgi?MassType=1&amp;NumAxis=1&amp;Mod4=184&amp;Mod5=147&amp;Mod8=147&amp;Pep=IGLRMQLMR&amp;Dta=/var/www/html/dta/yong/23617.7055.3.dta&amp;Global_Mod=CS57.0215", "7055")</f>
        <v>7055</v>
      </c>
      <c r="N272" s="10"/>
      <c r="O272" s="10">
        <v>36.369999999999997</v>
      </c>
      <c r="P272" s="10"/>
      <c r="Q272" s="10">
        <v>2.391</v>
      </c>
      <c r="R272" s="10"/>
      <c r="S272" s="10">
        <v>0.39250000000000002</v>
      </c>
      <c r="T272" s="10"/>
      <c r="U272" s="10">
        <v>0.222</v>
      </c>
      <c r="V272" s="7"/>
      <c r="W272" s="7">
        <v>109</v>
      </c>
      <c r="X272" s="10"/>
      <c r="Y272" s="10">
        <v>1.77</v>
      </c>
      <c r="Z272" s="11"/>
      <c r="AA272" s="11">
        <v>1000</v>
      </c>
      <c r="AB272" s="7" t="s">
        <v>13</v>
      </c>
    </row>
    <row r="273" spans="1:28">
      <c r="A273" s="9" t="s">
        <v>193</v>
      </c>
      <c r="B273" s="9" t="s">
        <v>1583</v>
      </c>
      <c r="C273" s="9" t="s">
        <v>1583</v>
      </c>
      <c r="D273" s="7">
        <v>8</v>
      </c>
      <c r="E273" s="9" t="s">
        <v>324</v>
      </c>
      <c r="F273" s="7" t="s">
        <v>1358</v>
      </c>
      <c r="G273" s="7">
        <v>52.8</v>
      </c>
      <c r="H273" s="9" t="s">
        <v>325</v>
      </c>
      <c r="I273" s="9" t="s">
        <v>327</v>
      </c>
      <c r="J273" s="7">
        <v>3</v>
      </c>
      <c r="K273" s="7">
        <v>387.8913</v>
      </c>
      <c r="L273" s="7"/>
      <c r="M273" s="7" t="str">
        <f>HYPERLINK("http://ms.phosphosite.org:5080/cgi-bin/plot-msms.cgi?MassType=1&amp;NumAxis=1&amp;Mod4=184&amp;Mod5=147&amp;Pep=IGLRMQLMR&amp;Dta=/var/www/html/dta/yong/23617.9335.3.dta&amp;Global_Mod=CS57.0215", "9335")</f>
        <v>9335</v>
      </c>
      <c r="N273" s="10"/>
      <c r="O273" s="10">
        <v>45.88</v>
      </c>
      <c r="P273" s="10"/>
      <c r="Q273" s="10">
        <v>2.0270000000000001</v>
      </c>
      <c r="R273" s="10"/>
      <c r="S273" s="10">
        <v>0.224</v>
      </c>
      <c r="T273" s="10"/>
      <c r="U273" s="10">
        <v>0.1396</v>
      </c>
      <c r="V273" s="7"/>
      <c r="W273" s="7">
        <v>10</v>
      </c>
      <c r="X273" s="10"/>
      <c r="Y273" s="10">
        <v>1.24</v>
      </c>
      <c r="Z273" s="11"/>
      <c r="AA273" s="11">
        <v>1000</v>
      </c>
      <c r="AB273" s="7" t="s">
        <v>13</v>
      </c>
    </row>
    <row r="274" spans="1:28">
      <c r="A274" s="13" t="s">
        <v>193</v>
      </c>
      <c r="B274" s="13" t="s">
        <v>1584</v>
      </c>
      <c r="C274" s="13" t="s">
        <v>1585</v>
      </c>
      <c r="D274" s="15">
        <v>409</v>
      </c>
      <c r="E274" s="13" t="s">
        <v>329</v>
      </c>
      <c r="F274" s="15" t="s">
        <v>1359</v>
      </c>
      <c r="G274" s="15">
        <v>54.8</v>
      </c>
      <c r="H274" s="13" t="s">
        <v>330</v>
      </c>
      <c r="I274" s="13" t="s">
        <v>331</v>
      </c>
      <c r="J274" s="15">
        <v>4</v>
      </c>
      <c r="K274" s="15">
        <v>1091.4957999999999</v>
      </c>
      <c r="L274" s="15"/>
      <c r="M274" s="15" t="str">
        <f>HYPERLINK("http://ms.phosphosite.org:5080/cgi-bin/plot-msms.cgi?MassType=1&amp;NumAxis=1&amp;Mod11=184&amp;Mod31=147&amp;Mod40=170&amp;Pep=GPGADEPGLSRGKPYACGECGEAFAWLSHLMEHHSSHGGR&amp;Dta=/var/www/html/dta/yong/23617.19314.4.dta&amp;Global_Mod=CS57.0215", "19314")</f>
        <v>19314</v>
      </c>
      <c r="N274" s="16"/>
      <c r="O274" s="16">
        <v>88.3</v>
      </c>
      <c r="P274" s="16"/>
      <c r="Q274" s="16">
        <v>3.5369999999999999</v>
      </c>
      <c r="R274" s="16"/>
      <c r="S274" s="16">
        <v>0.98529999999999995</v>
      </c>
      <c r="T274" s="16"/>
      <c r="U274" s="16">
        <v>0.16200000000000001</v>
      </c>
      <c r="V274" s="15"/>
      <c r="W274" s="15">
        <v>43</v>
      </c>
      <c r="X274" s="16"/>
      <c r="Y274" s="16">
        <v>1.41</v>
      </c>
      <c r="Z274" s="17"/>
      <c r="AA274" s="17" t="s">
        <v>1306</v>
      </c>
      <c r="AB274" s="15" t="s">
        <v>13</v>
      </c>
    </row>
    <row r="275" spans="1:28" s="12" customFormat="1">
      <c r="A275" s="9" t="s">
        <v>332</v>
      </c>
      <c r="B275" s="9" t="s">
        <v>333</v>
      </c>
      <c r="C275" s="9" t="s">
        <v>334</v>
      </c>
      <c r="D275" s="7">
        <v>67</v>
      </c>
      <c r="E275" s="9" t="s">
        <v>335</v>
      </c>
      <c r="F275" s="7" t="s">
        <v>1360</v>
      </c>
      <c r="G275" s="7">
        <v>51.4</v>
      </c>
      <c r="H275" s="9" t="s">
        <v>391</v>
      </c>
      <c r="I275" s="9" t="s">
        <v>392</v>
      </c>
      <c r="J275" s="7">
        <v>4</v>
      </c>
      <c r="K275" s="7">
        <v>1264.8869999999999</v>
      </c>
      <c r="L275" s="7" t="str">
        <f>HYPERLINK("http://ms.phosphosite.org:5080/cgi-bin/plot-msms.cgi?MassType=1&amp;NumAxis=1&amp;Mod28=147&amp;Mod42=184&amp;Pep=LDGSLGPQGGPVLNTGHPLGVNSDPFLMAAGSLGGNLTPFPRNPSPFPASS&amp;Dta=/var/www/html/dta/yong/23616.28735.4.dta&amp;Global_Mod=CS57.0215", "28735")</f>
        <v>28735</v>
      </c>
      <c r="M275" s="7"/>
      <c r="N275" s="10">
        <v>128.78</v>
      </c>
      <c r="O275" s="10"/>
      <c r="P275" s="10">
        <v>3.911</v>
      </c>
      <c r="Q275" s="10"/>
      <c r="R275" s="10">
        <v>2.9643000000000002</v>
      </c>
      <c r="S275" s="10"/>
      <c r="T275" s="10">
        <v>0.1646</v>
      </c>
      <c r="U275" s="10"/>
      <c r="V275" s="7">
        <v>26</v>
      </c>
      <c r="W275" s="7"/>
      <c r="X275" s="10">
        <v>2.4500000000000002</v>
      </c>
      <c r="Y275" s="10"/>
      <c r="Z275" s="11">
        <v>1000</v>
      </c>
      <c r="AA275" s="11"/>
      <c r="AB275" s="7" t="s">
        <v>13</v>
      </c>
    </row>
    <row r="276" spans="1:28" s="12" customFormat="1">
      <c r="A276" s="3" t="s">
        <v>332</v>
      </c>
      <c r="B276" s="3" t="s">
        <v>333</v>
      </c>
      <c r="C276" s="3" t="s">
        <v>334</v>
      </c>
      <c r="D276" s="4">
        <v>146</v>
      </c>
      <c r="E276" s="3" t="s">
        <v>335</v>
      </c>
      <c r="F276" s="7" t="s">
        <v>1360</v>
      </c>
      <c r="G276" s="4">
        <v>51.4</v>
      </c>
      <c r="H276" s="3" t="s">
        <v>340</v>
      </c>
      <c r="I276" s="3" t="s">
        <v>341</v>
      </c>
      <c r="J276" s="4">
        <v>3</v>
      </c>
      <c r="K276" s="4">
        <v>903.48149999999998</v>
      </c>
      <c r="L276" s="4" t="str">
        <f>HYPERLINK("http://ms.phosphosite.org:5080/cgi-bin/plot-msms.cgi?MassType=1&amp;NumAxis=1&amp;Mod14=184&amp;Mod24=147&amp;Pep=TGALPGPGPLSNPRLGGLPGPGPMSNPR&amp;Dta=/var/www/html/dta/yong/23616.16508.3.dta&amp;Global_Mod=CS57.0215", "16508")</f>
        <v>16508</v>
      </c>
      <c r="M276" s="4" t="str">
        <f>HYPERLINK("http://ms.phosphosite.org:5080/cgi-bin/plot-msms.cgi?MassType=1&amp;NumAxis=1&amp;Mod14=184&amp;Mod24=147&amp;Pep=TGALPGPGPLSNPRLGGLPGPGPMSNPR&amp;Dta=/var/www/html/dta/yong/23617.16705.3.dta&amp;Global_Mod=CS57.0215", "16705")</f>
        <v>16705</v>
      </c>
      <c r="N276" s="5">
        <v>77.010000000000005</v>
      </c>
      <c r="O276" s="5">
        <v>77.040000000000006</v>
      </c>
      <c r="P276" s="5">
        <v>2.0579999999999998</v>
      </c>
      <c r="Q276" s="5">
        <v>2.0510000000000002</v>
      </c>
      <c r="R276" s="5">
        <v>2.1049000000000002</v>
      </c>
      <c r="S276" s="5">
        <v>1.3831</v>
      </c>
      <c r="T276" s="5">
        <v>0.1479</v>
      </c>
      <c r="U276" s="5">
        <v>0.123</v>
      </c>
      <c r="V276" s="4">
        <v>380</v>
      </c>
      <c r="W276" s="4">
        <v>38</v>
      </c>
      <c r="X276" s="5">
        <v>1.94</v>
      </c>
      <c r="Y276" s="5">
        <v>2.0499999999999998</v>
      </c>
      <c r="Z276" s="6">
        <v>1000</v>
      </c>
      <c r="AA276" s="6">
        <v>1000</v>
      </c>
      <c r="AB276" s="4" t="s">
        <v>13</v>
      </c>
    </row>
    <row r="277" spans="1:28" s="12" customFormat="1">
      <c r="A277" s="3" t="s">
        <v>332</v>
      </c>
      <c r="B277" s="3" t="s">
        <v>333</v>
      </c>
      <c r="C277" s="3" t="s">
        <v>334</v>
      </c>
      <c r="D277" s="4">
        <v>146</v>
      </c>
      <c r="E277" s="3" t="s">
        <v>335</v>
      </c>
      <c r="F277" s="7" t="s">
        <v>1360</v>
      </c>
      <c r="G277" s="4">
        <v>51.4</v>
      </c>
      <c r="H277" s="3" t="s">
        <v>340</v>
      </c>
      <c r="I277" s="3" t="s">
        <v>341</v>
      </c>
      <c r="J277" s="4">
        <v>3</v>
      </c>
      <c r="K277" s="4">
        <v>903.48149999999998</v>
      </c>
      <c r="L277" s="4"/>
      <c r="M277" s="4" t="str">
        <f>HYPERLINK("http://ms.phosphosite.org:5080/cgi-bin/plot-msms.cgi?MassType=1&amp;NumAxis=1&amp;Mod14=184&amp;Mod24=147&amp;Pep=TGALPGPGPLSNPRLGGLPGPGPMSNPR&amp;Dta=/var/www/html/dta/yong/23617.16690.3.dta&amp;Global_Mod=CS57.0215", "16690")</f>
        <v>16690</v>
      </c>
      <c r="N277" s="5"/>
      <c r="O277" s="5">
        <v>76.97</v>
      </c>
      <c r="P277" s="5"/>
      <c r="Q277" s="5">
        <v>2.149</v>
      </c>
      <c r="R277" s="5"/>
      <c r="S277" s="5">
        <v>1.3831</v>
      </c>
      <c r="T277" s="5"/>
      <c r="U277" s="5">
        <v>0.19839999999999999</v>
      </c>
      <c r="V277" s="4"/>
      <c r="W277" s="4">
        <v>16</v>
      </c>
      <c r="X277" s="5"/>
      <c r="Y277" s="5">
        <v>2.5099999999999998</v>
      </c>
      <c r="Z277" s="6"/>
      <c r="AA277" s="6">
        <v>1000</v>
      </c>
      <c r="AB277" s="4" t="s">
        <v>13</v>
      </c>
    </row>
    <row r="278" spans="1:28" s="13" customFormat="1">
      <c r="A278" s="3" t="s">
        <v>332</v>
      </c>
      <c r="B278" s="3" t="s">
        <v>333</v>
      </c>
      <c r="C278" s="3" t="s">
        <v>334</v>
      </c>
      <c r="D278" s="4">
        <v>160</v>
      </c>
      <c r="E278" s="3" t="s">
        <v>335</v>
      </c>
      <c r="F278" s="7" t="s">
        <v>1360</v>
      </c>
      <c r="G278" s="4">
        <v>51.4</v>
      </c>
      <c r="H278" s="3" t="s">
        <v>339</v>
      </c>
      <c r="I278" s="3" t="s">
        <v>346</v>
      </c>
      <c r="J278" s="4">
        <v>3</v>
      </c>
      <c r="K278" s="4">
        <v>521.61810000000003</v>
      </c>
      <c r="L278" s="4" t="str">
        <f>HYPERLINK("http://ms.phosphosite.org:5080/cgi-bin/plot-msms.cgi?MassType=1&amp;NumAxis=1&amp;Mod4=184&amp;Pep=SNPRAGGLLGAGPDPR&amp;Dta=/var/www/html/dta/yong/23616.8657.3.dta&amp;Global_Mod=CS57.0215", "8657")</f>
        <v>8657</v>
      </c>
      <c r="M278" s="4" t="str">
        <f>HYPERLINK("http://ms.phosphosite.org:5080/cgi-bin/plot-msms.cgi?MassType=1&amp;NumAxis=1&amp;Mod4=184&amp;Pep=SNPRAGGLLGAGPDPR&amp;Dta=/var/www/html/dta/yong/23617.8786.3.dta&amp;Global_Mod=CS57.0215", "8786")</f>
        <v>8786</v>
      </c>
      <c r="N278" s="5">
        <v>43.43</v>
      </c>
      <c r="O278" s="5">
        <v>43.59</v>
      </c>
      <c r="P278" s="5">
        <v>4.0140000000000002</v>
      </c>
      <c r="Q278" s="5">
        <v>3.7770000000000001</v>
      </c>
      <c r="R278" s="5">
        <v>-9.8400000000000001E-2</v>
      </c>
      <c r="S278" s="5">
        <v>3.5999999999999997E-2</v>
      </c>
      <c r="T278" s="5">
        <v>0.2208</v>
      </c>
      <c r="U278" s="5">
        <v>0.2107</v>
      </c>
      <c r="V278" s="4">
        <v>1</v>
      </c>
      <c r="W278" s="4">
        <v>1</v>
      </c>
      <c r="X278" s="5">
        <v>3.23</v>
      </c>
      <c r="Y278" s="5">
        <v>3.25</v>
      </c>
      <c r="Z278" s="6">
        <v>1000</v>
      </c>
      <c r="AA278" s="6">
        <v>1000</v>
      </c>
      <c r="AB278" s="4" t="s">
        <v>13</v>
      </c>
    </row>
    <row r="279" spans="1:28" s="12" customFormat="1">
      <c r="A279" s="18" t="s">
        <v>332</v>
      </c>
      <c r="B279" s="18" t="s">
        <v>333</v>
      </c>
      <c r="C279" s="18" t="s">
        <v>334</v>
      </c>
      <c r="D279" s="19">
        <v>160</v>
      </c>
      <c r="E279" s="18" t="s">
        <v>335</v>
      </c>
      <c r="F279" s="15" t="s">
        <v>1360</v>
      </c>
      <c r="G279" s="19">
        <v>51.4</v>
      </c>
      <c r="H279" s="18" t="s">
        <v>339</v>
      </c>
      <c r="I279" s="18" t="s">
        <v>347</v>
      </c>
      <c r="J279" s="19">
        <v>3</v>
      </c>
      <c r="K279" s="19">
        <v>526.29</v>
      </c>
      <c r="L279" s="19" t="str">
        <f>HYPERLINK("http://ms.phosphosite.org:5080/cgi-bin/plot-msms.cgi?MassType=1&amp;NumAxis=1&amp;Mod4=184&amp;Mod16=170&amp;Pep=SNPRAGGLLGAGPDPR&amp;Dta=/var/www/html/dta/yong/23616.9025.3.dta&amp;Global_Mod=CS57.0215", "9025")</f>
        <v>9025</v>
      </c>
      <c r="M279" s="19" t="str">
        <f>HYPERLINK("http://ms.phosphosite.org:5080/cgi-bin/plot-msms.cgi?MassType=1&amp;NumAxis=1&amp;Mod4=184&amp;Mod16=170&amp;Pep=SNPRAGGLLGAGPDPR&amp;Dta=/var/www/html/dta/yong/23617.9151.3.dta&amp;Global_Mod=CS57.0215", "9151")</f>
        <v>9151</v>
      </c>
      <c r="N279" s="20">
        <v>44.98</v>
      </c>
      <c r="O279" s="20">
        <v>45.1</v>
      </c>
      <c r="P279" s="20">
        <v>3.1459999999999999</v>
      </c>
      <c r="Q279" s="20">
        <v>4.4550000000000001</v>
      </c>
      <c r="R279" s="20">
        <v>0.1104</v>
      </c>
      <c r="S279" s="20">
        <v>-0.51980000000000004</v>
      </c>
      <c r="T279" s="20">
        <v>9.98E-2</v>
      </c>
      <c r="U279" s="20">
        <v>0.19839999999999999</v>
      </c>
      <c r="V279" s="19">
        <v>8</v>
      </c>
      <c r="W279" s="19">
        <v>1</v>
      </c>
      <c r="X279" s="20">
        <v>2.2999999999999998</v>
      </c>
      <c r="Y279" s="20">
        <v>3.36</v>
      </c>
      <c r="Z279" s="21" t="s">
        <v>1306</v>
      </c>
      <c r="AA279" s="21" t="s">
        <v>1306</v>
      </c>
      <c r="AB279" s="19" t="s">
        <v>13</v>
      </c>
    </row>
    <row r="280" spans="1:28" s="13" customFormat="1">
      <c r="A280" s="18" t="s">
        <v>332</v>
      </c>
      <c r="B280" s="18" t="s">
        <v>333</v>
      </c>
      <c r="C280" s="18" t="s">
        <v>334</v>
      </c>
      <c r="D280" s="19">
        <v>160</v>
      </c>
      <c r="E280" s="18" t="s">
        <v>335</v>
      </c>
      <c r="F280" s="15" t="s">
        <v>1360</v>
      </c>
      <c r="G280" s="19">
        <v>51.4</v>
      </c>
      <c r="H280" s="18" t="s">
        <v>339</v>
      </c>
      <c r="I280" s="18" t="s">
        <v>347</v>
      </c>
      <c r="J280" s="19">
        <v>3</v>
      </c>
      <c r="K280" s="19">
        <v>526.29</v>
      </c>
      <c r="L280" s="19" t="str">
        <f>HYPERLINK("http://ms.phosphosite.org:5080/cgi-bin/plot-msms.cgi?MassType=1&amp;NumAxis=1&amp;Mod4=184&amp;Mod16=170&amp;Pep=SNPRAGGLLGAGPDPR&amp;Dta=/var/www/html/dta/yong/23616.9036.3.dta&amp;Global_Mod=CS57.0215", "9036")</f>
        <v>9036</v>
      </c>
      <c r="M280" s="19" t="str">
        <f>HYPERLINK("http://ms.phosphosite.org:5080/cgi-bin/plot-msms.cgi?MassType=1&amp;NumAxis=1&amp;Mod4=184&amp;Mod16=170&amp;Pep=SNPRAGGLLGAGPDPR&amp;Dta=/var/www/html/dta/yong/23617.9144.3.dta&amp;Global_Mod=CS57.0215", "9144")</f>
        <v>9144</v>
      </c>
      <c r="N280" s="20">
        <v>45.03</v>
      </c>
      <c r="O280" s="20">
        <v>45.07</v>
      </c>
      <c r="P280" s="20">
        <v>3.8330000000000002</v>
      </c>
      <c r="Q280" s="20">
        <v>3.4350000000000001</v>
      </c>
      <c r="R280" s="20">
        <v>5.6599999999999998E-2</v>
      </c>
      <c r="S280" s="20">
        <v>0.16370000000000001</v>
      </c>
      <c r="T280" s="20">
        <v>0.16869999999999999</v>
      </c>
      <c r="U280" s="20">
        <v>6.7000000000000004E-2</v>
      </c>
      <c r="V280" s="19">
        <v>1</v>
      </c>
      <c r="W280" s="19">
        <v>2</v>
      </c>
      <c r="X280" s="20">
        <v>2.89</v>
      </c>
      <c r="Y280" s="20">
        <v>2.34</v>
      </c>
      <c r="Z280" s="21" t="s">
        <v>1306</v>
      </c>
      <c r="AA280" s="21" t="s">
        <v>1306</v>
      </c>
      <c r="AB280" s="19" t="s">
        <v>13</v>
      </c>
    </row>
    <row r="281" spans="1:28" s="13" customFormat="1">
      <c r="A281" s="9" t="s">
        <v>332</v>
      </c>
      <c r="B281" s="9" t="s">
        <v>333</v>
      </c>
      <c r="C281" s="9" t="s">
        <v>334</v>
      </c>
      <c r="D281" s="7">
        <v>186</v>
      </c>
      <c r="E281" s="9" t="s">
        <v>335</v>
      </c>
      <c r="F281" s="7" t="s">
        <v>1360</v>
      </c>
      <c r="G281" s="7">
        <v>51.4</v>
      </c>
      <c r="H281" s="9" t="s">
        <v>351</v>
      </c>
      <c r="I281" s="9" t="s">
        <v>352</v>
      </c>
      <c r="J281" s="7">
        <v>2</v>
      </c>
      <c r="K281" s="7">
        <v>926.49090000000001</v>
      </c>
      <c r="L281" s="7" t="str">
        <f>HYPERLINK("http://ms.phosphosite.org:5080/cgi-bin/plot-msms.cgi?MassType=1&amp;NumAxis=1&amp;Mod5=147&amp;Mod14=184&amp;Pep=GGGPMGPGSGPNLRAGVLLT&amp;Dta=/var/www/html/dta/yong/23616.16080.2.dta&amp;Global_Mod=CS57.0215", "16080")</f>
        <v>16080</v>
      </c>
      <c r="M281" s="7" t="str">
        <f>HYPERLINK("http://ms.phosphosite.org:5080/cgi-bin/plot-msms.cgi?MassType=1&amp;NumAxis=1&amp;Mod5=147&amp;Mod14=184&amp;Pep=GGGPMGPGSGPNLRAGVLLT&amp;Dta=/var/www/html/dta/yong/23617.16256.2.dta&amp;Global_Mod=CS57.0215", "16256")</f>
        <v>16256</v>
      </c>
      <c r="N281" s="10">
        <v>75.2</v>
      </c>
      <c r="O281" s="10">
        <v>75.14</v>
      </c>
      <c r="P281" s="10">
        <v>2.7730000000000001</v>
      </c>
      <c r="Q281" s="10">
        <v>2.94</v>
      </c>
      <c r="R281" s="10">
        <v>1.413</v>
      </c>
      <c r="S281" s="10">
        <v>1.6416999999999999</v>
      </c>
      <c r="T281" s="10">
        <v>0.24809999999999999</v>
      </c>
      <c r="U281" s="10">
        <v>0.3216</v>
      </c>
      <c r="V281" s="7">
        <v>1</v>
      </c>
      <c r="W281" s="7">
        <v>1</v>
      </c>
      <c r="X281" s="10">
        <v>2.95</v>
      </c>
      <c r="Y281" s="10">
        <v>3.52</v>
      </c>
      <c r="Z281" s="11">
        <v>1000</v>
      </c>
      <c r="AA281" s="11">
        <v>1000</v>
      </c>
      <c r="AB281" s="7" t="s">
        <v>13</v>
      </c>
    </row>
    <row r="282" spans="1:28" s="12" customFormat="1">
      <c r="A282" s="9" t="s">
        <v>332</v>
      </c>
      <c r="B282" s="9" t="s">
        <v>333</v>
      </c>
      <c r="C282" s="9" t="s">
        <v>334</v>
      </c>
      <c r="D282" s="7">
        <v>186</v>
      </c>
      <c r="E282" s="9" t="s">
        <v>335</v>
      </c>
      <c r="F282" s="7" t="s">
        <v>1360</v>
      </c>
      <c r="G282" s="7">
        <v>51.4</v>
      </c>
      <c r="H282" s="9" t="s">
        <v>351</v>
      </c>
      <c r="I282" s="9" t="s">
        <v>352</v>
      </c>
      <c r="J282" s="7">
        <v>2</v>
      </c>
      <c r="K282" s="7">
        <v>926.49090000000001</v>
      </c>
      <c r="L282" s="7" t="str">
        <f>HYPERLINK("http://ms.phosphosite.org:5080/cgi-bin/plot-msms.cgi?MassType=1&amp;NumAxis=1&amp;Mod5=147&amp;Mod14=184&amp;Pep=GGGPMGPGSGPNLRAGVLLT&amp;Dta=/var/www/html/dta/yong/23616.16090.2.dta&amp;Global_Mod=CS57.0215", "16090")</f>
        <v>16090</v>
      </c>
      <c r="M282" s="7" t="str">
        <f>HYPERLINK("http://ms.phosphosite.org:5080/cgi-bin/plot-msms.cgi?MassType=1&amp;NumAxis=1&amp;Mod5=147&amp;Mod14=184&amp;Pep=GGGPMGPGSGPNLRAGVLLT&amp;Dta=/var/www/html/dta/yong/23617.16275.2.dta&amp;Global_Mod=CS57.0215", "16275")</f>
        <v>16275</v>
      </c>
      <c r="N282" s="10">
        <v>75.25</v>
      </c>
      <c r="O282" s="10">
        <v>75.23</v>
      </c>
      <c r="P282" s="10">
        <v>2.972</v>
      </c>
      <c r="Q282" s="10">
        <v>2.726</v>
      </c>
      <c r="R282" s="10">
        <v>1.413</v>
      </c>
      <c r="S282" s="10">
        <v>1.1859999999999999</v>
      </c>
      <c r="T282" s="10">
        <v>0.35620000000000002</v>
      </c>
      <c r="U282" s="10">
        <v>0.22939999999999999</v>
      </c>
      <c r="V282" s="7">
        <v>2</v>
      </c>
      <c r="W282" s="7">
        <v>1</v>
      </c>
      <c r="X282" s="10">
        <v>3.62</v>
      </c>
      <c r="Y282" s="10">
        <v>2.95</v>
      </c>
      <c r="Z282" s="11">
        <v>1000</v>
      </c>
      <c r="AA282" s="11">
        <v>1000</v>
      </c>
      <c r="AB282" s="7" t="s">
        <v>13</v>
      </c>
    </row>
    <row r="283" spans="1:28" s="12" customFormat="1">
      <c r="A283" s="13" t="s">
        <v>332</v>
      </c>
      <c r="B283" s="13" t="s">
        <v>333</v>
      </c>
      <c r="C283" s="13" t="s">
        <v>334</v>
      </c>
      <c r="D283" s="15">
        <v>225</v>
      </c>
      <c r="E283" s="13" t="s">
        <v>335</v>
      </c>
      <c r="F283" s="15" t="s">
        <v>1360</v>
      </c>
      <c r="G283" s="15">
        <v>51.4</v>
      </c>
      <c r="H283" s="13" t="s">
        <v>353</v>
      </c>
      <c r="I283" s="13" t="s">
        <v>354</v>
      </c>
      <c r="J283" s="15">
        <v>4</v>
      </c>
      <c r="K283" s="15">
        <v>913.23919999999998</v>
      </c>
      <c r="L283" s="15" t="str">
        <f>HYPERLINK("http://ms.phosphosite.org:5080/cgi-bin/plot-msms.cgi?MassType=1&amp;NumAxis=1&amp;Mod10=184&amp;Mod24=170&amp;Mod37=170&amp;Pep=GFLGTNPAPRSGVFPGPGLGPNPRPSGLGPGPNLDAR&amp;Dta=/var/www/html/dta/yong/23616.19318.4.dta&amp;Global_Mod=CS57.0215", "19318")</f>
        <v>19318</v>
      </c>
      <c r="M283" s="15"/>
      <c r="N283" s="16">
        <v>89.1</v>
      </c>
      <c r="O283" s="16"/>
      <c r="P283" s="16">
        <v>3.181</v>
      </c>
      <c r="Q283" s="16"/>
      <c r="R283" s="16">
        <v>1.2149000000000001</v>
      </c>
      <c r="S283" s="16"/>
      <c r="T283" s="16">
        <v>0.12379999999999999</v>
      </c>
      <c r="U283" s="16"/>
      <c r="V283" s="15">
        <v>2</v>
      </c>
      <c r="W283" s="15"/>
      <c r="X283" s="16">
        <v>2.2400000000000002</v>
      </c>
      <c r="Y283" s="16"/>
      <c r="Z283" s="17" t="s">
        <v>1307</v>
      </c>
      <c r="AA283" s="17"/>
      <c r="AB283" s="15" t="s">
        <v>13</v>
      </c>
    </row>
    <row r="284" spans="1:28" s="12" customFormat="1">
      <c r="A284" s="9" t="s">
        <v>332</v>
      </c>
      <c r="B284" s="9" t="s">
        <v>333</v>
      </c>
      <c r="C284" s="9" t="s">
        <v>334</v>
      </c>
      <c r="D284" s="7">
        <v>239</v>
      </c>
      <c r="E284" s="9" t="s">
        <v>335</v>
      </c>
      <c r="F284" s="7" t="s">
        <v>1360</v>
      </c>
      <c r="G284" s="7">
        <v>51.4</v>
      </c>
      <c r="H284" s="9" t="s">
        <v>358</v>
      </c>
      <c r="I284" s="9" t="s">
        <v>359</v>
      </c>
      <c r="J284" s="7">
        <v>3</v>
      </c>
      <c r="K284" s="7">
        <v>871.12950000000001</v>
      </c>
      <c r="L284" s="7" t="str">
        <f>HYPERLINK("http://ms.phosphosite.org:5080/cgi-bin/plot-msms.cgi?MassType=1&amp;NumAxis=1&amp;Mod14=184&amp;Pep=SGVFPGPGLGPNPRPSGLGPGPNLDAR&amp;Dta=/var/www/html/dta/yong/23616.17522.3.dta&amp;Global_Mod=CS57.0215", "17522")</f>
        <v>17522</v>
      </c>
      <c r="M284" s="7"/>
      <c r="N284" s="10">
        <v>81.319999999999993</v>
      </c>
      <c r="O284" s="10"/>
      <c r="P284" s="10">
        <v>1.865</v>
      </c>
      <c r="Q284" s="10"/>
      <c r="R284" s="10">
        <v>1.89</v>
      </c>
      <c r="S284" s="10"/>
      <c r="T284" s="10">
        <v>2.7900000000000001E-2</v>
      </c>
      <c r="U284" s="10"/>
      <c r="V284" s="7">
        <v>270</v>
      </c>
      <c r="W284" s="7"/>
      <c r="X284" s="10">
        <v>1.44</v>
      </c>
      <c r="Y284" s="10"/>
      <c r="Z284" s="11">
        <v>1000</v>
      </c>
      <c r="AA284" s="11"/>
      <c r="AB284" s="7" t="s">
        <v>13</v>
      </c>
    </row>
    <row r="285" spans="1:28" s="12" customFormat="1">
      <c r="A285" s="13" t="s">
        <v>332</v>
      </c>
      <c r="B285" s="13" t="s">
        <v>333</v>
      </c>
      <c r="C285" s="13" t="s">
        <v>334</v>
      </c>
      <c r="D285" s="15">
        <v>239</v>
      </c>
      <c r="E285" s="13" t="s">
        <v>335</v>
      </c>
      <c r="F285" s="15" t="s">
        <v>1360</v>
      </c>
      <c r="G285" s="15">
        <v>51.4</v>
      </c>
      <c r="H285" s="13" t="s">
        <v>358</v>
      </c>
      <c r="I285" s="13" t="s">
        <v>360</v>
      </c>
      <c r="J285" s="15">
        <v>3</v>
      </c>
      <c r="K285" s="15">
        <v>875.80139999999994</v>
      </c>
      <c r="L285" s="15" t="str">
        <f>HYPERLINK("http://ms.phosphosite.org:5080/cgi-bin/plot-msms.cgi?MassType=1&amp;NumAxis=1&amp;Mod14=184&amp;Mod27=170&amp;Pep=SGVFPGPGLGPNPRPSGLGPGPNLDAR&amp;Dta=/var/www/html/dta/yong/23616.17756.3.dta&amp;Global_Mod=CS57.0215", "17756")</f>
        <v>17756</v>
      </c>
      <c r="M285" s="15" t="str">
        <f>HYPERLINK("http://ms.phosphosite.org:5080/cgi-bin/plot-msms.cgi?MassType=1&amp;NumAxis=1&amp;Mod14=184&amp;Mod27=170&amp;Pep=SGVFPGPGLGPNPRPSGLGPGPNLDAR&amp;Dta=/var/www/html/dta/yong/23617.17932.3.dta&amp;Global_Mod=CS57.0215", "17932")</f>
        <v>17932</v>
      </c>
      <c r="N285" s="16">
        <v>82.25</v>
      </c>
      <c r="O285" s="16">
        <v>82.2</v>
      </c>
      <c r="P285" s="16">
        <v>2.5459999999999998</v>
      </c>
      <c r="Q285" s="16">
        <v>2.5030000000000001</v>
      </c>
      <c r="R285" s="16">
        <v>1.5584</v>
      </c>
      <c r="S285" s="16">
        <v>1.3458000000000001</v>
      </c>
      <c r="T285" s="16">
        <v>0.18779999999999999</v>
      </c>
      <c r="U285" s="16">
        <v>0.1</v>
      </c>
      <c r="V285" s="15">
        <v>213</v>
      </c>
      <c r="W285" s="15">
        <v>43</v>
      </c>
      <c r="X285" s="16">
        <v>2.58</v>
      </c>
      <c r="Y285" s="16">
        <v>2.2400000000000002</v>
      </c>
      <c r="Z285" s="17" t="s">
        <v>1306</v>
      </c>
      <c r="AA285" s="17" t="s">
        <v>1306</v>
      </c>
      <c r="AB285" s="15" t="s">
        <v>13</v>
      </c>
    </row>
    <row r="286" spans="1:28" s="13" customFormat="1">
      <c r="A286" s="13" t="s">
        <v>332</v>
      </c>
      <c r="B286" s="13" t="s">
        <v>333</v>
      </c>
      <c r="C286" s="13" t="s">
        <v>334</v>
      </c>
      <c r="D286" s="15">
        <v>239</v>
      </c>
      <c r="E286" s="13" t="s">
        <v>335</v>
      </c>
      <c r="F286" s="15" t="s">
        <v>1360</v>
      </c>
      <c r="G286" s="15">
        <v>51.4</v>
      </c>
      <c r="H286" s="13" t="s">
        <v>358</v>
      </c>
      <c r="I286" s="13" t="s">
        <v>360</v>
      </c>
      <c r="J286" s="15">
        <v>3</v>
      </c>
      <c r="K286" s="15">
        <v>875.80139999999994</v>
      </c>
      <c r="L286" s="15" t="str">
        <f>HYPERLINK("http://ms.phosphosite.org:5080/cgi-bin/plot-msms.cgi?MassType=1&amp;NumAxis=1&amp;Mod14=184&amp;Mod27=170&amp;Pep=SGVFPGPGLGPNPRPSGLGPGPNLDAR&amp;Dta=/var/www/html/dta/yong/23616.17780.3.dta&amp;Global_Mod=CS57.0215", "17780")</f>
        <v>17780</v>
      </c>
      <c r="M286" s="15" t="str">
        <f>HYPERLINK("http://ms.phosphosite.org:5080/cgi-bin/plot-msms.cgi?MassType=1&amp;NumAxis=1&amp;Mod14=184&amp;Mod27=170&amp;Pep=SGVFPGPGLGPNPRPSGLGPGPNLDAR&amp;Dta=/var/www/html/dta/yong/23617.17944.3.dta&amp;Global_Mod=CS57.0215", "17944")</f>
        <v>17944</v>
      </c>
      <c r="N286" s="16">
        <v>82.34</v>
      </c>
      <c r="O286" s="16">
        <v>82.25</v>
      </c>
      <c r="P286" s="16">
        <v>2.1869999999999998</v>
      </c>
      <c r="Q286" s="16">
        <v>2.0059999999999998</v>
      </c>
      <c r="R286" s="16">
        <v>1.5584</v>
      </c>
      <c r="S286" s="16">
        <v>1.3458000000000001</v>
      </c>
      <c r="T286" s="16">
        <v>0.1129</v>
      </c>
      <c r="U286" s="16">
        <v>0.14349999999999999</v>
      </c>
      <c r="V286" s="15">
        <v>13</v>
      </c>
      <c r="W286" s="15">
        <v>4</v>
      </c>
      <c r="X286" s="16">
        <v>2.13</v>
      </c>
      <c r="Y286" s="16">
        <v>2.35</v>
      </c>
      <c r="Z286" s="17" t="s">
        <v>1306</v>
      </c>
      <c r="AA286" s="17" t="s">
        <v>1306</v>
      </c>
      <c r="AB286" s="15" t="s">
        <v>13</v>
      </c>
    </row>
    <row r="287" spans="1:28" s="12" customFormat="1">
      <c r="A287" s="3" t="s">
        <v>332</v>
      </c>
      <c r="B287" s="3" t="s">
        <v>333</v>
      </c>
      <c r="C287" s="3" t="s">
        <v>334</v>
      </c>
      <c r="D287" s="4">
        <v>266</v>
      </c>
      <c r="E287" s="3" t="s">
        <v>335</v>
      </c>
      <c r="F287" s="7" t="s">
        <v>1360</v>
      </c>
      <c r="G287" s="4">
        <v>51.4</v>
      </c>
      <c r="H287" s="3" t="s">
        <v>361</v>
      </c>
      <c r="I287" s="3" t="s">
        <v>362</v>
      </c>
      <c r="J287" s="4">
        <v>2</v>
      </c>
      <c r="K287" s="4">
        <v>730.8981</v>
      </c>
      <c r="L287" s="4" t="str">
        <f>HYPERLINK("http://ms.phosphosite.org:5080/cgi-bin/plot-msms.cgi?MassType=1&amp;NumAxis=1&amp;Mod14=184&amp;Mod15=147&amp;Pep=AGGLLGTGSGLNLRM&amp;Dta=/var/www/html/dta/yong/23616.16499.2.dta&amp;Global_Mod=CS57.0215", "16499")</f>
        <v>16499</v>
      </c>
      <c r="M287" s="4" t="str">
        <f>HYPERLINK("http://ms.phosphosite.org:5080/cgi-bin/plot-msms.cgi?MassType=1&amp;NumAxis=1&amp;Mod14=184&amp;Mod15=147&amp;Pep=AGGLLGTGSGLNLRM&amp;Dta=/var/www/html/dta/yong/23617.16695.2.dta&amp;Global_Mod=CS57.0215", "16695")</f>
        <v>16695</v>
      </c>
      <c r="N287" s="5">
        <v>76.959999999999994</v>
      </c>
      <c r="O287" s="5">
        <v>77</v>
      </c>
      <c r="P287" s="5">
        <v>3.0030000000000001</v>
      </c>
      <c r="Q287" s="5">
        <v>2.1419999999999999</v>
      </c>
      <c r="R287" s="5">
        <v>0.60950000000000004</v>
      </c>
      <c r="S287" s="5">
        <v>1.3364</v>
      </c>
      <c r="T287" s="5">
        <v>0.39579999999999999</v>
      </c>
      <c r="U287" s="5">
        <v>0.14630000000000001</v>
      </c>
      <c r="V287" s="4">
        <v>1</v>
      </c>
      <c r="W287" s="4">
        <v>1</v>
      </c>
      <c r="X287" s="5">
        <v>3.94</v>
      </c>
      <c r="Y287" s="5">
        <v>2.35</v>
      </c>
      <c r="Z287" s="6">
        <v>1000</v>
      </c>
      <c r="AA287" s="6">
        <v>1000</v>
      </c>
      <c r="AB287" s="4" t="s">
        <v>13</v>
      </c>
    </row>
    <row r="288" spans="1:28" s="12" customFormat="1">
      <c r="A288" s="3" t="s">
        <v>332</v>
      </c>
      <c r="B288" s="3" t="s">
        <v>333</v>
      </c>
      <c r="C288" s="3" t="s">
        <v>334</v>
      </c>
      <c r="D288" s="4">
        <v>266</v>
      </c>
      <c r="E288" s="3" t="s">
        <v>335</v>
      </c>
      <c r="F288" s="7" t="s">
        <v>1360</v>
      </c>
      <c r="G288" s="4">
        <v>51.4</v>
      </c>
      <c r="H288" s="3" t="s">
        <v>361</v>
      </c>
      <c r="I288" s="3" t="s">
        <v>363</v>
      </c>
      <c r="J288" s="4">
        <v>3</v>
      </c>
      <c r="K288" s="4">
        <v>921.51639999999998</v>
      </c>
      <c r="L288" s="4" t="str">
        <f>HYPERLINK("http://ms.phosphosite.org:5080/cgi-bin/plot-msms.cgi?MassType=1&amp;NumAxis=1&amp;Mod14=184&amp;Mod15=147&amp;Pep=AGGLLGTGSGLNLRMAGPQGLDLAPILR&amp;Dta=/var/www/html/dta/yong/23616.25598.3.dta&amp;Global_Mod=CS57.0215", "25598")</f>
        <v>25598</v>
      </c>
      <c r="M288" s="4" t="str">
        <f>HYPERLINK("http://ms.phosphosite.org:5080/cgi-bin/plot-msms.cgi?MassType=1&amp;NumAxis=1&amp;Mod14=184&amp;Mod15=147&amp;Pep=AGGLLGTGSGLNLRMAGPQGLDLAPILR&amp;Dta=/var/www/html/dta/yong/23617.25707.3.dta&amp;Global_Mod=CS57.0215", "25707")</f>
        <v>25707</v>
      </c>
      <c r="N288" s="5">
        <v>114.59</v>
      </c>
      <c r="O288" s="5">
        <v>114.53</v>
      </c>
      <c r="P288" s="5">
        <v>5.9950000000000001</v>
      </c>
      <c r="Q288" s="5">
        <v>5.6879999999999997</v>
      </c>
      <c r="R288" s="5">
        <v>1.3089</v>
      </c>
      <c r="S288" s="5">
        <v>1.0488999999999999</v>
      </c>
      <c r="T288" s="5">
        <v>0.5524</v>
      </c>
      <c r="U288" s="5">
        <v>0.47239999999999999</v>
      </c>
      <c r="V288" s="4">
        <v>1</v>
      </c>
      <c r="W288" s="4">
        <v>1</v>
      </c>
      <c r="X288" s="5">
        <v>5.55</v>
      </c>
      <c r="Y288" s="5">
        <v>5.16</v>
      </c>
      <c r="Z288" s="6">
        <v>1000</v>
      </c>
      <c r="AA288" s="6">
        <v>1000</v>
      </c>
      <c r="AB288" s="4" t="s">
        <v>13</v>
      </c>
    </row>
    <row r="289" spans="1:28" s="12" customFormat="1">
      <c r="A289" s="3" t="s">
        <v>332</v>
      </c>
      <c r="B289" s="3" t="s">
        <v>333</v>
      </c>
      <c r="C289" s="3" t="s">
        <v>334</v>
      </c>
      <c r="D289" s="4">
        <v>266</v>
      </c>
      <c r="E289" s="3" t="s">
        <v>335</v>
      </c>
      <c r="F289" s="7" t="s">
        <v>1360</v>
      </c>
      <c r="G289" s="4">
        <v>51.4</v>
      </c>
      <c r="H289" s="3" t="s">
        <v>361</v>
      </c>
      <c r="I289" s="3" t="s">
        <v>363</v>
      </c>
      <c r="J289" s="4">
        <v>4</v>
      </c>
      <c r="K289" s="4">
        <v>691.38909999999998</v>
      </c>
      <c r="L289" s="4" t="str">
        <f>HYPERLINK("http://ms.phosphosite.org:5080/cgi-bin/plot-msms.cgi?MassType=1&amp;NumAxis=1&amp;Mod14=184&amp;Mod15=147&amp;Pep=AGGLLGTGSGLNLRMAGPQGLDLAPILR&amp;Dta=/var/www/html/dta/yong/23616.25626.4.dta&amp;Global_Mod=CS57.0215", "25626")</f>
        <v>25626</v>
      </c>
      <c r="M289" s="4" t="str">
        <f>HYPERLINK("http://ms.phosphosite.org:5080/cgi-bin/plot-msms.cgi?MassType=1&amp;NumAxis=1&amp;Mod14=184&amp;Mod15=147&amp;Pep=AGGLLGTGSGLNLRMAGPQGLDLAPILR&amp;Dta=/var/www/html/dta/yong/23617.25735.4.dta&amp;Global_Mod=CS57.0215", "25735")</f>
        <v>25735</v>
      </c>
      <c r="N289" s="5">
        <v>114.7</v>
      </c>
      <c r="O289" s="5">
        <v>114.65</v>
      </c>
      <c r="P289" s="5">
        <v>3.8740000000000001</v>
      </c>
      <c r="Q289" s="5">
        <v>4.22</v>
      </c>
      <c r="R289" s="5">
        <v>0.85629999999999995</v>
      </c>
      <c r="S289" s="5">
        <v>0.47</v>
      </c>
      <c r="T289" s="5">
        <v>0.28570000000000001</v>
      </c>
      <c r="U289" s="5">
        <v>0.29049999999999998</v>
      </c>
      <c r="V289" s="4">
        <v>1</v>
      </c>
      <c r="W289" s="4">
        <v>1</v>
      </c>
      <c r="X289" s="5">
        <v>3.46</v>
      </c>
      <c r="Y289" s="5">
        <v>3.73</v>
      </c>
      <c r="Z289" s="6">
        <v>1000</v>
      </c>
      <c r="AA289" s="6">
        <v>1000</v>
      </c>
      <c r="AB289" s="4" t="s">
        <v>13</v>
      </c>
    </row>
    <row r="290" spans="1:28" s="12" customFormat="1">
      <c r="A290" s="18" t="s">
        <v>332</v>
      </c>
      <c r="B290" s="18" t="s">
        <v>333</v>
      </c>
      <c r="C290" s="18" t="s">
        <v>334</v>
      </c>
      <c r="D290" s="19">
        <v>266</v>
      </c>
      <c r="E290" s="18" t="s">
        <v>335</v>
      </c>
      <c r="F290" s="15" t="s">
        <v>1360</v>
      </c>
      <c r="G290" s="19">
        <v>51.4</v>
      </c>
      <c r="H290" s="18" t="s">
        <v>361</v>
      </c>
      <c r="I290" s="18" t="s">
        <v>364</v>
      </c>
      <c r="J290" s="19">
        <v>4</v>
      </c>
      <c r="K290" s="19">
        <v>694.89300000000003</v>
      </c>
      <c r="L290" s="19" t="str">
        <f>HYPERLINK("http://ms.phosphosite.org:5080/cgi-bin/plot-msms.cgi?MassType=1&amp;NumAxis=1&amp;Mod14=184&amp;Mod15=147&amp;Mod28=170&amp;Pep=AGGLLGTGSGLNLRMAGPQGLDLAPILR&amp;Dta=/var/www/html/dta/yong/23616.25725.4.dta&amp;Global_Mod=CS57.0215", "25725")</f>
        <v>25725</v>
      </c>
      <c r="M290" s="19" t="str">
        <f>HYPERLINK("http://ms.phosphosite.org:5080/cgi-bin/plot-msms.cgi?MassType=1&amp;NumAxis=1&amp;Mod14=184&amp;Mod15=147&amp;Mod28=170&amp;Pep=AGGLLGTGSGLNLRMAGPQGLDLAPILR&amp;Dta=/var/www/html/dta/yong/23617.25876.4.dta&amp;Global_Mod=CS57.0215", "25876")</f>
        <v>25876</v>
      </c>
      <c r="N290" s="20">
        <v>115.14</v>
      </c>
      <c r="O290" s="20">
        <v>115.29</v>
      </c>
      <c r="P290" s="20">
        <v>2.82</v>
      </c>
      <c r="Q290" s="20">
        <v>2.9630000000000001</v>
      </c>
      <c r="R290" s="20">
        <v>1.0780000000000001</v>
      </c>
      <c r="S290" s="20">
        <v>0.78779999999999994</v>
      </c>
      <c r="T290" s="20">
        <v>0.13189999999999999</v>
      </c>
      <c r="U290" s="20">
        <v>0.22339999999999999</v>
      </c>
      <c r="V290" s="19">
        <v>184</v>
      </c>
      <c r="W290" s="19">
        <v>7</v>
      </c>
      <c r="X290" s="20">
        <v>2.21</v>
      </c>
      <c r="Y290" s="20">
        <v>2.95</v>
      </c>
      <c r="Z290" s="21" t="s">
        <v>1306</v>
      </c>
      <c r="AA290" s="21" t="s">
        <v>1306</v>
      </c>
      <c r="AB290" s="19" t="s">
        <v>13</v>
      </c>
    </row>
    <row r="291" spans="1:28" s="12" customFormat="1">
      <c r="A291" s="18" t="s">
        <v>332</v>
      </c>
      <c r="B291" s="18" t="s">
        <v>333</v>
      </c>
      <c r="C291" s="18" t="s">
        <v>334</v>
      </c>
      <c r="D291" s="19">
        <v>266</v>
      </c>
      <c r="E291" s="18" t="s">
        <v>335</v>
      </c>
      <c r="F291" s="15" t="s">
        <v>1360</v>
      </c>
      <c r="G291" s="19">
        <v>51.4</v>
      </c>
      <c r="H291" s="18" t="s">
        <v>361</v>
      </c>
      <c r="I291" s="18" t="s">
        <v>364</v>
      </c>
      <c r="J291" s="19">
        <v>3</v>
      </c>
      <c r="K291" s="19">
        <v>926.18830000000003</v>
      </c>
      <c r="L291" s="19" t="str">
        <f>HYPERLINK("http://ms.phosphosite.org:5080/cgi-bin/plot-msms.cgi?MassType=1&amp;NumAxis=1&amp;Mod14=184&amp;Mod15=147&amp;Mod28=170&amp;Pep=AGGLLGTGSGLNLRMAGPQGLDLAPILR&amp;Dta=/var/www/html/dta/yong/23616.25750.3.dta&amp;Global_Mod=CS57.0215", "25750")</f>
        <v>25750</v>
      </c>
      <c r="M291" s="19" t="str">
        <f>HYPERLINK("http://ms.phosphosite.org:5080/cgi-bin/plot-msms.cgi?MassType=1&amp;NumAxis=1&amp;Mod14=184&amp;Mod15=147&amp;Mod28=170&amp;Pep=AGGLLGTGSGLNLRMAGPQGLDLAPILR&amp;Dta=/var/www/html/dta/yong/23617.25873.3.dta&amp;Global_Mod=CS57.0215", "25873")</f>
        <v>25873</v>
      </c>
      <c r="N291" s="20">
        <v>115.26</v>
      </c>
      <c r="O291" s="20">
        <v>115.28</v>
      </c>
      <c r="P291" s="20">
        <v>5.7050000000000001</v>
      </c>
      <c r="Q291" s="20">
        <v>6.016</v>
      </c>
      <c r="R291" s="20">
        <v>1.2764</v>
      </c>
      <c r="S291" s="20">
        <v>1.2833000000000001</v>
      </c>
      <c r="T291" s="20">
        <v>0.49399999999999999</v>
      </c>
      <c r="U291" s="20">
        <v>0.41810000000000003</v>
      </c>
      <c r="V291" s="19">
        <v>1</v>
      </c>
      <c r="W291" s="19">
        <v>1</v>
      </c>
      <c r="X291" s="20">
        <v>5.13</v>
      </c>
      <c r="Y291" s="20">
        <v>4.95</v>
      </c>
      <c r="Z291" s="21" t="s">
        <v>1306</v>
      </c>
      <c r="AA291" s="21" t="s">
        <v>1306</v>
      </c>
      <c r="AB291" s="19" t="s">
        <v>13</v>
      </c>
    </row>
    <row r="292" spans="1:28" s="12" customFormat="1">
      <c r="A292" s="18" t="s">
        <v>332</v>
      </c>
      <c r="B292" s="18" t="s">
        <v>333</v>
      </c>
      <c r="C292" s="18" t="s">
        <v>334</v>
      </c>
      <c r="D292" s="19">
        <v>266</v>
      </c>
      <c r="E292" s="18" t="s">
        <v>335</v>
      </c>
      <c r="F292" s="15" t="s">
        <v>1360</v>
      </c>
      <c r="G292" s="19">
        <v>51.4</v>
      </c>
      <c r="H292" s="18" t="s">
        <v>361</v>
      </c>
      <c r="I292" s="18" t="s">
        <v>366</v>
      </c>
      <c r="J292" s="19">
        <v>3</v>
      </c>
      <c r="K292" s="19">
        <v>1148.6433999999999</v>
      </c>
      <c r="L292" s="19" t="str">
        <f>HYPERLINK("http://ms.phosphosite.org:5080/cgi-bin/plot-msms.cgi?MassType=1&amp;NumAxis=1&amp;Mod14=184&amp;Mod15=147&amp;Mod28=170&amp;Pep=AGGLLGTGSGLNLRMAGPQGLDLAPILRAAGLLGAN&amp;Dta=/var/www/html/dta/yong/23616.32831.3.dta&amp;Global_Mod=CS57.0215", "32831")</f>
        <v>32831</v>
      </c>
      <c r="M292" s="19" t="str">
        <f>HYPERLINK("http://ms.phosphosite.org:5080/cgi-bin/plot-msms.cgi?MassType=1&amp;NumAxis=1&amp;Mod14=184&amp;Mod15=147&amp;Mod28=170&amp;Pep=AGGLLGTGSGLNLRMAGPQGLDLAPILRAAGLLGAN&amp;Dta=/var/www/html/dta/yong/23617.32870.3.dta&amp;Global_Mod=CS57.0215", "32870")</f>
        <v>32870</v>
      </c>
      <c r="N292" s="20">
        <v>148.4</v>
      </c>
      <c r="O292" s="20">
        <v>148.5</v>
      </c>
      <c r="P292" s="20">
        <v>5.915</v>
      </c>
      <c r="Q292" s="20">
        <v>5.52</v>
      </c>
      <c r="R292" s="20">
        <v>1.3696999999999999</v>
      </c>
      <c r="S292" s="20">
        <v>1.4696</v>
      </c>
      <c r="T292" s="20">
        <v>0.44579999999999997</v>
      </c>
      <c r="U292" s="20">
        <v>0.49120000000000003</v>
      </c>
      <c r="V292" s="19">
        <v>1</v>
      </c>
      <c r="W292" s="19">
        <v>1</v>
      </c>
      <c r="X292" s="20">
        <v>4.66</v>
      </c>
      <c r="Y292" s="20">
        <v>4.9400000000000004</v>
      </c>
      <c r="Z292" s="21" t="s">
        <v>1306</v>
      </c>
      <c r="AA292" s="21" t="s">
        <v>1306</v>
      </c>
      <c r="AB292" s="19" t="s">
        <v>13</v>
      </c>
    </row>
    <row r="293" spans="1:28" s="12" customFormat="1">
      <c r="A293" s="18" t="s">
        <v>332</v>
      </c>
      <c r="B293" s="18" t="s">
        <v>333</v>
      </c>
      <c r="C293" s="18" t="s">
        <v>334</v>
      </c>
      <c r="D293" s="19">
        <v>266</v>
      </c>
      <c r="E293" s="18" t="s">
        <v>335</v>
      </c>
      <c r="F293" s="15" t="s">
        <v>1360</v>
      </c>
      <c r="G293" s="19">
        <v>51.4</v>
      </c>
      <c r="H293" s="18" t="s">
        <v>361</v>
      </c>
      <c r="I293" s="18" t="s">
        <v>366</v>
      </c>
      <c r="J293" s="19">
        <v>3</v>
      </c>
      <c r="K293" s="19">
        <v>1148.6433999999999</v>
      </c>
      <c r="L293" s="19" t="str">
        <f>HYPERLINK("http://ms.phosphosite.org:5080/cgi-bin/plot-msms.cgi?MassType=1&amp;NumAxis=1&amp;Mod14=184&amp;Mod15=147&amp;Mod28=170&amp;Pep=AGGLLGTGSGLNLRMAGPQGLDLAPILRAAGLLGAN&amp;Dta=/var/www/html/dta/yong/23616.32846.3.dta&amp;Global_Mod=CS57.0215", "32846")</f>
        <v>32846</v>
      </c>
      <c r="M293" s="19" t="str">
        <f>HYPERLINK("http://ms.phosphosite.org:5080/cgi-bin/plot-msms.cgi?MassType=1&amp;NumAxis=1&amp;Mod14=184&amp;Mod15=147&amp;Mod28=170&amp;Pep=AGGLLGTGSGLNLRMAGPQGLDLAPILRAAGLLGAN&amp;Dta=/var/www/html/dta/yong/23617.32861.3.dta&amp;Global_Mod=CS57.0215", "32861")</f>
        <v>32861</v>
      </c>
      <c r="N293" s="20">
        <v>148.47999999999999</v>
      </c>
      <c r="O293" s="20">
        <v>148.46</v>
      </c>
      <c r="P293" s="20">
        <v>4.9859999999999998</v>
      </c>
      <c r="Q293" s="20">
        <v>4.1520000000000001</v>
      </c>
      <c r="R293" s="20">
        <v>1.7371000000000001</v>
      </c>
      <c r="S293" s="20">
        <v>1.3729</v>
      </c>
      <c r="T293" s="20">
        <v>0.29909999999999998</v>
      </c>
      <c r="U293" s="20">
        <v>0.4254</v>
      </c>
      <c r="V293" s="19">
        <v>1</v>
      </c>
      <c r="W293" s="19">
        <v>1</v>
      </c>
      <c r="X293" s="20">
        <v>3.55</v>
      </c>
      <c r="Y293" s="20">
        <v>4.1500000000000004</v>
      </c>
      <c r="Z293" s="21" t="s">
        <v>1306</v>
      </c>
      <c r="AA293" s="21" t="s">
        <v>1306</v>
      </c>
      <c r="AB293" s="19" t="s">
        <v>13</v>
      </c>
    </row>
    <row r="294" spans="1:28" s="12" customFormat="1">
      <c r="A294" s="18" t="s">
        <v>332</v>
      </c>
      <c r="B294" s="18" t="s">
        <v>333</v>
      </c>
      <c r="C294" s="18" t="s">
        <v>334</v>
      </c>
      <c r="D294" s="19">
        <v>266</v>
      </c>
      <c r="E294" s="18" t="s">
        <v>335</v>
      </c>
      <c r="F294" s="15" t="s">
        <v>1360</v>
      </c>
      <c r="G294" s="19">
        <v>51.4</v>
      </c>
      <c r="H294" s="18" t="s">
        <v>361</v>
      </c>
      <c r="I294" s="18" t="s">
        <v>365</v>
      </c>
      <c r="J294" s="19">
        <v>3</v>
      </c>
      <c r="K294" s="19">
        <v>1086.95</v>
      </c>
      <c r="L294" s="19" t="str">
        <f>HYPERLINK("http://ms.phosphosite.org:5080/cgi-bin/plot-msms.cgi?MassType=1&amp;NumAxis=1&amp;Mod14=184&amp;Mod15=147&amp;Mod28=170&amp;Pep=AGGLLGTGSGLNLRMAGPQGLDLAPILRAAGLLG&amp;Dta=/var/www/html/dta/yong/23616.33197.3.dta&amp;Global_Mod=CS57.0215", "33197")</f>
        <v>33197</v>
      </c>
      <c r="M294" s="19" t="str">
        <f>HYPERLINK("http://ms.phosphosite.org:5080/cgi-bin/plot-msms.cgi?MassType=1&amp;NumAxis=1&amp;Mod14=184&amp;Mod15=147&amp;Mod28=170&amp;Pep=AGGLLGTGSGLNLRMAGPQGLDLAPILRAAGLLG&amp;Dta=/var/www/html/dta/yong/23617.33222.3.dta&amp;Global_Mod=CS57.0215", "33222")</f>
        <v>33222</v>
      </c>
      <c r="N294" s="20">
        <v>150.29</v>
      </c>
      <c r="O294" s="20">
        <v>150.31</v>
      </c>
      <c r="P294" s="20">
        <v>5.1360000000000001</v>
      </c>
      <c r="Q294" s="20">
        <v>5.1710000000000003</v>
      </c>
      <c r="R294" s="20">
        <v>2.2801</v>
      </c>
      <c r="S294" s="20">
        <v>1.3037000000000001</v>
      </c>
      <c r="T294" s="20">
        <v>0.4526</v>
      </c>
      <c r="U294" s="20">
        <v>0.3982</v>
      </c>
      <c r="V294" s="19">
        <v>1</v>
      </c>
      <c r="W294" s="19">
        <v>1</v>
      </c>
      <c r="X294" s="20">
        <v>4.45</v>
      </c>
      <c r="Y294" s="20">
        <v>4.34</v>
      </c>
      <c r="Z294" s="21" t="s">
        <v>1306</v>
      </c>
      <c r="AA294" s="21" t="s">
        <v>1306</v>
      </c>
      <c r="AB294" s="19" t="s">
        <v>13</v>
      </c>
    </row>
    <row r="295" spans="1:28" s="12" customFormat="1">
      <c r="A295" s="18" t="s">
        <v>332</v>
      </c>
      <c r="B295" s="18" t="s">
        <v>333</v>
      </c>
      <c r="C295" s="18" t="s">
        <v>334</v>
      </c>
      <c r="D295" s="19">
        <v>266</v>
      </c>
      <c r="E295" s="18" t="s">
        <v>335</v>
      </c>
      <c r="F295" s="15" t="s">
        <v>1360</v>
      </c>
      <c r="G295" s="19">
        <v>51.4</v>
      </c>
      <c r="H295" s="18" t="s">
        <v>361</v>
      </c>
      <c r="I295" s="18" t="s">
        <v>365</v>
      </c>
      <c r="J295" s="19">
        <v>3</v>
      </c>
      <c r="K295" s="19">
        <v>1086.95</v>
      </c>
      <c r="L295" s="19" t="str">
        <f>HYPERLINK("http://ms.phosphosite.org:5080/cgi-bin/plot-msms.cgi?MassType=1&amp;NumAxis=1&amp;Mod14=184&amp;Mod15=147&amp;Mod28=170&amp;Pep=AGGLLGTGSGLNLRMAGPQGLDLAPILRAAGLLG&amp;Dta=/var/www/html/dta/yong/23616.33211.3.dta&amp;Global_Mod=CS57.0215", "33211")</f>
        <v>33211</v>
      </c>
      <c r="M295" s="19" t="str">
        <f>HYPERLINK("http://ms.phosphosite.org:5080/cgi-bin/plot-msms.cgi?MassType=1&amp;NumAxis=1&amp;Mod14=184&amp;Mod15=147&amp;Mod28=170&amp;Pep=AGGLLGTGSGLNLRMAGPQGLDLAPILRAAGLLG&amp;Dta=/var/www/html/dta/yong/23617.33213.3.dta&amp;Global_Mod=CS57.0215", "33213")</f>
        <v>33213</v>
      </c>
      <c r="N295" s="20">
        <v>150.36000000000001</v>
      </c>
      <c r="O295" s="20">
        <v>150.27000000000001</v>
      </c>
      <c r="P295" s="20">
        <v>5.5449999999999999</v>
      </c>
      <c r="Q295" s="20">
        <v>5.1710000000000003</v>
      </c>
      <c r="R295" s="20">
        <v>1.8917999999999999</v>
      </c>
      <c r="S295" s="20">
        <v>1.2808999999999999</v>
      </c>
      <c r="T295" s="20">
        <v>0.48709999999999998</v>
      </c>
      <c r="U295" s="20">
        <v>0.41660000000000003</v>
      </c>
      <c r="V295" s="19">
        <v>1</v>
      </c>
      <c r="W295" s="19">
        <v>1</v>
      </c>
      <c r="X295" s="20">
        <v>4.78</v>
      </c>
      <c r="Y295" s="20">
        <v>4.4400000000000004</v>
      </c>
      <c r="Z295" s="21" t="s">
        <v>1306</v>
      </c>
      <c r="AA295" s="21" t="s">
        <v>1306</v>
      </c>
      <c r="AB295" s="19" t="s">
        <v>13</v>
      </c>
    </row>
    <row r="296" spans="1:28" s="12" customFormat="1">
      <c r="A296" s="18" t="s">
        <v>332</v>
      </c>
      <c r="B296" s="18" t="s">
        <v>333</v>
      </c>
      <c r="C296" s="18" t="s">
        <v>334</v>
      </c>
      <c r="D296" s="19">
        <v>266</v>
      </c>
      <c r="E296" s="18" t="s">
        <v>335</v>
      </c>
      <c r="F296" s="15" t="s">
        <v>1360</v>
      </c>
      <c r="G296" s="19">
        <v>51.4</v>
      </c>
      <c r="H296" s="18" t="s">
        <v>361</v>
      </c>
      <c r="I296" s="18" t="s">
        <v>365</v>
      </c>
      <c r="J296" s="19">
        <v>3</v>
      </c>
      <c r="K296" s="19">
        <v>1086.95</v>
      </c>
      <c r="L296" s="19" t="str">
        <f>HYPERLINK("http://ms.phosphosite.org:5080/cgi-bin/plot-msms.cgi?MassType=1&amp;NumAxis=1&amp;Mod14=184&amp;Mod15=147&amp;Mod28=170&amp;Pep=AGGLLGTGSGLNLRMAGPQGLDLAPILRAAGLLG&amp;Dta=/var/www/html/dta/yong/23616.33235.3.dta&amp;Global_Mod=CS57.0215", "33235")</f>
        <v>33235</v>
      </c>
      <c r="M296" s="19" t="str">
        <f>HYPERLINK("http://ms.phosphosite.org:5080/cgi-bin/plot-msms.cgi?MassType=1&amp;NumAxis=1&amp;Mod14=184&amp;Mod15=147&amp;Mod28=170&amp;Pep=AGGLLGTGSGLNLRMAGPQGLDLAPILRAAGLLG&amp;Dta=/var/www/html/dta/yong/23617.33217.3.dta&amp;Global_Mod=CS57.0215", "33217")</f>
        <v>33217</v>
      </c>
      <c r="N296" s="20">
        <v>150.47999999999999</v>
      </c>
      <c r="O296" s="20">
        <v>150.29</v>
      </c>
      <c r="P296" s="20">
        <v>4.8879999999999999</v>
      </c>
      <c r="Q296" s="20">
        <v>5.3239999999999998</v>
      </c>
      <c r="R296" s="20">
        <v>0.8387</v>
      </c>
      <c r="S296" s="20">
        <v>1.3953</v>
      </c>
      <c r="T296" s="20">
        <v>0.40639999999999998</v>
      </c>
      <c r="U296" s="20">
        <v>0.45100000000000001</v>
      </c>
      <c r="V296" s="19">
        <v>1</v>
      </c>
      <c r="W296" s="19">
        <v>1</v>
      </c>
      <c r="X296" s="20">
        <v>4.1900000000000004</v>
      </c>
      <c r="Y296" s="20">
        <v>4.68</v>
      </c>
      <c r="Z296" s="21" t="s">
        <v>1306</v>
      </c>
      <c r="AA296" s="21" t="s">
        <v>1306</v>
      </c>
      <c r="AB296" s="19" t="s">
        <v>13</v>
      </c>
    </row>
    <row r="297" spans="1:28" s="12" customFormat="1">
      <c r="A297" s="3" t="s">
        <v>332</v>
      </c>
      <c r="B297" s="3" t="s">
        <v>333</v>
      </c>
      <c r="C297" s="3" t="s">
        <v>334</v>
      </c>
      <c r="D297" s="4">
        <v>266</v>
      </c>
      <c r="E297" s="3" t="s">
        <v>335</v>
      </c>
      <c r="F297" s="7" t="s">
        <v>1360</v>
      </c>
      <c r="G297" s="4">
        <v>51.4</v>
      </c>
      <c r="H297" s="3" t="s">
        <v>361</v>
      </c>
      <c r="I297" s="3" t="s">
        <v>362</v>
      </c>
      <c r="J297" s="4">
        <v>2</v>
      </c>
      <c r="K297" s="4">
        <v>730.8981</v>
      </c>
      <c r="L297" s="4"/>
      <c r="M297" s="4" t="str">
        <f>HYPERLINK("http://ms.phosphosite.org:5080/cgi-bin/plot-msms.cgi?MassType=1&amp;NumAxis=1&amp;Mod14=184&amp;Mod15=147&amp;Pep=AGGLLGTGSGLNLRM&amp;Dta=/var/www/html/dta/yong/23617.16663.2.dta&amp;Global_Mod=CS57.0215", "16663")</f>
        <v>16663</v>
      </c>
      <c r="N297" s="5"/>
      <c r="O297" s="5">
        <v>76.849999999999994</v>
      </c>
      <c r="P297" s="5"/>
      <c r="Q297" s="5">
        <v>3.081</v>
      </c>
      <c r="R297" s="5"/>
      <c r="S297" s="5">
        <v>1.4602999999999999</v>
      </c>
      <c r="T297" s="5"/>
      <c r="U297" s="5">
        <v>0.3891</v>
      </c>
      <c r="V297" s="4"/>
      <c r="W297" s="4">
        <v>1</v>
      </c>
      <c r="X297" s="5"/>
      <c r="Y297" s="5">
        <v>4</v>
      </c>
      <c r="Z297" s="6"/>
      <c r="AA297" s="6">
        <v>1000</v>
      </c>
      <c r="AB297" s="4" t="s">
        <v>13</v>
      </c>
    </row>
    <row r="298" spans="1:28" s="12" customFormat="1">
      <c r="A298" s="3" t="s">
        <v>332</v>
      </c>
      <c r="B298" s="3" t="s">
        <v>333</v>
      </c>
      <c r="C298" s="3" t="s">
        <v>334</v>
      </c>
      <c r="D298" s="4">
        <v>266</v>
      </c>
      <c r="E298" s="3" t="s">
        <v>335</v>
      </c>
      <c r="F298" s="7" t="s">
        <v>1360</v>
      </c>
      <c r="G298" s="4">
        <v>51.4</v>
      </c>
      <c r="H298" s="3" t="s">
        <v>361</v>
      </c>
      <c r="I298" s="3" t="s">
        <v>363</v>
      </c>
      <c r="J298" s="4">
        <v>3</v>
      </c>
      <c r="K298" s="4">
        <v>921.51639999999998</v>
      </c>
      <c r="L298" s="4"/>
      <c r="M298" s="4" t="str">
        <f>HYPERLINK("http://ms.phosphosite.org:5080/cgi-bin/plot-msms.cgi?MassType=1&amp;NumAxis=1&amp;Mod14=184&amp;Mod15=147&amp;Pep=AGGLLGTGSGLNLRMAGPQGLDLAPILR&amp;Dta=/var/www/html/dta/yong/23617.25718.3.dta&amp;Global_Mod=CS57.0215", "25718")</f>
        <v>25718</v>
      </c>
      <c r="N298" s="5"/>
      <c r="O298" s="5">
        <v>114.57</v>
      </c>
      <c r="P298" s="5"/>
      <c r="Q298" s="5">
        <v>6.1449999999999996</v>
      </c>
      <c r="R298" s="5"/>
      <c r="S298" s="5">
        <v>1.0488999999999999</v>
      </c>
      <c r="T298" s="5"/>
      <c r="U298" s="5">
        <v>0.50600000000000001</v>
      </c>
      <c r="V298" s="4"/>
      <c r="W298" s="4">
        <v>1</v>
      </c>
      <c r="X298" s="5"/>
      <c r="Y298" s="5">
        <v>5.49</v>
      </c>
      <c r="Z298" s="6"/>
      <c r="AA298" s="6">
        <v>1000</v>
      </c>
      <c r="AB298" s="4" t="s">
        <v>13</v>
      </c>
    </row>
    <row r="299" spans="1:28" s="12" customFormat="1">
      <c r="A299" s="18" t="s">
        <v>332</v>
      </c>
      <c r="B299" s="18" t="s">
        <v>333</v>
      </c>
      <c r="C299" s="18" t="s">
        <v>334</v>
      </c>
      <c r="D299" s="19">
        <v>266</v>
      </c>
      <c r="E299" s="18" t="s">
        <v>335</v>
      </c>
      <c r="F299" s="15" t="s">
        <v>1360</v>
      </c>
      <c r="G299" s="19">
        <v>51.4</v>
      </c>
      <c r="H299" s="18" t="s">
        <v>361</v>
      </c>
      <c r="I299" s="18" t="s">
        <v>366</v>
      </c>
      <c r="J299" s="19">
        <v>3</v>
      </c>
      <c r="K299" s="19">
        <v>1148.6433999999999</v>
      </c>
      <c r="L299" s="19"/>
      <c r="M299" s="19" t="str">
        <f>HYPERLINK("http://ms.phosphosite.org:5080/cgi-bin/plot-msms.cgi?MassType=1&amp;NumAxis=1&amp;Mod14=184&amp;Mod15=147&amp;Mod28=170&amp;Pep=AGGLLGTGSGLNLRMAGPQGLDLAPILRAAGLLGAN&amp;Dta=/var/www/html/dta/yong/23617.32854.3.dta&amp;Global_Mod=CS57.0215", "32854")</f>
        <v>32854</v>
      </c>
      <c r="N299" s="20"/>
      <c r="O299" s="20">
        <v>148.43</v>
      </c>
      <c r="P299" s="20"/>
      <c r="Q299" s="20">
        <v>6.048</v>
      </c>
      <c r="R299" s="20"/>
      <c r="S299" s="20">
        <v>2.2271999999999998</v>
      </c>
      <c r="T299" s="20"/>
      <c r="U299" s="20">
        <v>0.4622</v>
      </c>
      <c r="V299" s="19"/>
      <c r="W299" s="19">
        <v>1</v>
      </c>
      <c r="X299" s="20"/>
      <c r="Y299" s="20">
        <v>4.9000000000000004</v>
      </c>
      <c r="Z299" s="21"/>
      <c r="AA299" s="21" t="s">
        <v>1306</v>
      </c>
      <c r="AB299" s="19" t="s">
        <v>13</v>
      </c>
    </row>
    <row r="300" spans="1:28" s="12" customFormat="1">
      <c r="A300" s="18" t="s">
        <v>332</v>
      </c>
      <c r="B300" s="18" t="s">
        <v>333</v>
      </c>
      <c r="C300" s="18" t="s">
        <v>334</v>
      </c>
      <c r="D300" s="19">
        <v>266</v>
      </c>
      <c r="E300" s="18" t="s">
        <v>335</v>
      </c>
      <c r="F300" s="15" t="s">
        <v>1360</v>
      </c>
      <c r="G300" s="19">
        <v>51.4</v>
      </c>
      <c r="H300" s="18" t="s">
        <v>361</v>
      </c>
      <c r="I300" s="18" t="s">
        <v>365</v>
      </c>
      <c r="J300" s="19">
        <v>3</v>
      </c>
      <c r="K300" s="19">
        <v>1086.95</v>
      </c>
      <c r="L300" s="19"/>
      <c r="M300" s="19" t="str">
        <f>HYPERLINK("http://ms.phosphosite.org:5080/cgi-bin/plot-msms.cgi?MassType=1&amp;NumAxis=1&amp;Mod14=184&amp;Mod15=147&amp;Mod28=170&amp;Pep=AGGLLGTGSGLNLRMAGPQGLDLAPILRAAGLLG&amp;Dta=/var/www/html/dta/yong/23617.33208.3.dta&amp;Global_Mod=CS57.0215", "33208")</f>
        <v>33208</v>
      </c>
      <c r="N300" s="20"/>
      <c r="O300" s="20">
        <v>150.24</v>
      </c>
      <c r="P300" s="20"/>
      <c r="Q300" s="20">
        <v>5.37</v>
      </c>
      <c r="R300" s="20"/>
      <c r="S300" s="20">
        <v>1.3324</v>
      </c>
      <c r="T300" s="20"/>
      <c r="U300" s="20">
        <v>0.43940000000000001</v>
      </c>
      <c r="V300" s="19"/>
      <c r="W300" s="19">
        <v>1</v>
      </c>
      <c r="X300" s="20"/>
      <c r="Y300" s="20">
        <v>4.63</v>
      </c>
      <c r="Z300" s="21"/>
      <c r="AA300" s="21" t="s">
        <v>1306</v>
      </c>
      <c r="AB300" s="19" t="s">
        <v>13</v>
      </c>
    </row>
    <row r="301" spans="1:28" s="12" customFormat="1">
      <c r="A301" s="9" t="s">
        <v>332</v>
      </c>
      <c r="B301" s="9" t="s">
        <v>333</v>
      </c>
      <c r="C301" s="9" t="s">
        <v>334</v>
      </c>
      <c r="D301" s="7">
        <v>308</v>
      </c>
      <c r="E301" s="9" t="s">
        <v>335</v>
      </c>
      <c r="F301" s="7" t="s">
        <v>1360</v>
      </c>
      <c r="G301" s="7">
        <v>51.4</v>
      </c>
      <c r="H301" s="9" t="s">
        <v>380</v>
      </c>
      <c r="I301" s="9" t="s">
        <v>381</v>
      </c>
      <c r="J301" s="7">
        <v>3</v>
      </c>
      <c r="K301" s="7">
        <v>537.60709999999995</v>
      </c>
      <c r="L301" s="7" t="str">
        <f>HYPERLINK("http://ms.phosphosite.org:5080/cgi-bin/plot-msms.cgi?MassType=1&amp;NumAxis=1&amp;Mod2=184&amp;Mod7=147&amp;Pep=ARVPGPMGPNSGPSSR&amp;Dta=/var/www/html/dta/yong/23616.3614.3.dta&amp;Global_Mod=CS57.0215", "3614")</f>
        <v>3614</v>
      </c>
      <c r="M301" s="7" t="str">
        <f>HYPERLINK("http://ms.phosphosite.org:5080/cgi-bin/plot-msms.cgi?MassType=1&amp;NumAxis=1&amp;Mod2=184&amp;Mod7=147&amp;Pep=ARVPGPMGPNSGPSSR&amp;Dta=/var/www/html/dta/yong/23617.3837.3.dta&amp;Global_Mod=CS57.0215", "3837")</f>
        <v>3837</v>
      </c>
      <c r="N301" s="10">
        <v>22.31</v>
      </c>
      <c r="O301" s="10">
        <v>22.95</v>
      </c>
      <c r="P301" s="10">
        <v>3.2549999999999999</v>
      </c>
      <c r="Q301" s="10">
        <v>3.5659999999999998</v>
      </c>
      <c r="R301" s="10">
        <v>0.64590000000000003</v>
      </c>
      <c r="S301" s="10">
        <v>-2.2800000000000001E-2</v>
      </c>
      <c r="T301" s="10">
        <v>7.0999999999999994E-2</v>
      </c>
      <c r="U301" s="10">
        <v>0.26279999999999998</v>
      </c>
      <c r="V301" s="7">
        <v>1</v>
      </c>
      <c r="W301" s="7">
        <v>1</v>
      </c>
      <c r="X301" s="10">
        <v>2.1800000000000002</v>
      </c>
      <c r="Y301" s="10">
        <v>3.47</v>
      </c>
      <c r="Z301" s="11">
        <v>1000</v>
      </c>
      <c r="AA301" s="11">
        <v>1000</v>
      </c>
      <c r="AB301" s="7" t="s">
        <v>13</v>
      </c>
    </row>
    <row r="302" spans="1:28" s="12" customFormat="1">
      <c r="A302" s="9" t="s">
        <v>332</v>
      </c>
      <c r="B302" s="9" t="s">
        <v>333</v>
      </c>
      <c r="C302" s="9" t="s">
        <v>334</v>
      </c>
      <c r="D302" s="7">
        <v>308</v>
      </c>
      <c r="E302" s="9" t="s">
        <v>335</v>
      </c>
      <c r="F302" s="7" t="s">
        <v>1360</v>
      </c>
      <c r="G302" s="7">
        <v>51.4</v>
      </c>
      <c r="H302" s="9" t="s">
        <v>380</v>
      </c>
      <c r="I302" s="9" t="s">
        <v>381</v>
      </c>
      <c r="J302" s="7">
        <v>2</v>
      </c>
      <c r="K302" s="7">
        <v>805.90700000000004</v>
      </c>
      <c r="L302" s="7" t="str">
        <f>HYPERLINK("http://ms.phosphosite.org:5080/cgi-bin/plot-msms.cgi?MassType=1&amp;NumAxis=1&amp;Mod2=184&amp;Mod7=147&amp;Pep=ARVPGPMGPNSGPSSR&amp;Dta=/var/www/html/dta/yong/23616.3644.2.dta&amp;Global_Mod=CS57.0215", "3644")</f>
        <v>3644</v>
      </c>
      <c r="M302" s="7"/>
      <c r="N302" s="10">
        <v>22.44</v>
      </c>
      <c r="O302" s="10"/>
      <c r="P302" s="10">
        <v>1.4730000000000001</v>
      </c>
      <c r="Q302" s="10"/>
      <c r="R302" s="10">
        <v>1.3099000000000001</v>
      </c>
      <c r="S302" s="10"/>
      <c r="T302" s="10">
        <v>6.8900000000000003E-2</v>
      </c>
      <c r="U302" s="10"/>
      <c r="V302" s="7">
        <v>132</v>
      </c>
      <c r="W302" s="7"/>
      <c r="X302" s="10">
        <v>1.55</v>
      </c>
      <c r="Y302" s="10"/>
      <c r="Z302" s="11">
        <v>1000</v>
      </c>
      <c r="AA302" s="11"/>
      <c r="AB302" s="7" t="s">
        <v>13</v>
      </c>
    </row>
    <row r="303" spans="1:28" s="12" customFormat="1">
      <c r="A303" s="9" t="s">
        <v>332</v>
      </c>
      <c r="B303" s="9" t="s">
        <v>333</v>
      </c>
      <c r="C303" s="9" t="s">
        <v>334</v>
      </c>
      <c r="D303" s="7">
        <v>308</v>
      </c>
      <c r="E303" s="9" t="s">
        <v>335</v>
      </c>
      <c r="F303" s="7" t="s">
        <v>1360</v>
      </c>
      <c r="G303" s="7">
        <v>51.4</v>
      </c>
      <c r="H303" s="9" t="s">
        <v>380</v>
      </c>
      <c r="I303" s="9" t="s">
        <v>381</v>
      </c>
      <c r="J303" s="7">
        <v>2</v>
      </c>
      <c r="K303" s="7">
        <v>805.90700000000004</v>
      </c>
      <c r="L303" s="7" t="str">
        <f>HYPERLINK("http://ms.phosphosite.org:5080/cgi-bin/plot-msms.cgi?MassType=1&amp;NumAxis=1&amp;Mod2=184&amp;Mod7=147&amp;Pep=ARVPGPMGPNSGPSSR&amp;Dta=/var/www/html/dta/yong/23616.3649.2.dta&amp;Global_Mod=CS57.0215", "3649")</f>
        <v>3649</v>
      </c>
      <c r="M303" s="7"/>
      <c r="N303" s="10">
        <v>22.47</v>
      </c>
      <c r="O303" s="10"/>
      <c r="P303" s="10">
        <v>1.514</v>
      </c>
      <c r="Q303" s="10"/>
      <c r="R303" s="10">
        <v>1.3401000000000001</v>
      </c>
      <c r="S303" s="10"/>
      <c r="T303" s="10">
        <v>0.1726</v>
      </c>
      <c r="U303" s="10"/>
      <c r="V303" s="7">
        <v>8</v>
      </c>
      <c r="W303" s="7"/>
      <c r="X303" s="10">
        <v>2.19</v>
      </c>
      <c r="Y303" s="10"/>
      <c r="Z303" s="11">
        <v>1000</v>
      </c>
      <c r="AA303" s="11"/>
      <c r="AB303" s="7" t="s">
        <v>13</v>
      </c>
    </row>
    <row r="304" spans="1:28" s="12" customFormat="1">
      <c r="A304" s="9" t="s">
        <v>332</v>
      </c>
      <c r="B304" s="9" t="s">
        <v>333</v>
      </c>
      <c r="C304" s="9" t="s">
        <v>334</v>
      </c>
      <c r="D304" s="7">
        <v>308</v>
      </c>
      <c r="E304" s="9" t="s">
        <v>335</v>
      </c>
      <c r="F304" s="7" t="s">
        <v>1360</v>
      </c>
      <c r="G304" s="7">
        <v>51.4</v>
      </c>
      <c r="H304" s="9" t="s">
        <v>380</v>
      </c>
      <c r="I304" s="9" t="s">
        <v>381</v>
      </c>
      <c r="J304" s="7">
        <v>3</v>
      </c>
      <c r="K304" s="7">
        <v>537.60709999999995</v>
      </c>
      <c r="L304" s="7" t="str">
        <f>HYPERLINK("http://ms.phosphosite.org:5080/cgi-bin/plot-msms.cgi?MassType=1&amp;NumAxis=1&amp;Mod2=184&amp;Mod7=147&amp;Pep=ARVPGPMGPNSGPSSR&amp;Dta=/var/www/html/dta/yong/23616.3797.3.dta&amp;Global_Mod=CS57.0215", "3797")</f>
        <v>3797</v>
      </c>
      <c r="M304" s="7" t="str">
        <f>HYPERLINK("http://ms.phosphosite.org:5080/cgi-bin/plot-msms.cgi?MassType=1&amp;NumAxis=1&amp;Mod2=184&amp;Mod7=147&amp;Pep=ARVPGPMGPNSGPSSR&amp;Dta=/var/www/html/dta/yong/23617.3681.3.dta&amp;Global_Mod=CS57.0215", "3681")</f>
        <v>3681</v>
      </c>
      <c r="N304" s="10">
        <v>23.13</v>
      </c>
      <c r="O304" s="10">
        <v>22.26</v>
      </c>
      <c r="P304" s="10">
        <v>2.8490000000000002</v>
      </c>
      <c r="Q304" s="10">
        <v>3.0750000000000002</v>
      </c>
      <c r="R304" s="10">
        <v>0.57620000000000005</v>
      </c>
      <c r="S304" s="10">
        <v>0.2414</v>
      </c>
      <c r="T304" s="10">
        <v>8.1900000000000001E-2</v>
      </c>
      <c r="U304" s="10">
        <v>6.3500000000000001E-2</v>
      </c>
      <c r="V304" s="7">
        <v>1</v>
      </c>
      <c r="W304" s="7">
        <v>1</v>
      </c>
      <c r="X304" s="10">
        <v>2.12</v>
      </c>
      <c r="Y304" s="10">
        <v>2.21</v>
      </c>
      <c r="Z304" s="11">
        <v>1000</v>
      </c>
      <c r="AA304" s="11">
        <v>1000</v>
      </c>
      <c r="AB304" s="7" t="s">
        <v>13</v>
      </c>
    </row>
    <row r="305" spans="1:28" s="12" customFormat="1">
      <c r="A305" s="13" t="s">
        <v>332</v>
      </c>
      <c r="B305" s="13" t="s">
        <v>333</v>
      </c>
      <c r="C305" s="13" t="s">
        <v>334</v>
      </c>
      <c r="D305" s="15">
        <v>308</v>
      </c>
      <c r="E305" s="13" t="s">
        <v>335</v>
      </c>
      <c r="F305" s="15" t="s">
        <v>1360</v>
      </c>
      <c r="G305" s="15">
        <v>51.4</v>
      </c>
      <c r="H305" s="13" t="s">
        <v>380</v>
      </c>
      <c r="I305" s="13" t="s">
        <v>382</v>
      </c>
      <c r="J305" s="15">
        <v>3</v>
      </c>
      <c r="K305" s="15">
        <v>542.279</v>
      </c>
      <c r="L305" s="15" t="str">
        <f>HYPERLINK("http://ms.phosphosite.org:5080/cgi-bin/plot-msms.cgi?MassType=1&amp;NumAxis=1&amp;Mod2=184&amp;Mod7=147&amp;Mod16=170&amp;Pep=ARVPGPMGPNSGPSSR&amp;Dta=/var/www/html/dta/yong/23616.3930.3.dta&amp;Global_Mod=CS57.0215", "3930")</f>
        <v>3930</v>
      </c>
      <c r="M305" s="15" t="str">
        <f>HYPERLINK("http://ms.phosphosite.org:5080/cgi-bin/plot-msms.cgi?MassType=1&amp;NumAxis=1&amp;Mod2=184&amp;Mod7=147&amp;Mod16=170&amp;Pep=ARVPGPMGPNSGPSSR&amp;Dta=/var/www/html/dta/yong/23617.3986.3.dta&amp;Global_Mod=CS57.0215", "3986")</f>
        <v>3986</v>
      </c>
      <c r="N305" s="16">
        <v>23.71</v>
      </c>
      <c r="O305" s="16">
        <v>23.59</v>
      </c>
      <c r="P305" s="16">
        <v>3.6560000000000001</v>
      </c>
      <c r="Q305" s="16">
        <v>2.7549999999999999</v>
      </c>
      <c r="R305" s="16">
        <v>1.0629</v>
      </c>
      <c r="S305" s="16">
        <v>0.53779999999999994</v>
      </c>
      <c r="T305" s="16">
        <v>0.33150000000000002</v>
      </c>
      <c r="U305" s="16">
        <v>2.6700000000000002E-2</v>
      </c>
      <c r="V305" s="15">
        <v>1</v>
      </c>
      <c r="W305" s="15">
        <v>1</v>
      </c>
      <c r="X305" s="16">
        <v>3.75</v>
      </c>
      <c r="Y305" s="16">
        <v>1.9</v>
      </c>
      <c r="Z305" s="17" t="s">
        <v>1306</v>
      </c>
      <c r="AA305" s="17" t="s">
        <v>1306</v>
      </c>
      <c r="AB305" s="15" t="s">
        <v>13</v>
      </c>
    </row>
    <row r="306" spans="1:28" s="12" customFormat="1">
      <c r="A306" s="9" t="s">
        <v>332</v>
      </c>
      <c r="B306" s="9" t="s">
        <v>333</v>
      </c>
      <c r="C306" s="9" t="s">
        <v>334</v>
      </c>
      <c r="D306" s="7">
        <v>308</v>
      </c>
      <c r="E306" s="9" t="s">
        <v>335</v>
      </c>
      <c r="F306" s="7" t="s">
        <v>1360</v>
      </c>
      <c r="G306" s="7">
        <v>51.4</v>
      </c>
      <c r="H306" s="9" t="s">
        <v>380</v>
      </c>
      <c r="I306" s="9" t="s">
        <v>384</v>
      </c>
      <c r="J306" s="7">
        <v>3</v>
      </c>
      <c r="K306" s="7">
        <v>807.70339999999999</v>
      </c>
      <c r="L306" s="7" t="str">
        <f>HYPERLINK("http://ms.phosphosite.org:5080/cgi-bin/plot-msms.cgi?MassType=1&amp;NumAxis=1&amp;Mod1=147&amp;Mod8=147&amp;Mod10=184&amp;Mod15=147&amp;Pep=MGTSPSSMARVPGPMGPNSGPSSR&amp;Dta=/var/www/html/dta/yong/23616.5543.3.dta&amp;Global_Mod=CS57.0215", "5543")</f>
        <v>5543</v>
      </c>
      <c r="M306" s="7" t="str">
        <f>HYPERLINK("http://ms.phosphosite.org:5080/cgi-bin/plot-msms.cgi?MassType=1&amp;NumAxis=1&amp;Mod1=147&amp;Mod8=147&amp;Mod10=184&amp;Mod15=147&amp;Pep=MGTSPSSMARVPGPMGPNSGPSSR&amp;Dta=/var/www/html/dta/yong/23617.5621.3.dta&amp;Global_Mod=CS57.0215", "5621")</f>
        <v>5621</v>
      </c>
      <c r="N306" s="10">
        <v>30.46</v>
      </c>
      <c r="O306" s="10">
        <v>30.5</v>
      </c>
      <c r="P306" s="10">
        <v>3.125</v>
      </c>
      <c r="Q306" s="10">
        <v>2.4129999999999998</v>
      </c>
      <c r="R306" s="10">
        <v>1.3411</v>
      </c>
      <c r="S306" s="10">
        <v>0.90810000000000002</v>
      </c>
      <c r="T306" s="10">
        <v>0.30430000000000001</v>
      </c>
      <c r="U306" s="10">
        <v>6.9000000000000006E-2</v>
      </c>
      <c r="V306" s="7">
        <v>1</v>
      </c>
      <c r="W306" s="7">
        <v>1</v>
      </c>
      <c r="X306" s="10">
        <v>3.35</v>
      </c>
      <c r="Y306" s="10">
        <v>1.94</v>
      </c>
      <c r="Z306" s="11">
        <v>1000</v>
      </c>
      <c r="AA306" s="11">
        <v>1000</v>
      </c>
      <c r="AB306" s="7" t="s">
        <v>13</v>
      </c>
    </row>
    <row r="307" spans="1:28" s="12" customFormat="1">
      <c r="A307" s="9" t="s">
        <v>332</v>
      </c>
      <c r="B307" s="9" t="s">
        <v>333</v>
      </c>
      <c r="C307" s="9" t="s">
        <v>334</v>
      </c>
      <c r="D307" s="7">
        <v>308</v>
      </c>
      <c r="E307" s="9" t="s">
        <v>335</v>
      </c>
      <c r="F307" s="7" t="s">
        <v>1360</v>
      </c>
      <c r="G307" s="7">
        <v>51.4</v>
      </c>
      <c r="H307" s="9" t="s">
        <v>380</v>
      </c>
      <c r="I307" s="9" t="s">
        <v>383</v>
      </c>
      <c r="J307" s="7">
        <v>3</v>
      </c>
      <c r="K307" s="7">
        <v>532.27549999999997</v>
      </c>
      <c r="L307" s="7" t="str">
        <f>HYPERLINK("http://ms.phosphosite.org:5080/cgi-bin/plot-msms.cgi?MassType=1&amp;NumAxis=1&amp;Mod2=184&amp;Pep=ARVPGPMGPNSGPSSR&amp;Dta=/var/www/html/dta/yong/23616.5567.3.dta&amp;Global_Mod=CS57.0215", "5567")</f>
        <v>5567</v>
      </c>
      <c r="M307" s="7" t="str">
        <f>HYPERLINK("http://ms.phosphosite.org:5080/cgi-bin/plot-msms.cgi?MassType=1&amp;NumAxis=1&amp;Mod2=184&amp;Pep=ARVPGPMGPNSGPSSR&amp;Dta=/var/www/html/dta/yong/23617.5650.3.dta&amp;Global_Mod=CS57.0215", "5650")</f>
        <v>5650</v>
      </c>
      <c r="N307" s="10">
        <v>30.57</v>
      </c>
      <c r="O307" s="10">
        <v>30.63</v>
      </c>
      <c r="P307" s="10">
        <v>3.343</v>
      </c>
      <c r="Q307" s="10">
        <v>3.0449999999999999</v>
      </c>
      <c r="R307" s="10">
        <v>-2.1547000000000001</v>
      </c>
      <c r="S307" s="10">
        <v>-3.02</v>
      </c>
      <c r="T307" s="10">
        <v>0.25040000000000001</v>
      </c>
      <c r="U307" s="10">
        <v>0.22539999999999999</v>
      </c>
      <c r="V307" s="7">
        <v>2</v>
      </c>
      <c r="W307" s="7">
        <v>1</v>
      </c>
      <c r="X307" s="10">
        <v>3.1</v>
      </c>
      <c r="Y307" s="10">
        <v>2.96</v>
      </c>
      <c r="Z307" s="11">
        <v>1000</v>
      </c>
      <c r="AA307" s="11">
        <v>1000</v>
      </c>
      <c r="AB307" s="7" t="s">
        <v>13</v>
      </c>
    </row>
    <row r="308" spans="1:28" s="12" customFormat="1">
      <c r="A308" s="9" t="s">
        <v>332</v>
      </c>
      <c r="B308" s="9" t="s">
        <v>333</v>
      </c>
      <c r="C308" s="9" t="s">
        <v>334</v>
      </c>
      <c r="D308" s="7">
        <v>308</v>
      </c>
      <c r="E308" s="9" t="s">
        <v>335</v>
      </c>
      <c r="F308" s="7" t="s">
        <v>1360</v>
      </c>
      <c r="G308" s="7">
        <v>51.4</v>
      </c>
      <c r="H308" s="9" t="s">
        <v>380</v>
      </c>
      <c r="I308" s="9" t="s">
        <v>385</v>
      </c>
      <c r="J308" s="7">
        <v>3</v>
      </c>
      <c r="K308" s="7">
        <v>802.37170000000003</v>
      </c>
      <c r="L308" s="7" t="str">
        <f>HYPERLINK("http://ms.phosphosite.org:5080/cgi-bin/plot-msms.cgi?MassType=1&amp;NumAxis=1&amp;Mod8=147&amp;Mod10=184&amp;Mod15=147&amp;Pep=MGTSPSSMARVPGPMGPNSGPSSR&amp;Dta=/var/www/html/dta/yong/23616.6572.3.dta&amp;Global_Mod=CS57.0215", "6572")</f>
        <v>6572</v>
      </c>
      <c r="M308" s="7" t="str">
        <f>HYPERLINK("http://ms.phosphosite.org:5080/cgi-bin/plot-msms.cgi?MassType=1&amp;NumAxis=1&amp;Mod8=147&amp;Mod10=184&amp;Mod15=147&amp;Pep=MGTSPSSMARVPGPMGPNSGPSSR&amp;Dta=/var/www/html/dta/yong/23617.6671.3.dta&amp;Global_Mod=CS57.0215", "6671")</f>
        <v>6671</v>
      </c>
      <c r="N308" s="10">
        <v>34.67</v>
      </c>
      <c r="O308" s="10">
        <v>34.78</v>
      </c>
      <c r="P308" s="10">
        <v>2.6120000000000001</v>
      </c>
      <c r="Q308" s="10">
        <v>2.8330000000000002</v>
      </c>
      <c r="R308" s="10">
        <v>1.6918</v>
      </c>
      <c r="S308" s="10">
        <v>-1.5789</v>
      </c>
      <c r="T308" s="10">
        <v>6.5199999999999994E-2</v>
      </c>
      <c r="U308" s="10">
        <v>0.2011</v>
      </c>
      <c r="V308" s="7">
        <v>1</v>
      </c>
      <c r="W308" s="7">
        <v>1</v>
      </c>
      <c r="X308" s="10">
        <v>1.83</v>
      </c>
      <c r="Y308" s="10">
        <v>2.74</v>
      </c>
      <c r="Z308" s="11">
        <v>1000</v>
      </c>
      <c r="AA308" s="11">
        <v>1000</v>
      </c>
      <c r="AB308" s="7" t="s">
        <v>13</v>
      </c>
    </row>
    <row r="309" spans="1:28" s="12" customFormat="1">
      <c r="A309" s="9" t="s">
        <v>332</v>
      </c>
      <c r="B309" s="9" t="s">
        <v>333</v>
      </c>
      <c r="C309" s="9" t="s">
        <v>334</v>
      </c>
      <c r="D309" s="7">
        <v>308</v>
      </c>
      <c r="E309" s="9" t="s">
        <v>335</v>
      </c>
      <c r="F309" s="7" t="s">
        <v>1360</v>
      </c>
      <c r="G309" s="7">
        <v>51.4</v>
      </c>
      <c r="H309" s="9" t="s">
        <v>380</v>
      </c>
      <c r="I309" s="9" t="s">
        <v>386</v>
      </c>
      <c r="J309" s="7">
        <v>3</v>
      </c>
      <c r="K309" s="7">
        <v>615.62959999999998</v>
      </c>
      <c r="L309" s="7"/>
      <c r="M309" s="7" t="str">
        <f>HYPERLINK("http://ms.phosphosite.org:5080/cgi-bin/plot-msms.cgi?MassType=1&amp;NumAxis=1&amp;Mod2=147&amp;Mod4=184&amp;Mod9=147&amp;Pep=SMARVPGPMGPNSGPSSR&amp;Dta=/var/www/html/dta/yong/23617.4228.3.dta&amp;Global_Mod=CS57.0215", "4228")</f>
        <v>4228</v>
      </c>
      <c r="N309" s="10"/>
      <c r="O309" s="10">
        <v>24.66</v>
      </c>
      <c r="P309" s="10"/>
      <c r="Q309" s="10">
        <v>3.3450000000000002</v>
      </c>
      <c r="R309" s="10"/>
      <c r="S309" s="10">
        <v>0.70220000000000005</v>
      </c>
      <c r="T309" s="10"/>
      <c r="U309" s="10">
        <v>0.1237</v>
      </c>
      <c r="V309" s="7"/>
      <c r="W309" s="7">
        <v>1</v>
      </c>
      <c r="X309" s="10"/>
      <c r="Y309" s="10">
        <v>2.6</v>
      </c>
      <c r="Z309" s="11"/>
      <c r="AA309" s="11">
        <v>1000</v>
      </c>
      <c r="AB309" s="7" t="s">
        <v>13</v>
      </c>
    </row>
    <row r="310" spans="1:28" s="12" customFormat="1">
      <c r="A310" s="9" t="s">
        <v>332</v>
      </c>
      <c r="B310" s="9" t="s">
        <v>333</v>
      </c>
      <c r="C310" s="9" t="s">
        <v>334</v>
      </c>
      <c r="D310" s="7">
        <v>308</v>
      </c>
      <c r="E310" s="9" t="s">
        <v>335</v>
      </c>
      <c r="F310" s="7" t="s">
        <v>1360</v>
      </c>
      <c r="G310" s="7">
        <v>51.4</v>
      </c>
      <c r="H310" s="9" t="s">
        <v>380</v>
      </c>
      <c r="I310" s="9" t="s">
        <v>387</v>
      </c>
      <c r="J310" s="7">
        <v>3</v>
      </c>
      <c r="K310" s="7">
        <v>989.1114</v>
      </c>
      <c r="L310" s="7"/>
      <c r="M310" s="7" t="str">
        <f>HYPERLINK("http://ms.phosphosite.org:5080/cgi-bin/plot-msms.cgi?MassType=1&amp;NumAxis=1&amp;Mod7=147&amp;Mod14=147&amp;Mod16=184&amp;Mod21=147&amp;Pep=SQASGNMGTSPSSMARVPGPMGPNSGPSSR&amp;Dta=/var/www/html/dta/yong/23617.5819.3.dta&amp;Global_Mod=CS57.0215", "5819")</f>
        <v>5819</v>
      </c>
      <c r="N310" s="10"/>
      <c r="O310" s="10">
        <v>31.33</v>
      </c>
      <c r="P310" s="10"/>
      <c r="Q310" s="10">
        <v>2.8559999999999999</v>
      </c>
      <c r="R310" s="10"/>
      <c r="S310" s="10">
        <v>1.4335</v>
      </c>
      <c r="T310" s="10"/>
      <c r="U310" s="10">
        <v>0.106</v>
      </c>
      <c r="V310" s="7"/>
      <c r="W310" s="7">
        <v>28</v>
      </c>
      <c r="X310" s="10"/>
      <c r="Y310" s="10">
        <v>2.1800000000000002</v>
      </c>
      <c r="Z310" s="11"/>
      <c r="AA310" s="11">
        <v>1000</v>
      </c>
      <c r="AB310" s="7" t="s">
        <v>13</v>
      </c>
    </row>
    <row r="311" spans="1:28" s="12" customFormat="1">
      <c r="A311" s="9" t="s">
        <v>332</v>
      </c>
      <c r="B311" s="9" t="s">
        <v>333</v>
      </c>
      <c r="C311" s="9" t="s">
        <v>334</v>
      </c>
      <c r="D311" s="7" t="s">
        <v>337</v>
      </c>
      <c r="E311" s="9" t="s">
        <v>335</v>
      </c>
      <c r="F311" s="7" t="s">
        <v>1360</v>
      </c>
      <c r="G311" s="7">
        <v>51.4</v>
      </c>
      <c r="H311" s="9" t="s">
        <v>336</v>
      </c>
      <c r="I311" s="9" t="s">
        <v>338</v>
      </c>
      <c r="J311" s="7">
        <v>5</v>
      </c>
      <c r="K311" s="7">
        <v>978.13310000000001</v>
      </c>
      <c r="L311" s="7" t="str">
        <f>HYPERLINK("http://ms.phosphosite.org:5080/cgi-bin/plot-msms.cgi?MassType=1&amp;NumAxis=1&amp;Mod4=184&amp;Mod22=184&amp;Mod46=147&amp;Mod50=184&amp;Pep=SFPRPGGLLGPGPGPGPTLNPRTGALPGPGPLSNPRLGGLPGPGPMSNPR&amp;Dta=/var/www/html/dta/yong/23616.20891.5.dta&amp;Global_Mod=CS57.0215", "20891")</f>
        <v>20891</v>
      </c>
      <c r="M311" s="7"/>
      <c r="N311" s="10">
        <v>95.6</v>
      </c>
      <c r="O311" s="10"/>
      <c r="P311" s="10">
        <v>3.472</v>
      </c>
      <c r="Q311" s="10"/>
      <c r="R311" s="10">
        <v>1.5441</v>
      </c>
      <c r="S311" s="10"/>
      <c r="T311" s="10">
        <v>0.20319999999999999</v>
      </c>
      <c r="U311" s="10"/>
      <c r="V311" s="7">
        <v>1</v>
      </c>
      <c r="W311" s="7"/>
      <c r="X311" s="10">
        <v>2.4700000000000002</v>
      </c>
      <c r="Y311" s="10"/>
      <c r="Z311" s="11" t="s">
        <v>1307</v>
      </c>
      <c r="AA311" s="11"/>
      <c r="AB311" s="7" t="s">
        <v>13</v>
      </c>
    </row>
    <row r="312" spans="1:28" s="12" customFormat="1">
      <c r="A312" s="9" t="s">
        <v>332</v>
      </c>
      <c r="B312" s="9" t="s">
        <v>333</v>
      </c>
      <c r="C312" s="9" t="s">
        <v>334</v>
      </c>
      <c r="D312" s="7" t="s">
        <v>342</v>
      </c>
      <c r="E312" s="9" t="s">
        <v>335</v>
      </c>
      <c r="F312" s="7" t="s">
        <v>1360</v>
      </c>
      <c r="G312" s="7">
        <v>51.4</v>
      </c>
      <c r="H312" s="9" t="s">
        <v>343</v>
      </c>
      <c r="I312" s="9" t="s">
        <v>344</v>
      </c>
      <c r="J312" s="7">
        <v>4</v>
      </c>
      <c r="K312" s="7">
        <v>735.14239999999995</v>
      </c>
      <c r="L312" s="7" t="str">
        <f>HYPERLINK("http://ms.phosphosite.org:5080/cgi-bin/plot-msms.cgi?MassType=1&amp;NumAxis=1&amp;Mod4=184&amp;Mod14=147&amp;Mod18=184&amp;Pep=SNPRLGGLPGPGPMSNPRAGGLLGAGPDPR&amp;Dta=/var/www/html/dta/yong/23616.14052.4.dta&amp;Global_Mod=CS57.0215", "14052")</f>
        <v>14052</v>
      </c>
      <c r="M312" s="7" t="str">
        <f>HYPERLINK("http://ms.phosphosite.org:5080/cgi-bin/plot-msms.cgi?MassType=1&amp;NumAxis=1&amp;Mod4=184&amp;Mod14=147&amp;Mod18=184&amp;Pep=SNPRLGGLPGPGPMSNPRAGGLLGAGPDPR&amp;Dta=/var/www/html/dta/yong/23617.14305.4.dta&amp;Global_Mod=CS57.0215", "14305")</f>
        <v>14305</v>
      </c>
      <c r="N312" s="10">
        <v>66.569999999999993</v>
      </c>
      <c r="O312" s="10">
        <v>66.959999999999994</v>
      </c>
      <c r="P312" s="10">
        <v>3.0960000000000001</v>
      </c>
      <c r="Q312" s="10">
        <v>2.2469999999999999</v>
      </c>
      <c r="R312" s="10">
        <v>1.3332999999999999</v>
      </c>
      <c r="S312" s="10">
        <v>0.72899999999999998</v>
      </c>
      <c r="T312" s="10">
        <v>0.16520000000000001</v>
      </c>
      <c r="U312" s="10">
        <v>9.01E-2</v>
      </c>
      <c r="V312" s="7">
        <v>4</v>
      </c>
      <c r="W312" s="7">
        <v>2</v>
      </c>
      <c r="X312" s="10">
        <v>2.33</v>
      </c>
      <c r="Y312" s="10">
        <v>1.78</v>
      </c>
      <c r="Z312" s="11" t="s">
        <v>1306</v>
      </c>
      <c r="AA312" s="11" t="s">
        <v>1306</v>
      </c>
      <c r="AB312" s="7" t="s">
        <v>13</v>
      </c>
    </row>
    <row r="313" spans="1:28" s="12" customFormat="1">
      <c r="A313" s="9" t="s">
        <v>332</v>
      </c>
      <c r="B313" s="9" t="s">
        <v>333</v>
      </c>
      <c r="C313" s="9" t="s">
        <v>334</v>
      </c>
      <c r="D313" s="7" t="s">
        <v>342</v>
      </c>
      <c r="E313" s="9" t="s">
        <v>335</v>
      </c>
      <c r="F313" s="7" t="s">
        <v>1360</v>
      </c>
      <c r="G313" s="7">
        <v>51.4</v>
      </c>
      <c r="H313" s="9" t="s">
        <v>343</v>
      </c>
      <c r="I313" s="9" t="s">
        <v>344</v>
      </c>
      <c r="J313" s="7">
        <v>4</v>
      </c>
      <c r="K313" s="7">
        <v>735.14239999999995</v>
      </c>
      <c r="L313" s="7" t="str">
        <f>HYPERLINK("http://ms.phosphosite.org:5080/cgi-bin/plot-msms.cgi?MassType=1&amp;NumAxis=1&amp;Mod4=184&amp;Mod14=147&amp;Mod18=184&amp;Pep=SNPRLGGLPGPGPMSNPRAGGLLGAGPDPR&amp;Dta=/var/www/html/dta/yong/23616.14135.4.dta&amp;Global_Mod=CS57.0215", "14135")</f>
        <v>14135</v>
      </c>
      <c r="M313" s="7" t="str">
        <f>HYPERLINK("http://ms.phosphosite.org:5080/cgi-bin/plot-msms.cgi?MassType=1&amp;NumAxis=1&amp;Mod4=184&amp;Mod14=147&amp;Mod18=184&amp;Pep=SNPRLGGLPGPGPMSNPRAGGLLGAGPDPR&amp;Dta=/var/www/html/dta/yong/23617.14204.4.dta&amp;Global_Mod=CS57.0215", "14204")</f>
        <v>14204</v>
      </c>
      <c r="N313" s="10">
        <v>66.930000000000007</v>
      </c>
      <c r="O313" s="10">
        <v>66.53</v>
      </c>
      <c r="P313" s="10">
        <v>2.5550000000000002</v>
      </c>
      <c r="Q313" s="10">
        <v>3.5179999999999998</v>
      </c>
      <c r="R313" s="10">
        <v>1.3332999999999999</v>
      </c>
      <c r="S313" s="10">
        <v>0.81599999999999995</v>
      </c>
      <c r="T313" s="10">
        <v>7.9299999999999995E-2</v>
      </c>
      <c r="U313" s="10">
        <v>0.19739999999999999</v>
      </c>
      <c r="V313" s="7">
        <v>50</v>
      </c>
      <c r="W313" s="7">
        <v>2</v>
      </c>
      <c r="X313" s="10">
        <v>1.67</v>
      </c>
      <c r="Y313" s="10">
        <v>2.77</v>
      </c>
      <c r="Z313" s="11" t="s">
        <v>1306</v>
      </c>
      <c r="AA313" s="11" t="s">
        <v>1306</v>
      </c>
      <c r="AB313" s="7" t="s">
        <v>13</v>
      </c>
    </row>
    <row r="314" spans="1:28" s="12" customFormat="1">
      <c r="A314" s="9" t="s">
        <v>332</v>
      </c>
      <c r="B314" s="9" t="s">
        <v>333</v>
      </c>
      <c r="C314" s="9" t="s">
        <v>334</v>
      </c>
      <c r="D314" s="7" t="s">
        <v>342</v>
      </c>
      <c r="E314" s="9" t="s">
        <v>335</v>
      </c>
      <c r="F314" s="7" t="s">
        <v>1360</v>
      </c>
      <c r="G314" s="7">
        <v>51.4</v>
      </c>
      <c r="H314" s="9" t="s">
        <v>343</v>
      </c>
      <c r="I314" s="9" t="s">
        <v>345</v>
      </c>
      <c r="J314" s="7">
        <v>4</v>
      </c>
      <c r="K314" s="7">
        <v>950.26130000000001</v>
      </c>
      <c r="L314" s="7" t="str">
        <f>HYPERLINK("http://ms.phosphosite.org:5080/cgi-bin/plot-msms.cgi?MassType=1&amp;NumAxis=1&amp;Mod14=184&amp;Mod24=147&amp;Mod28=184&amp;Pep=TGALPGPGPLSNPRLGGLPGPGPMSNPRAGGLLGAGPDPR&amp;Dta=/var/www/html/dta/yong/23616.19050.4.dta&amp;Global_Mod=CS57.0215", "19050")</f>
        <v>19050</v>
      </c>
      <c r="M314" s="7" t="str">
        <f>HYPERLINK("http://ms.phosphosite.org:5080/cgi-bin/plot-msms.cgi?MassType=1&amp;NumAxis=1&amp;Mod14=184&amp;Mod24=147&amp;Mod28=184&amp;Pep=TGALPGPGPLSNPRLGGLPGPGPMSNPRAGGLLGAGPDPR&amp;Dta=/var/www/html/dta/yong/23617.19158.4.dta&amp;Global_Mod=CS57.0215", "19158")</f>
        <v>19158</v>
      </c>
      <c r="N314" s="10">
        <v>87.93</v>
      </c>
      <c r="O314" s="10">
        <v>87.6</v>
      </c>
      <c r="P314" s="10">
        <v>2.6240000000000001</v>
      </c>
      <c r="Q314" s="10">
        <v>2.5329999999999999</v>
      </c>
      <c r="R314" s="10">
        <v>0.96289999999999998</v>
      </c>
      <c r="S314" s="10">
        <v>1.3190999999999999</v>
      </c>
      <c r="T314" s="10">
        <v>8.8599999999999998E-2</v>
      </c>
      <c r="U314" s="10">
        <v>1.29E-2</v>
      </c>
      <c r="V314" s="7">
        <v>22</v>
      </c>
      <c r="W314" s="7">
        <v>300</v>
      </c>
      <c r="X314" s="10">
        <v>1.68</v>
      </c>
      <c r="Y314" s="10">
        <v>1.1599999999999999</v>
      </c>
      <c r="Z314" s="11" t="s">
        <v>1306</v>
      </c>
      <c r="AA314" s="11" t="s">
        <v>1306</v>
      </c>
      <c r="AB314" s="7" t="s">
        <v>13</v>
      </c>
    </row>
    <row r="315" spans="1:28" s="12" customFormat="1">
      <c r="A315" s="9" t="s">
        <v>332</v>
      </c>
      <c r="B315" s="9" t="s">
        <v>333</v>
      </c>
      <c r="C315" s="9" t="s">
        <v>334</v>
      </c>
      <c r="D315" s="7" t="s">
        <v>342</v>
      </c>
      <c r="E315" s="9" t="s">
        <v>335</v>
      </c>
      <c r="F315" s="7" t="s">
        <v>1360</v>
      </c>
      <c r="G315" s="7">
        <v>51.4</v>
      </c>
      <c r="H315" s="9" t="s">
        <v>343</v>
      </c>
      <c r="I315" s="9" t="s">
        <v>344</v>
      </c>
      <c r="J315" s="7">
        <v>4</v>
      </c>
      <c r="K315" s="7">
        <v>735.14239999999995</v>
      </c>
      <c r="L315" s="7"/>
      <c r="M315" s="7" t="str">
        <f>HYPERLINK("http://ms.phosphosite.org:5080/cgi-bin/plot-msms.cgi?MassType=1&amp;NumAxis=1&amp;Mod4=184&amp;Mod14=147&amp;Mod18=184&amp;Pep=SNPRLGGLPGPGPMSNPRAGGLLGAGPDPR&amp;Dta=/var/www/html/dta/yong/23617.14279.4.dta&amp;Global_Mod=CS57.0215", "14279")</f>
        <v>14279</v>
      </c>
      <c r="N315" s="10"/>
      <c r="O315" s="10">
        <v>66.849999999999994</v>
      </c>
      <c r="P315" s="10"/>
      <c r="Q315" s="10">
        <v>2.8029999999999999</v>
      </c>
      <c r="R315" s="10"/>
      <c r="S315" s="10">
        <v>0.87680000000000002</v>
      </c>
      <c r="T315" s="10"/>
      <c r="U315" s="10">
        <v>7.9200000000000007E-2</v>
      </c>
      <c r="V315" s="7"/>
      <c r="W315" s="7">
        <v>6</v>
      </c>
      <c r="X315" s="10"/>
      <c r="Y315" s="10">
        <v>1.88</v>
      </c>
      <c r="Z315" s="11"/>
      <c r="AA315" s="11" t="s">
        <v>1306</v>
      </c>
      <c r="AB315" s="7" t="s">
        <v>13</v>
      </c>
    </row>
    <row r="316" spans="1:28" s="12" customFormat="1">
      <c r="A316" s="3" t="s">
        <v>332</v>
      </c>
      <c r="B316" s="3" t="s">
        <v>333</v>
      </c>
      <c r="C316" s="3" t="s">
        <v>334</v>
      </c>
      <c r="D316" s="4" t="s">
        <v>348</v>
      </c>
      <c r="E316" s="3" t="s">
        <v>335</v>
      </c>
      <c r="F316" s="7" t="s">
        <v>1360</v>
      </c>
      <c r="G316" s="4">
        <v>51.4</v>
      </c>
      <c r="H316" s="3" t="s">
        <v>349</v>
      </c>
      <c r="I316" s="3" t="s">
        <v>350</v>
      </c>
      <c r="J316" s="4">
        <v>3</v>
      </c>
      <c r="K316" s="4">
        <v>981.19410000000005</v>
      </c>
      <c r="L316" s="4"/>
      <c r="M316" s="4" t="str">
        <f>HYPERLINK("http://ms.phosphosite.org:5080/cgi-bin/plot-msms.cgi?MassType=1&amp;NumAxis=1&amp;Mod12=184&amp;Mod17=147&amp;Mod26=184&amp;Pep=AGGLLGAGPDPRGGGPMGPGSGPNLRAGVLLT&amp;Dta=/var/www/html/dta/yong/23617.19447.3.dta&amp;Global_Mod=CS57.0215", "19447")</f>
        <v>19447</v>
      </c>
      <c r="N316" s="5"/>
      <c r="O316" s="5">
        <v>88.88</v>
      </c>
      <c r="P316" s="5"/>
      <c r="Q316" s="5">
        <v>2.6619999999999999</v>
      </c>
      <c r="R316" s="5"/>
      <c r="S316" s="5">
        <v>-0.71889999999999998</v>
      </c>
      <c r="T316" s="5"/>
      <c r="U316" s="5">
        <v>0.1036</v>
      </c>
      <c r="V316" s="4"/>
      <c r="W316" s="4">
        <v>1</v>
      </c>
      <c r="X316" s="5"/>
      <c r="Y316" s="5">
        <v>1.92</v>
      </c>
      <c r="Z316" s="6"/>
      <c r="AA316" s="6" t="s">
        <v>1306</v>
      </c>
      <c r="AB316" s="4" t="s">
        <v>13</v>
      </c>
    </row>
    <row r="317" spans="1:28" s="12" customFormat="1">
      <c r="A317" s="3" t="s">
        <v>332</v>
      </c>
      <c r="B317" s="3" t="s">
        <v>333</v>
      </c>
      <c r="C317" s="3" t="s">
        <v>334</v>
      </c>
      <c r="D317" s="4" t="s">
        <v>355</v>
      </c>
      <c r="E317" s="3" t="s">
        <v>335</v>
      </c>
      <c r="F317" s="7" t="s">
        <v>1360</v>
      </c>
      <c r="G317" s="4">
        <v>51.4</v>
      </c>
      <c r="H317" s="3" t="s">
        <v>356</v>
      </c>
      <c r="I317" s="3" t="s">
        <v>357</v>
      </c>
      <c r="J317" s="4">
        <v>4</v>
      </c>
      <c r="K317" s="4">
        <v>934.99720000000002</v>
      </c>
      <c r="L317" s="4"/>
      <c r="M317" s="4" t="str">
        <f>HYPERLINK("http://ms.phosphosite.org:5080/cgi-bin/plot-msms.cgi?MassType=1&amp;NumAxis=1&amp;Mod11=184&amp;Mod25=184&amp;Pep=SGFLGTNPAPRSGVFPGPGLGPNPRPSGLGPGPNLDAR&amp;Dta=/var/www/html/dta/yong/23617.19463.4.dta&amp;Global_Mod=CS57.0215", "19463")</f>
        <v>19463</v>
      </c>
      <c r="N317" s="5"/>
      <c r="O317" s="5">
        <v>88.94</v>
      </c>
      <c r="P317" s="5"/>
      <c r="Q317" s="5">
        <v>3.3180000000000001</v>
      </c>
      <c r="R317" s="5"/>
      <c r="S317" s="5">
        <v>0.4486</v>
      </c>
      <c r="T317" s="5"/>
      <c r="U317" s="5">
        <v>0.1963</v>
      </c>
      <c r="V317" s="4"/>
      <c r="W317" s="4">
        <v>3</v>
      </c>
      <c r="X317" s="5"/>
      <c r="Y317" s="5">
        <v>2.82</v>
      </c>
      <c r="Z317" s="6"/>
      <c r="AA317" s="6" t="s">
        <v>1306</v>
      </c>
      <c r="AB317" s="4" t="s">
        <v>13</v>
      </c>
    </row>
    <row r="318" spans="1:28" s="12" customFormat="1">
      <c r="A318" s="3" t="s">
        <v>332</v>
      </c>
      <c r="B318" s="3" t="s">
        <v>333</v>
      </c>
      <c r="C318" s="3" t="s">
        <v>334</v>
      </c>
      <c r="D318" s="4" t="s">
        <v>355</v>
      </c>
      <c r="E318" s="3" t="s">
        <v>335</v>
      </c>
      <c r="F318" s="7" t="s">
        <v>1360</v>
      </c>
      <c r="G318" s="4">
        <v>51.4</v>
      </c>
      <c r="H318" s="3" t="s">
        <v>356</v>
      </c>
      <c r="I318" s="3" t="s">
        <v>357</v>
      </c>
      <c r="J318" s="4">
        <v>4</v>
      </c>
      <c r="K318" s="4">
        <v>934.99720000000002</v>
      </c>
      <c r="L318" s="4"/>
      <c r="M318" s="4" t="str">
        <f>HYPERLINK("http://ms.phosphosite.org:5080/cgi-bin/plot-msms.cgi?MassType=1&amp;NumAxis=1&amp;Mod11=184&amp;Mod25=184&amp;Pep=SGFLGTNPAPRSGVFPGPGLGPNPRPSGLGPGPNLDAR&amp;Dta=/var/www/html/dta/yong/23617.19477.4.dta&amp;Global_Mod=CS57.0215", "19477")</f>
        <v>19477</v>
      </c>
      <c r="N318" s="5"/>
      <c r="O318" s="5">
        <v>89.01</v>
      </c>
      <c r="P318" s="5"/>
      <c r="Q318" s="5">
        <v>4.1470000000000002</v>
      </c>
      <c r="R318" s="5"/>
      <c r="S318" s="5">
        <v>0.4486</v>
      </c>
      <c r="T318" s="5"/>
      <c r="U318" s="5">
        <v>0.27400000000000002</v>
      </c>
      <c r="V318" s="4"/>
      <c r="W318" s="4">
        <v>1</v>
      </c>
      <c r="X318" s="5"/>
      <c r="Y318" s="5">
        <v>3.51</v>
      </c>
      <c r="Z318" s="6"/>
      <c r="AA318" s="6" t="s">
        <v>1306</v>
      </c>
      <c r="AB318" s="4" t="s">
        <v>13</v>
      </c>
    </row>
    <row r="319" spans="1:28" s="12" customFormat="1">
      <c r="A319" s="9" t="s">
        <v>332</v>
      </c>
      <c r="B319" s="9" t="s">
        <v>333</v>
      </c>
      <c r="C319" s="9" t="s">
        <v>334</v>
      </c>
      <c r="D319" s="7" t="s">
        <v>367</v>
      </c>
      <c r="E319" s="9" t="s">
        <v>335</v>
      </c>
      <c r="F319" s="7" t="s">
        <v>1360</v>
      </c>
      <c r="G319" s="7">
        <v>51.4</v>
      </c>
      <c r="H319" s="9" t="s">
        <v>368</v>
      </c>
      <c r="I319" s="9" t="s">
        <v>369</v>
      </c>
      <c r="J319" s="7">
        <v>3</v>
      </c>
      <c r="K319" s="7">
        <v>954.53920000000005</v>
      </c>
      <c r="L319" s="7" t="str">
        <f>HYPERLINK("http://ms.phosphosite.org:5080/cgi-bin/plot-msms.cgi?MassType=1&amp;NumAxis=1&amp;Mod14=184&amp;Mod15=147&amp;Mod28=184&amp;Pep=AGGLLGTGSGLNLRMAGPQGLDLAPILRA&amp;Dta=/var/www/html/dta/yong/23616.26545.3.dta&amp;Global_Mod=CS57.0215", "26545")</f>
        <v>26545</v>
      </c>
      <c r="M319" s="7" t="str">
        <f>HYPERLINK("http://ms.phosphosite.org:5080/cgi-bin/plot-msms.cgi?MassType=1&amp;NumAxis=1&amp;Mod14=184&amp;Mod15=147&amp;Mod28=184&amp;Pep=AGGLLGTGSGLNLRMAGPQGLDLAPILRA&amp;Dta=/var/www/html/dta/yong/23617.26665.3.dta&amp;Global_Mod=CS57.0215", "26665")</f>
        <v>26665</v>
      </c>
      <c r="N319" s="10">
        <v>118.71</v>
      </c>
      <c r="O319" s="10">
        <v>118.72</v>
      </c>
      <c r="P319" s="10">
        <v>5.0259999999999998</v>
      </c>
      <c r="Q319" s="10">
        <v>6.45</v>
      </c>
      <c r="R319" s="10">
        <v>1.3996999999999999</v>
      </c>
      <c r="S319" s="10">
        <v>1.3703000000000001</v>
      </c>
      <c r="T319" s="10">
        <v>0.49840000000000001</v>
      </c>
      <c r="U319" s="10">
        <v>0.55700000000000005</v>
      </c>
      <c r="V319" s="7">
        <v>1</v>
      </c>
      <c r="W319" s="7">
        <v>1</v>
      </c>
      <c r="X319" s="10">
        <v>4.7699999999999996</v>
      </c>
      <c r="Y319" s="10">
        <v>5.67</v>
      </c>
      <c r="Z319" s="11" t="s">
        <v>1306</v>
      </c>
      <c r="AA319" s="11" t="s">
        <v>1306</v>
      </c>
      <c r="AB319" s="7" t="s">
        <v>13</v>
      </c>
    </row>
    <row r="320" spans="1:28" s="12" customFormat="1">
      <c r="A320" s="9" t="s">
        <v>332</v>
      </c>
      <c r="B320" s="9" t="s">
        <v>333</v>
      </c>
      <c r="C320" s="9" t="s">
        <v>334</v>
      </c>
      <c r="D320" s="7" t="s">
        <v>367</v>
      </c>
      <c r="E320" s="9" t="s">
        <v>335</v>
      </c>
      <c r="F320" s="7" t="s">
        <v>1360</v>
      </c>
      <c r="G320" s="7">
        <v>51.4</v>
      </c>
      <c r="H320" s="9" t="s">
        <v>368</v>
      </c>
      <c r="I320" s="9" t="s">
        <v>369</v>
      </c>
      <c r="J320" s="7">
        <v>3</v>
      </c>
      <c r="K320" s="7">
        <v>954.53920000000005</v>
      </c>
      <c r="L320" s="7" t="str">
        <f>HYPERLINK("http://ms.phosphosite.org:5080/cgi-bin/plot-msms.cgi?MassType=1&amp;NumAxis=1&amp;Mod14=184&amp;Mod15=147&amp;Mod28=184&amp;Pep=AGGLLGTGSGLNLRMAGPQGLDLAPILRA&amp;Dta=/var/www/html/dta/yong/23616.26561.3.dta&amp;Global_Mod=CS57.0215", "26561")</f>
        <v>26561</v>
      </c>
      <c r="M320" s="7"/>
      <c r="N320" s="10">
        <v>118.78</v>
      </c>
      <c r="O320" s="10"/>
      <c r="P320" s="10">
        <v>5.6159999999999997</v>
      </c>
      <c r="Q320" s="10"/>
      <c r="R320" s="10">
        <v>1.3367</v>
      </c>
      <c r="S320" s="10"/>
      <c r="T320" s="10">
        <v>0.51700000000000002</v>
      </c>
      <c r="U320" s="10"/>
      <c r="V320" s="7">
        <v>1</v>
      </c>
      <c r="W320" s="7"/>
      <c r="X320" s="10">
        <v>5.05</v>
      </c>
      <c r="Y320" s="10"/>
      <c r="Z320" s="11" t="s">
        <v>1306</v>
      </c>
      <c r="AA320" s="11"/>
      <c r="AB320" s="7" t="s">
        <v>13</v>
      </c>
    </row>
    <row r="321" spans="1:28" s="12" customFormat="1">
      <c r="A321" s="9" t="s">
        <v>332</v>
      </c>
      <c r="B321" s="9" t="s">
        <v>333</v>
      </c>
      <c r="C321" s="9" t="s">
        <v>334</v>
      </c>
      <c r="D321" s="7" t="s">
        <v>367</v>
      </c>
      <c r="E321" s="9" t="s">
        <v>335</v>
      </c>
      <c r="F321" s="7" t="s">
        <v>1360</v>
      </c>
      <c r="G321" s="7">
        <v>51.4</v>
      </c>
      <c r="H321" s="9" t="s">
        <v>368</v>
      </c>
      <c r="I321" s="9" t="s">
        <v>371</v>
      </c>
      <c r="J321" s="7">
        <v>3</v>
      </c>
      <c r="K321" s="7">
        <v>997.22540000000004</v>
      </c>
      <c r="L321" s="7" t="str">
        <f>HYPERLINK("http://ms.phosphosite.org:5080/cgi-bin/plot-msms.cgi?MassType=1&amp;NumAxis=1&amp;Mod14=184&amp;Mod15=147&amp;Mod28=184&amp;Pep=AGGLLGTGSGLNLRMAGPQGLDLAPILRAAG&amp;Dta=/var/www/html/dta/yong/23616.27022.3.dta&amp;Global_Mod=CS57.0215", "27022")</f>
        <v>27022</v>
      </c>
      <c r="M321" s="7"/>
      <c r="N321" s="10">
        <v>120.79</v>
      </c>
      <c r="O321" s="10"/>
      <c r="P321" s="10">
        <v>5.7359999999999998</v>
      </c>
      <c r="Q321" s="10"/>
      <c r="R321" s="10">
        <v>0.98089999999999999</v>
      </c>
      <c r="S321" s="10"/>
      <c r="T321" s="10">
        <v>0.4859</v>
      </c>
      <c r="U321" s="10"/>
      <c r="V321" s="7">
        <v>1</v>
      </c>
      <c r="W321" s="7"/>
      <c r="X321" s="10">
        <v>4.91</v>
      </c>
      <c r="Y321" s="10"/>
      <c r="Z321" s="11" t="s">
        <v>1306</v>
      </c>
      <c r="AA321" s="11"/>
      <c r="AB321" s="7" t="s">
        <v>13</v>
      </c>
    </row>
    <row r="322" spans="1:28" s="12" customFormat="1">
      <c r="A322" s="9" t="s">
        <v>332</v>
      </c>
      <c r="B322" s="9" t="s">
        <v>333</v>
      </c>
      <c r="C322" s="9" t="s">
        <v>334</v>
      </c>
      <c r="D322" s="7" t="s">
        <v>367</v>
      </c>
      <c r="E322" s="9" t="s">
        <v>335</v>
      </c>
      <c r="F322" s="7" t="s">
        <v>1360</v>
      </c>
      <c r="G322" s="7">
        <v>51.4</v>
      </c>
      <c r="H322" s="9" t="s">
        <v>368</v>
      </c>
      <c r="I322" s="9" t="s">
        <v>370</v>
      </c>
      <c r="J322" s="7">
        <v>3</v>
      </c>
      <c r="K322" s="7">
        <v>978.21820000000002</v>
      </c>
      <c r="L322" s="7" t="str">
        <f>HYPERLINK("http://ms.phosphosite.org:5080/cgi-bin/plot-msms.cgi?MassType=1&amp;NumAxis=1&amp;Mod14=184&amp;Mod15=147&amp;Mod28=184&amp;Pep=AGGLLGTGSGLNLRMAGPQGLDLAPILRAA&amp;Dta=/var/www/html/dta/yong/23616.27099.3.dta&amp;Global_Mod=CS57.0215", "27099")</f>
        <v>27099</v>
      </c>
      <c r="M322" s="7" t="str">
        <f>HYPERLINK("http://ms.phosphosite.org:5080/cgi-bin/plot-msms.cgi?MassType=1&amp;NumAxis=1&amp;Mod14=184&amp;Mod15=147&amp;Mod28=184&amp;Pep=AGGLLGTGSGLNLRMAGPQGLDLAPILRAA&amp;Dta=/var/www/html/dta/yong/23617.27200.3.dta&amp;Global_Mod=CS57.0215", "27200")</f>
        <v>27200</v>
      </c>
      <c r="N322" s="10">
        <v>121.16</v>
      </c>
      <c r="O322" s="10">
        <v>121.17</v>
      </c>
      <c r="P322" s="10">
        <v>5.827</v>
      </c>
      <c r="Q322" s="10">
        <v>6.0220000000000002</v>
      </c>
      <c r="R322" s="10">
        <v>1.3573999999999999</v>
      </c>
      <c r="S322" s="10">
        <v>1.3224</v>
      </c>
      <c r="T322" s="10">
        <v>0.49930000000000002</v>
      </c>
      <c r="U322" s="10">
        <v>0.52370000000000005</v>
      </c>
      <c r="V322" s="7">
        <v>1</v>
      </c>
      <c r="W322" s="7">
        <v>1</v>
      </c>
      <c r="X322" s="10">
        <v>5</v>
      </c>
      <c r="Y322" s="10">
        <v>5.34</v>
      </c>
      <c r="Z322" s="11" t="s">
        <v>1306</v>
      </c>
      <c r="AA322" s="11" t="s">
        <v>1306</v>
      </c>
      <c r="AB322" s="7" t="s">
        <v>13</v>
      </c>
    </row>
    <row r="323" spans="1:28" s="12" customFormat="1">
      <c r="A323" s="9" t="s">
        <v>332</v>
      </c>
      <c r="B323" s="9" t="s">
        <v>333</v>
      </c>
      <c r="C323" s="9" t="s">
        <v>334</v>
      </c>
      <c r="D323" s="7" t="s">
        <v>367</v>
      </c>
      <c r="E323" s="9" t="s">
        <v>335</v>
      </c>
      <c r="F323" s="7" t="s">
        <v>1360</v>
      </c>
      <c r="G323" s="7">
        <v>51.4</v>
      </c>
      <c r="H323" s="9" t="s">
        <v>368</v>
      </c>
      <c r="I323" s="9" t="s">
        <v>370</v>
      </c>
      <c r="J323" s="7">
        <v>4</v>
      </c>
      <c r="K323" s="7">
        <v>733.91549999999995</v>
      </c>
      <c r="L323" s="7" t="str">
        <f>HYPERLINK("http://ms.phosphosite.org:5080/cgi-bin/plot-msms.cgi?MassType=1&amp;NumAxis=1&amp;Mod14=184&amp;Mod15=147&amp;Mod28=184&amp;Pep=AGGLLGTGSGLNLRMAGPQGLDLAPILRAA&amp;Dta=/var/www/html/dta/yong/23616.27127.4.dta&amp;Global_Mod=CS57.0215", "27127")</f>
        <v>27127</v>
      </c>
      <c r="M323" s="7"/>
      <c r="N323" s="10">
        <v>121.29</v>
      </c>
      <c r="O323" s="10"/>
      <c r="P323" s="10">
        <v>3.2429999999999999</v>
      </c>
      <c r="Q323" s="10"/>
      <c r="R323" s="10">
        <v>1.2196</v>
      </c>
      <c r="S323" s="10"/>
      <c r="T323" s="10">
        <v>0.15160000000000001</v>
      </c>
      <c r="U323" s="10"/>
      <c r="V323" s="7">
        <v>1</v>
      </c>
      <c r="W323" s="7"/>
      <c r="X323" s="10">
        <v>2.31</v>
      </c>
      <c r="Y323" s="10"/>
      <c r="Z323" s="11" t="s">
        <v>1306</v>
      </c>
      <c r="AA323" s="11"/>
      <c r="AB323" s="7" t="s">
        <v>13</v>
      </c>
    </row>
    <row r="324" spans="1:28" s="12" customFormat="1">
      <c r="A324" s="9" t="s">
        <v>332</v>
      </c>
      <c r="B324" s="9" t="s">
        <v>333</v>
      </c>
      <c r="C324" s="9" t="s">
        <v>334</v>
      </c>
      <c r="D324" s="7" t="s">
        <v>367</v>
      </c>
      <c r="E324" s="9" t="s">
        <v>335</v>
      </c>
      <c r="F324" s="7" t="s">
        <v>1360</v>
      </c>
      <c r="G324" s="7">
        <v>51.4</v>
      </c>
      <c r="H324" s="9" t="s">
        <v>368</v>
      </c>
      <c r="I324" s="9" t="s">
        <v>375</v>
      </c>
      <c r="J324" s="7">
        <v>3</v>
      </c>
      <c r="K324" s="7">
        <v>1206.0050000000001</v>
      </c>
      <c r="L324" s="7" t="str">
        <f>HYPERLINK("http://ms.phosphosite.org:5080/cgi-bin/plot-msms.cgi?MassType=1&amp;NumAxis=1&amp;Mod14=184&amp;Mod15=147&amp;Mod28=184&amp;Pep=AGGLLGTGSGLNLRMAGPQGLDLAPILRAAGLLGANSA&amp;Dta=/var/www/html/dta/yong/23616.32678.3.dta&amp;Global_Mod=CS57.0215", "32678")</f>
        <v>32678</v>
      </c>
      <c r="M324" s="7" t="str">
        <f>HYPERLINK("http://ms.phosphosite.org:5080/cgi-bin/plot-msms.cgi?MassType=1&amp;NumAxis=1&amp;Mod14=184&amp;Mod15=147&amp;Mod28=184&amp;Pep=AGGLLGTGSGLNLRMAGPQGLDLAPILRAAGLLGANSA&amp;Dta=/var/www/html/dta/yong/23617.32756.3.dta&amp;Global_Mod=CS57.0215", "32756")</f>
        <v>32756</v>
      </c>
      <c r="N324" s="10">
        <v>147.63999999999999</v>
      </c>
      <c r="O324" s="10">
        <v>147.93</v>
      </c>
      <c r="P324" s="10">
        <v>6.4240000000000004</v>
      </c>
      <c r="Q324" s="10">
        <v>5.9859999999999998</v>
      </c>
      <c r="R324" s="10">
        <v>0.76019999999999999</v>
      </c>
      <c r="S324" s="10">
        <v>1.0724</v>
      </c>
      <c r="T324" s="10">
        <v>0.52910000000000001</v>
      </c>
      <c r="U324" s="10">
        <v>0.51829999999999998</v>
      </c>
      <c r="V324" s="7">
        <v>1</v>
      </c>
      <c r="W324" s="7">
        <v>1</v>
      </c>
      <c r="X324" s="10">
        <v>5.29</v>
      </c>
      <c r="Y324" s="10">
        <v>5.23</v>
      </c>
      <c r="Z324" s="11" t="s">
        <v>1306</v>
      </c>
      <c r="AA324" s="11" t="s">
        <v>1306</v>
      </c>
      <c r="AB324" s="7" t="s">
        <v>13</v>
      </c>
    </row>
    <row r="325" spans="1:28" s="12" customFormat="1">
      <c r="A325" s="9" t="s">
        <v>332</v>
      </c>
      <c r="B325" s="9" t="s">
        <v>333</v>
      </c>
      <c r="C325" s="9" t="s">
        <v>334</v>
      </c>
      <c r="D325" s="7" t="s">
        <v>367</v>
      </c>
      <c r="E325" s="9" t="s">
        <v>335</v>
      </c>
      <c r="F325" s="7" t="s">
        <v>1360</v>
      </c>
      <c r="G325" s="7">
        <v>51.4</v>
      </c>
      <c r="H325" s="9" t="s">
        <v>368</v>
      </c>
      <c r="I325" s="9" t="s">
        <v>375</v>
      </c>
      <c r="J325" s="7">
        <v>4</v>
      </c>
      <c r="K325" s="7">
        <v>904.75549999999998</v>
      </c>
      <c r="L325" s="7" t="str">
        <f>HYPERLINK("http://ms.phosphosite.org:5080/cgi-bin/plot-msms.cgi?MassType=1&amp;NumAxis=1&amp;Mod14=184&amp;Mod15=147&amp;Mod28=184&amp;Pep=AGGLLGTGSGLNLRMAGPQGLDLAPILRAAGLLGANSA&amp;Dta=/var/www/html/dta/yong/23616.32685.4.dta&amp;Global_Mod=CS57.0215", "32685")</f>
        <v>32685</v>
      </c>
      <c r="M325" s="7" t="str">
        <f>HYPERLINK("http://ms.phosphosite.org:5080/cgi-bin/plot-msms.cgi?MassType=1&amp;NumAxis=1&amp;Mod14=184&amp;Mod15=147&amp;Mod28=184&amp;Pep=AGGLLGTGSGLNLRMAGPQGLDLAPILRAAGLLGANSA&amp;Dta=/var/www/html/dta/yong/23617.32692.4.dta&amp;Global_Mod=CS57.0215", "32692")</f>
        <v>32692</v>
      </c>
      <c r="N325" s="10">
        <v>147.68</v>
      </c>
      <c r="O325" s="10">
        <v>147.61000000000001</v>
      </c>
      <c r="P325" s="10">
        <v>3.786</v>
      </c>
      <c r="Q325" s="10">
        <v>3.0990000000000002</v>
      </c>
      <c r="R325" s="10">
        <v>1.7976000000000001</v>
      </c>
      <c r="S325" s="10">
        <v>1.0993999999999999</v>
      </c>
      <c r="T325" s="10">
        <v>0.31040000000000001</v>
      </c>
      <c r="U325" s="10">
        <v>0.1186</v>
      </c>
      <c r="V325" s="7">
        <v>5</v>
      </c>
      <c r="W325" s="7">
        <v>13</v>
      </c>
      <c r="X325" s="10">
        <v>3.26</v>
      </c>
      <c r="Y325" s="10">
        <v>2.1</v>
      </c>
      <c r="Z325" s="11" t="s">
        <v>1306</v>
      </c>
      <c r="AA325" s="11" t="s">
        <v>1306</v>
      </c>
      <c r="AB325" s="7" t="s">
        <v>13</v>
      </c>
    </row>
    <row r="326" spans="1:28" s="12" customFormat="1">
      <c r="A326" s="9" t="s">
        <v>332</v>
      </c>
      <c r="B326" s="9" t="s">
        <v>333</v>
      </c>
      <c r="C326" s="9" t="s">
        <v>334</v>
      </c>
      <c r="D326" s="7" t="s">
        <v>367</v>
      </c>
      <c r="E326" s="9" t="s">
        <v>335</v>
      </c>
      <c r="F326" s="7" t="s">
        <v>1360</v>
      </c>
      <c r="G326" s="7">
        <v>51.4</v>
      </c>
      <c r="H326" s="9" t="s">
        <v>368</v>
      </c>
      <c r="I326" s="9" t="s">
        <v>375</v>
      </c>
      <c r="J326" s="7">
        <v>3</v>
      </c>
      <c r="K326" s="7">
        <v>1206.0050000000001</v>
      </c>
      <c r="L326" s="7" t="str">
        <f>HYPERLINK("http://ms.phosphosite.org:5080/cgi-bin/plot-msms.cgi?MassType=1&amp;NumAxis=1&amp;Mod14=184&amp;Mod15=147&amp;Mod28=184&amp;Pep=AGGLLGTGSGLNLRMAGPQGLDLAPILRAAGLLGANSA&amp;Dta=/var/www/html/dta/yong/23616.32687.3.dta&amp;Global_Mod=CS57.0215", "32687")</f>
        <v>32687</v>
      </c>
      <c r="M326" s="7" t="str">
        <f>HYPERLINK("http://ms.phosphosite.org:5080/cgi-bin/plot-msms.cgi?MassType=1&amp;NumAxis=1&amp;Mod14=184&amp;Mod15=147&amp;Mod28=184&amp;Pep=AGGLLGTGSGLNLRMAGPQGLDLAPILRAAGLLGANSA&amp;Dta=/var/www/html/dta/yong/23617.32718.3.dta&amp;Global_Mod=CS57.0215", "32718")</f>
        <v>32718</v>
      </c>
      <c r="N326" s="10">
        <v>147.68</v>
      </c>
      <c r="O326" s="10">
        <v>147.74</v>
      </c>
      <c r="P326" s="10">
        <v>6.5860000000000003</v>
      </c>
      <c r="Q326" s="10">
        <v>6.4939999999999998</v>
      </c>
      <c r="R326" s="10">
        <v>0.79259999999999997</v>
      </c>
      <c r="S326" s="10">
        <v>0.93159999999999998</v>
      </c>
      <c r="T326" s="10">
        <v>0.56189999999999996</v>
      </c>
      <c r="U326" s="10">
        <v>0.52900000000000003</v>
      </c>
      <c r="V326" s="7">
        <v>1</v>
      </c>
      <c r="W326" s="7">
        <v>1</v>
      </c>
      <c r="X326" s="10">
        <v>5.52</v>
      </c>
      <c r="Y326" s="10">
        <v>5.46</v>
      </c>
      <c r="Z326" s="11" t="s">
        <v>1306</v>
      </c>
      <c r="AA326" s="11" t="s">
        <v>1306</v>
      </c>
      <c r="AB326" s="7" t="s">
        <v>13</v>
      </c>
    </row>
    <row r="327" spans="1:28" s="12" customFormat="1">
      <c r="A327" s="9" t="s">
        <v>332</v>
      </c>
      <c r="B327" s="9" t="s">
        <v>333</v>
      </c>
      <c r="C327" s="9" t="s">
        <v>334</v>
      </c>
      <c r="D327" s="7" t="s">
        <v>367</v>
      </c>
      <c r="E327" s="9" t="s">
        <v>335</v>
      </c>
      <c r="F327" s="7" t="s">
        <v>1360</v>
      </c>
      <c r="G327" s="7">
        <v>51.4</v>
      </c>
      <c r="H327" s="9" t="s">
        <v>368</v>
      </c>
      <c r="I327" s="9" t="s">
        <v>375</v>
      </c>
      <c r="J327" s="7">
        <v>3</v>
      </c>
      <c r="K327" s="7">
        <v>1206.0050000000001</v>
      </c>
      <c r="L327" s="7" t="str">
        <f>HYPERLINK("http://ms.phosphosite.org:5080/cgi-bin/plot-msms.cgi?MassType=1&amp;NumAxis=1&amp;Mod14=184&amp;Mod15=147&amp;Mod28=184&amp;Pep=AGGLLGTGSGLNLRMAGPQGLDLAPILRAAGLLGANSA&amp;Dta=/var/www/html/dta/yong/23616.32694.3.dta&amp;Global_Mod=CS57.0215", "32694")</f>
        <v>32694</v>
      </c>
      <c r="M327" s="7" t="str">
        <f>HYPERLINK("http://ms.phosphosite.org:5080/cgi-bin/plot-msms.cgi?MassType=1&amp;NumAxis=1&amp;Mod14=184&amp;Mod15=147&amp;Mod28=184&amp;Pep=AGGLLGTGSGLNLRMAGPQGLDLAPILRAAGLLGANSA&amp;Dta=/var/www/html/dta/yong/23617.32770.3.dta&amp;Global_Mod=CS57.0215", "32770")</f>
        <v>32770</v>
      </c>
      <c r="N327" s="10">
        <v>147.72</v>
      </c>
      <c r="O327" s="10">
        <v>148</v>
      </c>
      <c r="P327" s="10">
        <v>7.0209999999999999</v>
      </c>
      <c r="Q327" s="10">
        <v>4.9370000000000003</v>
      </c>
      <c r="R327" s="10">
        <v>0.40870000000000001</v>
      </c>
      <c r="S327" s="10">
        <v>1.474</v>
      </c>
      <c r="T327" s="10">
        <v>0.51919999999999999</v>
      </c>
      <c r="U327" s="10">
        <v>0.37080000000000002</v>
      </c>
      <c r="V327" s="7">
        <v>1</v>
      </c>
      <c r="W327" s="7">
        <v>1</v>
      </c>
      <c r="X327" s="10">
        <v>5.42</v>
      </c>
      <c r="Y327" s="10">
        <v>4.0599999999999996</v>
      </c>
      <c r="Z327" s="11" t="s">
        <v>1306</v>
      </c>
      <c r="AA327" s="11" t="s">
        <v>1306</v>
      </c>
      <c r="AB327" s="7" t="s">
        <v>13</v>
      </c>
    </row>
    <row r="328" spans="1:28" s="12" customFormat="1">
      <c r="A328" s="9" t="s">
        <v>332</v>
      </c>
      <c r="B328" s="9" t="s">
        <v>333</v>
      </c>
      <c r="C328" s="9" t="s">
        <v>334</v>
      </c>
      <c r="D328" s="7" t="s">
        <v>367</v>
      </c>
      <c r="E328" s="9" t="s">
        <v>335</v>
      </c>
      <c r="F328" s="7" t="s">
        <v>1360</v>
      </c>
      <c r="G328" s="7">
        <v>51.4</v>
      </c>
      <c r="H328" s="9" t="s">
        <v>368</v>
      </c>
      <c r="I328" s="9" t="s">
        <v>374</v>
      </c>
      <c r="J328" s="7">
        <v>4</v>
      </c>
      <c r="K328" s="7">
        <v>865.23829999999998</v>
      </c>
      <c r="L328" s="7" t="str">
        <f>HYPERLINK("http://ms.phosphosite.org:5080/cgi-bin/plot-msms.cgi?MassType=1&amp;NumAxis=1&amp;Mod14=184&amp;Mod15=147&amp;Mod28=184&amp;Pep=AGGLLGTGSGLNLRMAGPQGLDLAPILRAAGLLGAN&amp;Dta=/var/www/html/dta/yong/23616.32800.4.dta&amp;Global_Mod=CS57.0215", "32800")</f>
        <v>32800</v>
      </c>
      <c r="M328" s="7" t="str">
        <f>HYPERLINK("http://ms.phosphosite.org:5080/cgi-bin/plot-msms.cgi?MassType=1&amp;NumAxis=1&amp;Mod14=184&amp;Mod15=147&amp;Mod28=184&amp;Pep=AGGLLGTGSGLNLRMAGPQGLDLAPILRAAGLLGAN&amp;Dta=/var/www/html/dta/yong/23617.32851.4.dta&amp;Global_Mod=CS57.0215", "32851")</f>
        <v>32851</v>
      </c>
      <c r="N328" s="10">
        <v>148.25</v>
      </c>
      <c r="O328" s="10">
        <v>148.41</v>
      </c>
      <c r="P328" s="10">
        <v>2.407</v>
      </c>
      <c r="Q328" s="10">
        <v>3.895</v>
      </c>
      <c r="R328" s="10">
        <v>1.1662999999999999</v>
      </c>
      <c r="S328" s="10">
        <v>1.2195</v>
      </c>
      <c r="T328" s="10">
        <v>3.4000000000000002E-2</v>
      </c>
      <c r="U328" s="10">
        <v>0.23930000000000001</v>
      </c>
      <c r="V328" s="7">
        <v>15</v>
      </c>
      <c r="W328" s="7">
        <v>38</v>
      </c>
      <c r="X328" s="10">
        <v>1.34</v>
      </c>
      <c r="Y328" s="10">
        <v>3.03</v>
      </c>
      <c r="Z328" s="11" t="s">
        <v>1306</v>
      </c>
      <c r="AA328" s="11" t="s">
        <v>1306</v>
      </c>
      <c r="AB328" s="7" t="s">
        <v>13</v>
      </c>
    </row>
    <row r="329" spans="1:28" s="12" customFormat="1">
      <c r="A329" s="9" t="s">
        <v>332</v>
      </c>
      <c r="B329" s="9" t="s">
        <v>333</v>
      </c>
      <c r="C329" s="9" t="s">
        <v>334</v>
      </c>
      <c r="D329" s="7" t="s">
        <v>367</v>
      </c>
      <c r="E329" s="9" t="s">
        <v>335</v>
      </c>
      <c r="F329" s="7" t="s">
        <v>1360</v>
      </c>
      <c r="G329" s="7">
        <v>51.4</v>
      </c>
      <c r="H329" s="9" t="s">
        <v>368</v>
      </c>
      <c r="I329" s="9" t="s">
        <v>379</v>
      </c>
      <c r="J329" s="7">
        <v>4</v>
      </c>
      <c r="K329" s="7">
        <v>1099.3367000000001</v>
      </c>
      <c r="L329" s="7" t="str">
        <f>HYPERLINK("http://ms.phosphosite.org:5080/cgi-bin/plot-msms.cgi?MassType=1&amp;NumAxis=1&amp;Mod14=184&amp;Mod15=147&amp;Mod28=184&amp;Pep=AGGLLGTGSGLNLRMAGPQGLDLAPILRAAGLLGANSASFSQASGN&amp;Dta=/var/www/html/dta/yong/23616.32805.4.dta&amp;Global_Mod=CS57.0215", "32805")</f>
        <v>32805</v>
      </c>
      <c r="M329" s="7" t="str">
        <f>HYPERLINK("http://ms.phosphosite.org:5080/cgi-bin/plot-msms.cgi?MassType=1&amp;NumAxis=1&amp;Mod14=184&amp;Mod15=147&amp;Mod28=184&amp;Pep=AGGLLGTGSGLNLRMAGPQGLDLAPILRAAGLLGANSASFSQASGN&amp;Dta=/var/www/html/dta/yong/23617.32940.4.dta&amp;Global_Mod=CS57.0215", "32940")</f>
        <v>32940</v>
      </c>
      <c r="N329" s="10">
        <v>148.28</v>
      </c>
      <c r="O329" s="10">
        <v>148.86000000000001</v>
      </c>
      <c r="P329" s="10">
        <v>4.173</v>
      </c>
      <c r="Q329" s="10">
        <v>4.3209999999999997</v>
      </c>
      <c r="R329" s="10">
        <v>1.6103000000000001</v>
      </c>
      <c r="S329" s="10">
        <v>0.84589999999999999</v>
      </c>
      <c r="T329" s="10">
        <v>0.28789999999999999</v>
      </c>
      <c r="U329" s="10">
        <v>0.24299999999999999</v>
      </c>
      <c r="V329" s="7">
        <v>1</v>
      </c>
      <c r="W329" s="7">
        <v>1</v>
      </c>
      <c r="X329" s="10">
        <v>3.17</v>
      </c>
      <c r="Y329" s="10">
        <v>3.11</v>
      </c>
      <c r="Z329" s="11" t="s">
        <v>1306</v>
      </c>
      <c r="AA329" s="11" t="s">
        <v>1306</v>
      </c>
      <c r="AB329" s="7" t="s">
        <v>13</v>
      </c>
    </row>
    <row r="330" spans="1:28" s="12" customFormat="1">
      <c r="A330" s="9" t="s">
        <v>332</v>
      </c>
      <c r="B330" s="9" t="s">
        <v>333</v>
      </c>
      <c r="C330" s="9" t="s">
        <v>334</v>
      </c>
      <c r="D330" s="7" t="s">
        <v>367</v>
      </c>
      <c r="E330" s="9" t="s">
        <v>335</v>
      </c>
      <c r="F330" s="7" t="s">
        <v>1360</v>
      </c>
      <c r="G330" s="7">
        <v>51.4</v>
      </c>
      <c r="H330" s="9" t="s">
        <v>368</v>
      </c>
      <c r="I330" s="9" t="s">
        <v>374</v>
      </c>
      <c r="J330" s="7">
        <v>3</v>
      </c>
      <c r="K330" s="7">
        <v>1153.3152</v>
      </c>
      <c r="L330" s="7" t="str">
        <f>HYPERLINK("http://ms.phosphosite.org:5080/cgi-bin/plot-msms.cgi?MassType=1&amp;NumAxis=1&amp;Mod14=184&amp;Mod15=147&amp;Mod28=184&amp;Pep=AGGLLGTGSGLNLRMAGPQGLDLAPILRAAGLLGAN&amp;Dta=/var/www/html/dta/yong/23616.32806.3.dta&amp;Global_Mod=CS57.0215", "32806")</f>
        <v>32806</v>
      </c>
      <c r="M330" s="7" t="str">
        <f>HYPERLINK("http://ms.phosphosite.org:5080/cgi-bin/plot-msms.cgi?MassType=1&amp;NumAxis=1&amp;Mod14=184&amp;Mod15=147&amp;Mod28=184&amp;Pep=AGGLLGTGSGLNLRMAGPQGLDLAPILRAAGLLGAN&amp;Dta=/var/www/html/dta/yong/23617.32840.3.dta&amp;Global_Mod=CS57.0215", "32840")</f>
        <v>32840</v>
      </c>
      <c r="N330" s="10">
        <v>148.28</v>
      </c>
      <c r="O330" s="10">
        <v>148.35</v>
      </c>
      <c r="P330" s="10">
        <v>4.6100000000000003</v>
      </c>
      <c r="Q330" s="10">
        <v>6.1870000000000003</v>
      </c>
      <c r="R330" s="10">
        <v>1.5824</v>
      </c>
      <c r="S330" s="10">
        <v>1.2114</v>
      </c>
      <c r="T330" s="10">
        <v>0.47489999999999999</v>
      </c>
      <c r="U330" s="10">
        <v>0.49619999999999997</v>
      </c>
      <c r="V330" s="7">
        <v>1</v>
      </c>
      <c r="W330" s="7">
        <v>1</v>
      </c>
      <c r="X330" s="10">
        <v>4.4400000000000004</v>
      </c>
      <c r="Y330" s="10">
        <v>5.18</v>
      </c>
      <c r="Z330" s="11" t="s">
        <v>1306</v>
      </c>
      <c r="AA330" s="11" t="s">
        <v>1306</v>
      </c>
      <c r="AB330" s="7" t="s">
        <v>13</v>
      </c>
    </row>
    <row r="331" spans="1:28" s="12" customFormat="1">
      <c r="A331" s="9" t="s">
        <v>332</v>
      </c>
      <c r="B331" s="9" t="s">
        <v>333</v>
      </c>
      <c r="C331" s="9" t="s">
        <v>334</v>
      </c>
      <c r="D331" s="7" t="s">
        <v>367</v>
      </c>
      <c r="E331" s="9" t="s">
        <v>335</v>
      </c>
      <c r="F331" s="7" t="s">
        <v>1360</v>
      </c>
      <c r="G331" s="7">
        <v>51.4</v>
      </c>
      <c r="H331" s="9" t="s">
        <v>368</v>
      </c>
      <c r="I331" s="9" t="s">
        <v>374</v>
      </c>
      <c r="J331" s="7">
        <v>3</v>
      </c>
      <c r="K331" s="7">
        <v>1153.3152</v>
      </c>
      <c r="L331" s="7" t="str">
        <f>HYPERLINK("http://ms.phosphosite.org:5080/cgi-bin/plot-msms.cgi?MassType=1&amp;NumAxis=1&amp;Mod14=184&amp;Mod15=147&amp;Mod28=184&amp;Pep=AGGLLGTGSGLNLRMAGPQGLDLAPILRAAGLLGAN&amp;Dta=/var/www/html/dta/yong/23616.32824.3.dta&amp;Global_Mod=CS57.0215", "32824")</f>
        <v>32824</v>
      </c>
      <c r="M331" s="7" t="str">
        <f>HYPERLINK("http://ms.phosphosite.org:5080/cgi-bin/plot-msms.cgi?MassType=1&amp;NumAxis=1&amp;Mod14=184&amp;Mod15=147&amp;Mod28=184&amp;Pep=AGGLLGTGSGLNLRMAGPQGLDLAPILRAAGLLGAN&amp;Dta=/var/www/html/dta/yong/23617.32858.3.dta&amp;Global_Mod=CS57.0215", "32858")</f>
        <v>32858</v>
      </c>
      <c r="N331" s="10">
        <v>148.37</v>
      </c>
      <c r="O331" s="10">
        <v>148.44999999999999</v>
      </c>
      <c r="P331" s="10">
        <v>6.1050000000000004</v>
      </c>
      <c r="Q331" s="10">
        <v>6.1859999999999999</v>
      </c>
      <c r="R331" s="10">
        <v>1.5497000000000001</v>
      </c>
      <c r="S331" s="10">
        <v>1.3194999999999999</v>
      </c>
      <c r="T331" s="10">
        <v>0.50549999999999995</v>
      </c>
      <c r="U331" s="10">
        <v>0.50439999999999996</v>
      </c>
      <c r="V331" s="7">
        <v>1</v>
      </c>
      <c r="W331" s="7">
        <v>1</v>
      </c>
      <c r="X331" s="10">
        <v>5.05</v>
      </c>
      <c r="Y331" s="10">
        <v>5.22</v>
      </c>
      <c r="Z331" s="11" t="s">
        <v>1306</v>
      </c>
      <c r="AA331" s="11" t="s">
        <v>1306</v>
      </c>
      <c r="AB331" s="7" t="s">
        <v>13</v>
      </c>
    </row>
    <row r="332" spans="1:28">
      <c r="A332" s="9" t="s">
        <v>332</v>
      </c>
      <c r="B332" s="9" t="s">
        <v>333</v>
      </c>
      <c r="C332" s="9" t="s">
        <v>334</v>
      </c>
      <c r="D332" s="7" t="s">
        <v>367</v>
      </c>
      <c r="E332" s="9" t="s">
        <v>335</v>
      </c>
      <c r="F332" s="7" t="s">
        <v>1360</v>
      </c>
      <c r="G332" s="7">
        <v>51.4</v>
      </c>
      <c r="H332" s="9" t="s">
        <v>368</v>
      </c>
      <c r="I332" s="9" t="s">
        <v>379</v>
      </c>
      <c r="J332" s="7">
        <v>4</v>
      </c>
      <c r="K332" s="7">
        <v>1099.3367000000001</v>
      </c>
      <c r="L332" s="7" t="str">
        <f>HYPERLINK("http://ms.phosphosite.org:5080/cgi-bin/plot-msms.cgi?MassType=1&amp;NumAxis=1&amp;Mod14=184&amp;Mod15=147&amp;Mod28=184&amp;Pep=AGGLLGTGSGLNLRMAGPQGLDLAPILRAAGLLGANSASFSQASGN&amp;Dta=/var/www/html/dta/yong/23616.32827.4.dta&amp;Global_Mod=CS57.0215", "32827")</f>
        <v>32827</v>
      </c>
      <c r="M332" s="7" t="str">
        <f>HYPERLINK("http://ms.phosphosite.org:5080/cgi-bin/plot-msms.cgi?MassType=1&amp;NumAxis=1&amp;Mod14=184&amp;Mod15=147&amp;Mod28=184&amp;Pep=AGGLLGTGSGLNLRMAGPQGLDLAPILRAAGLLGANSASFSQASGN&amp;Dta=/var/www/html/dta/yong/23617.32857.4.dta&amp;Global_Mod=CS57.0215", "32857")</f>
        <v>32857</v>
      </c>
      <c r="N332" s="10">
        <v>148.38999999999999</v>
      </c>
      <c r="O332" s="10">
        <v>148.44</v>
      </c>
      <c r="P332" s="10">
        <v>3.399</v>
      </c>
      <c r="Q332" s="10">
        <v>4.5279999999999996</v>
      </c>
      <c r="R332" s="10">
        <v>1.4959</v>
      </c>
      <c r="S332" s="10">
        <v>1.5223</v>
      </c>
      <c r="T332" s="10">
        <v>0.10829999999999999</v>
      </c>
      <c r="U332" s="10">
        <v>0.35060000000000002</v>
      </c>
      <c r="V332" s="7">
        <v>1</v>
      </c>
      <c r="W332" s="7">
        <v>1</v>
      </c>
      <c r="X332" s="10">
        <v>1.94</v>
      </c>
      <c r="Y332" s="10">
        <v>3.75</v>
      </c>
      <c r="Z332" s="11" t="s">
        <v>1306</v>
      </c>
      <c r="AA332" s="11" t="s">
        <v>1306</v>
      </c>
      <c r="AB332" s="7" t="s">
        <v>13</v>
      </c>
    </row>
    <row r="333" spans="1:28">
      <c r="A333" s="9" t="s">
        <v>332</v>
      </c>
      <c r="B333" s="9" t="s">
        <v>333</v>
      </c>
      <c r="C333" s="9" t="s">
        <v>334</v>
      </c>
      <c r="D333" s="7" t="s">
        <v>367</v>
      </c>
      <c r="E333" s="9" t="s">
        <v>335</v>
      </c>
      <c r="F333" s="7" t="s">
        <v>1360</v>
      </c>
      <c r="G333" s="7">
        <v>51.4</v>
      </c>
      <c r="H333" s="9" t="s">
        <v>368</v>
      </c>
      <c r="I333" s="9" t="s">
        <v>379</v>
      </c>
      <c r="J333" s="7">
        <v>4</v>
      </c>
      <c r="K333" s="7">
        <v>1099.3367000000001</v>
      </c>
      <c r="L333" s="7" t="str">
        <f>HYPERLINK("http://ms.phosphosite.org:5080/cgi-bin/plot-msms.cgi?MassType=1&amp;NumAxis=1&amp;Mod14=184&amp;Mod15=147&amp;Mod28=184&amp;Pep=AGGLLGTGSGLNLRMAGPQGLDLAPILRAAGLLGANSASFSQASGN&amp;Dta=/var/www/html/dta/yong/23616.32898.4.dta&amp;Global_Mod=CS57.0215", "32898")</f>
        <v>32898</v>
      </c>
      <c r="M333" s="7" t="str">
        <f>HYPERLINK("http://ms.phosphosite.org:5080/cgi-bin/plot-msms.cgi?MassType=1&amp;NumAxis=1&amp;Mod14=184&amp;Mod15=147&amp;Mod28=184&amp;Pep=AGGLLGTGSGLNLRMAGPQGLDLAPILRAAGLLGANSASFSQASGN&amp;Dta=/var/www/html/dta/yong/23617.32843.4.dta&amp;Global_Mod=CS57.0215", "32843")</f>
        <v>32843</v>
      </c>
      <c r="N333" s="10">
        <v>148.75</v>
      </c>
      <c r="O333" s="10">
        <v>148.37</v>
      </c>
      <c r="P333" s="10">
        <v>3.7890000000000001</v>
      </c>
      <c r="Q333" s="10">
        <v>3.254</v>
      </c>
      <c r="R333" s="10">
        <v>1.6417999999999999</v>
      </c>
      <c r="S333" s="10">
        <v>1.7381</v>
      </c>
      <c r="T333" s="10">
        <v>0.19869999999999999</v>
      </c>
      <c r="U333" s="10">
        <v>0.112</v>
      </c>
      <c r="V333" s="7">
        <v>3</v>
      </c>
      <c r="W333" s="7">
        <v>1</v>
      </c>
      <c r="X333" s="10">
        <v>2.5499999999999998</v>
      </c>
      <c r="Y333" s="10">
        <v>2</v>
      </c>
      <c r="Z333" s="11" t="s">
        <v>1306</v>
      </c>
      <c r="AA333" s="11" t="s">
        <v>1306</v>
      </c>
      <c r="AB333" s="7" t="s">
        <v>13</v>
      </c>
    </row>
    <row r="334" spans="1:28">
      <c r="A334" s="9" t="s">
        <v>332</v>
      </c>
      <c r="B334" s="9" t="s">
        <v>333</v>
      </c>
      <c r="C334" s="9" t="s">
        <v>334</v>
      </c>
      <c r="D334" s="7" t="s">
        <v>367</v>
      </c>
      <c r="E334" s="9" t="s">
        <v>335</v>
      </c>
      <c r="F334" s="7" t="s">
        <v>1360</v>
      </c>
      <c r="G334" s="7">
        <v>51.4</v>
      </c>
      <c r="H334" s="9" t="s">
        <v>368</v>
      </c>
      <c r="I334" s="9" t="s">
        <v>377</v>
      </c>
      <c r="J334" s="7">
        <v>4</v>
      </c>
      <c r="K334" s="7">
        <v>1017.0533</v>
      </c>
      <c r="L334" s="7" t="str">
        <f>HYPERLINK("http://ms.phosphosite.org:5080/cgi-bin/plot-msms.cgi?MassType=1&amp;NumAxis=1&amp;Mod14=184&amp;Mod15=147&amp;Mod28=184&amp;Pep=AGGLLGTGSGLNLRMAGPQGLDLAPILRAAGLLGANSASFSQ&amp;Dta=/var/www/html/dta/yong/23616.33180.4.dta&amp;Global_Mod=CS57.0215", "33180")</f>
        <v>33180</v>
      </c>
      <c r="M334" s="7"/>
      <c r="N334" s="10">
        <v>150.19999999999999</v>
      </c>
      <c r="O334" s="10"/>
      <c r="P334" s="10">
        <v>3.1659999999999999</v>
      </c>
      <c r="Q334" s="10"/>
      <c r="R334" s="10">
        <v>1.3442000000000001</v>
      </c>
      <c r="S334" s="10"/>
      <c r="T334" s="10">
        <v>1.8700000000000001E-2</v>
      </c>
      <c r="U334" s="10"/>
      <c r="V334" s="7">
        <v>634</v>
      </c>
      <c r="W334" s="7"/>
      <c r="X334" s="10">
        <v>1.17</v>
      </c>
      <c r="Y334" s="10"/>
      <c r="Z334" s="11" t="s">
        <v>1306</v>
      </c>
      <c r="AA334" s="11"/>
      <c r="AB334" s="7" t="s">
        <v>13</v>
      </c>
    </row>
    <row r="335" spans="1:28" s="18" customFormat="1">
      <c r="A335" s="9" t="s">
        <v>332</v>
      </c>
      <c r="B335" s="9" t="s">
        <v>333</v>
      </c>
      <c r="C335" s="9" t="s">
        <v>334</v>
      </c>
      <c r="D335" s="7" t="s">
        <v>367</v>
      </c>
      <c r="E335" s="9" t="s">
        <v>335</v>
      </c>
      <c r="F335" s="7" t="s">
        <v>1360</v>
      </c>
      <c r="G335" s="7">
        <v>51.4</v>
      </c>
      <c r="H335" s="9" t="s">
        <v>368</v>
      </c>
      <c r="I335" s="9" t="s">
        <v>377</v>
      </c>
      <c r="J335" s="7">
        <v>4</v>
      </c>
      <c r="K335" s="7">
        <v>1017.0533</v>
      </c>
      <c r="L335" s="7" t="str">
        <f>HYPERLINK("http://ms.phosphosite.org:5080/cgi-bin/plot-msms.cgi?MassType=1&amp;NumAxis=1&amp;Mod14=184&amp;Mod15=147&amp;Mod28=184&amp;Pep=AGGLLGTGSGLNLRMAGPQGLDLAPILRAAGLLGANSASFSQ&amp;Dta=/var/www/html/dta/yong/23616.33200.4.dta&amp;Global_Mod=CS57.0215", "33200")</f>
        <v>33200</v>
      </c>
      <c r="M335" s="7" t="str">
        <f>HYPERLINK("http://ms.phosphosite.org:5080/cgi-bin/plot-msms.cgi?MassType=1&amp;NumAxis=1&amp;Mod14=184&amp;Mod15=147&amp;Mod28=184&amp;Pep=AGGLLGTGSGLNLRMAGPQGLDLAPILRAAGLLGANSASFSQ&amp;Dta=/var/www/html/dta/yong/23617.33196.4.dta&amp;Global_Mod=CS57.0215", "33196")</f>
        <v>33196</v>
      </c>
      <c r="N335" s="10">
        <v>150.30000000000001</v>
      </c>
      <c r="O335" s="10">
        <v>150.18</v>
      </c>
      <c r="P335" s="10">
        <v>3.7330000000000001</v>
      </c>
      <c r="Q335" s="10">
        <v>3.069</v>
      </c>
      <c r="R335" s="10">
        <v>1.1237999999999999</v>
      </c>
      <c r="S335" s="10">
        <v>1.3227</v>
      </c>
      <c r="T335" s="10">
        <v>0.22450000000000001</v>
      </c>
      <c r="U335" s="10">
        <v>0.1331</v>
      </c>
      <c r="V335" s="7">
        <v>8</v>
      </c>
      <c r="W335" s="7">
        <v>1</v>
      </c>
      <c r="X335" s="10">
        <v>2.75</v>
      </c>
      <c r="Y335" s="10">
        <v>2.13</v>
      </c>
      <c r="Z335" s="11" t="s">
        <v>1306</v>
      </c>
      <c r="AA335" s="11" t="s">
        <v>1306</v>
      </c>
      <c r="AB335" s="7" t="s">
        <v>13</v>
      </c>
    </row>
    <row r="336" spans="1:28" s="18" customFormat="1">
      <c r="A336" s="9" t="s">
        <v>332</v>
      </c>
      <c r="B336" s="9" t="s">
        <v>333</v>
      </c>
      <c r="C336" s="9" t="s">
        <v>334</v>
      </c>
      <c r="D336" s="7" t="s">
        <v>367</v>
      </c>
      <c r="E336" s="9" t="s">
        <v>335</v>
      </c>
      <c r="F336" s="7" t="s">
        <v>1360</v>
      </c>
      <c r="G336" s="7">
        <v>51.4</v>
      </c>
      <c r="H336" s="9" t="s">
        <v>368</v>
      </c>
      <c r="I336" s="9" t="s">
        <v>373</v>
      </c>
      <c r="J336" s="7">
        <v>3</v>
      </c>
      <c r="K336" s="7">
        <v>1091.6219000000001</v>
      </c>
      <c r="L336" s="7" t="str">
        <f>HYPERLINK("http://ms.phosphosite.org:5080/cgi-bin/plot-msms.cgi?MassType=1&amp;NumAxis=1&amp;Mod14=184&amp;Mod15=147&amp;Mod28=184&amp;Pep=AGGLLGTGSGLNLRMAGPQGLDLAPILRAAGLLG&amp;Dta=/var/www/html/dta/yong/23616.33221.3.dta&amp;Global_Mod=CS57.0215", "33221")</f>
        <v>33221</v>
      </c>
      <c r="M336" s="7" t="str">
        <f>HYPERLINK("http://ms.phosphosite.org:5080/cgi-bin/plot-msms.cgi?MassType=1&amp;NumAxis=1&amp;Mod14=184&amp;Mod15=147&amp;Mod28=184&amp;Pep=AGGLLGTGSGLNLRMAGPQGLDLAPILRAAGLLG&amp;Dta=/var/www/html/dta/yong/23617.33229.3.dta&amp;Global_Mod=CS57.0215", "33229")</f>
        <v>33229</v>
      </c>
      <c r="N336" s="10">
        <v>150.41</v>
      </c>
      <c r="O336" s="10">
        <v>150.35</v>
      </c>
      <c r="P336" s="10">
        <v>4.4160000000000004</v>
      </c>
      <c r="Q336" s="10">
        <v>5.0739999999999998</v>
      </c>
      <c r="R336" s="10">
        <v>1.5186999999999999</v>
      </c>
      <c r="S336" s="10">
        <v>1.7979000000000001</v>
      </c>
      <c r="T336" s="10">
        <v>0.39369999999999999</v>
      </c>
      <c r="U336" s="10">
        <v>0.48209999999999997</v>
      </c>
      <c r="V336" s="7">
        <v>1</v>
      </c>
      <c r="W336" s="7">
        <v>1</v>
      </c>
      <c r="X336" s="10">
        <v>3.95</v>
      </c>
      <c r="Y336" s="10">
        <v>4.76</v>
      </c>
      <c r="Z336" s="11" t="s">
        <v>1306</v>
      </c>
      <c r="AA336" s="11" t="s">
        <v>1306</v>
      </c>
      <c r="AB336" s="7" t="s">
        <v>13</v>
      </c>
    </row>
    <row r="337" spans="1:28">
      <c r="A337" s="9" t="s">
        <v>332</v>
      </c>
      <c r="B337" s="9" t="s">
        <v>333</v>
      </c>
      <c r="C337" s="9" t="s">
        <v>334</v>
      </c>
      <c r="D337" s="7" t="s">
        <v>367</v>
      </c>
      <c r="E337" s="9" t="s">
        <v>335</v>
      </c>
      <c r="F337" s="7" t="s">
        <v>1360</v>
      </c>
      <c r="G337" s="7">
        <v>51.4</v>
      </c>
      <c r="H337" s="9" t="s">
        <v>368</v>
      </c>
      <c r="I337" s="9" t="s">
        <v>373</v>
      </c>
      <c r="J337" s="7">
        <v>3</v>
      </c>
      <c r="K337" s="7">
        <v>1091.6219000000001</v>
      </c>
      <c r="L337" s="7" t="str">
        <f>HYPERLINK("http://ms.phosphosite.org:5080/cgi-bin/plot-msms.cgi?MassType=1&amp;NumAxis=1&amp;Mod14=184&amp;Mod15=147&amp;Mod28=184&amp;Pep=AGGLLGTGSGLNLRMAGPQGLDLAPILRAAGLLG&amp;Dta=/var/www/html/dta/yong/23616.33232.3.dta&amp;Global_Mod=CS57.0215", "33232")</f>
        <v>33232</v>
      </c>
      <c r="M337" s="7" t="str">
        <f>HYPERLINK("http://ms.phosphosite.org:5080/cgi-bin/plot-msms.cgi?MassType=1&amp;NumAxis=1&amp;Mod14=184&amp;Mod15=147&amp;Mod28=184&amp;Pep=AGGLLGTGSGLNLRMAGPQGLDLAPILRAAGLLG&amp;Dta=/var/www/html/dta/yong/23617.33235.3.dta&amp;Global_Mod=CS57.0215", "33235")</f>
        <v>33235</v>
      </c>
      <c r="N337" s="10">
        <v>150.47</v>
      </c>
      <c r="O337" s="10">
        <v>150.38</v>
      </c>
      <c r="P337" s="10">
        <v>5.452</v>
      </c>
      <c r="Q337" s="10">
        <v>5.024</v>
      </c>
      <c r="R337" s="10">
        <v>1.609</v>
      </c>
      <c r="S337" s="10">
        <v>1.7577</v>
      </c>
      <c r="T337" s="10">
        <v>0.43740000000000001</v>
      </c>
      <c r="U337" s="10">
        <v>0.36959999999999998</v>
      </c>
      <c r="V337" s="7">
        <v>1</v>
      </c>
      <c r="W337" s="7">
        <v>1</v>
      </c>
      <c r="X337" s="10">
        <v>4.49</v>
      </c>
      <c r="Y337" s="10">
        <v>4.1100000000000003</v>
      </c>
      <c r="Z337" s="11" t="s">
        <v>1306</v>
      </c>
      <c r="AA337" s="11" t="s">
        <v>1306</v>
      </c>
      <c r="AB337" s="7" t="s">
        <v>13</v>
      </c>
    </row>
    <row r="338" spans="1:28">
      <c r="A338" s="9" t="s">
        <v>332</v>
      </c>
      <c r="B338" s="9" t="s">
        <v>333</v>
      </c>
      <c r="C338" s="9" t="s">
        <v>334</v>
      </c>
      <c r="D338" s="7" t="s">
        <v>367</v>
      </c>
      <c r="E338" s="9" t="s">
        <v>335</v>
      </c>
      <c r="F338" s="7" t="s">
        <v>1360</v>
      </c>
      <c r="G338" s="7">
        <v>51.4</v>
      </c>
      <c r="H338" s="9" t="s">
        <v>368</v>
      </c>
      <c r="I338" s="9" t="s">
        <v>378</v>
      </c>
      <c r="J338" s="7">
        <v>4</v>
      </c>
      <c r="K338" s="7">
        <v>1034.8126</v>
      </c>
      <c r="L338" s="7" t="str">
        <f>HYPERLINK("http://ms.phosphosite.org:5080/cgi-bin/plot-msms.cgi?MassType=1&amp;NumAxis=1&amp;Mod14=184&amp;Mod15=147&amp;Mod28=184&amp;Pep=AGGLLGTGSGLNLRMAGPQGLDLAPILRAAGLLGANSASFSQA&amp;Dta=/var/www/html/dta/yong/23616.33240.4.dta&amp;Global_Mod=CS57.0215", "33240")</f>
        <v>33240</v>
      </c>
      <c r="M338" s="7" t="str">
        <f>HYPERLINK("http://ms.phosphosite.org:5080/cgi-bin/plot-msms.cgi?MassType=1&amp;NumAxis=1&amp;Mod14=184&amp;Mod15=147&amp;Mod28=184&amp;Pep=AGGLLGTGSGLNLRMAGPQGLDLAPILRAAGLLGANSASFSQA&amp;Dta=/var/www/html/dta/yong/23617.33248.4.dta&amp;Global_Mod=CS57.0215", "33248")</f>
        <v>33248</v>
      </c>
      <c r="N338" s="10">
        <v>150.51</v>
      </c>
      <c r="O338" s="10">
        <v>150.44999999999999</v>
      </c>
      <c r="P338" s="10">
        <v>3.1</v>
      </c>
      <c r="Q338" s="10">
        <v>3.8849999999999998</v>
      </c>
      <c r="R338" s="10">
        <v>1.8367</v>
      </c>
      <c r="S338" s="10">
        <v>1.4572000000000001</v>
      </c>
      <c r="T338" s="10">
        <v>1.03E-2</v>
      </c>
      <c r="U338" s="10">
        <v>0.21940000000000001</v>
      </c>
      <c r="V338" s="7">
        <v>28</v>
      </c>
      <c r="W338" s="7">
        <v>1</v>
      </c>
      <c r="X338" s="10">
        <v>1.3</v>
      </c>
      <c r="Y338" s="10">
        <v>2.85</v>
      </c>
      <c r="Z338" s="11" t="s">
        <v>1306</v>
      </c>
      <c r="AA338" s="11" t="s">
        <v>1306</v>
      </c>
      <c r="AB338" s="7" t="s">
        <v>13</v>
      </c>
    </row>
    <row r="339" spans="1:28">
      <c r="A339" s="9" t="s">
        <v>332</v>
      </c>
      <c r="B339" s="9" t="s">
        <v>333</v>
      </c>
      <c r="C339" s="9" t="s">
        <v>334</v>
      </c>
      <c r="D339" s="7" t="s">
        <v>367</v>
      </c>
      <c r="E339" s="9" t="s">
        <v>335</v>
      </c>
      <c r="F339" s="7" t="s">
        <v>1360</v>
      </c>
      <c r="G339" s="7">
        <v>51.4</v>
      </c>
      <c r="H339" s="9" t="s">
        <v>368</v>
      </c>
      <c r="I339" s="9" t="s">
        <v>378</v>
      </c>
      <c r="J339" s="7">
        <v>4</v>
      </c>
      <c r="K339" s="7">
        <v>1034.8126</v>
      </c>
      <c r="L339" s="7" t="str">
        <f>HYPERLINK("http://ms.phosphosite.org:5080/cgi-bin/plot-msms.cgi?MassType=1&amp;NumAxis=1&amp;Mod14=184&amp;Mod15=147&amp;Mod28=184&amp;Pep=AGGLLGTGSGLNLRMAGPQGLDLAPILRAAGLLGANSASFSQA&amp;Dta=/var/www/html/dta/yong/23616.33251.4.dta&amp;Global_Mod=CS57.0215", "33251")</f>
        <v>33251</v>
      </c>
      <c r="M339" s="7" t="str">
        <f>HYPERLINK("http://ms.phosphosite.org:5080/cgi-bin/plot-msms.cgi?MassType=1&amp;NumAxis=1&amp;Mod14=184&amp;Mod15=147&amp;Mod28=184&amp;Pep=AGGLLGTGSGLNLRMAGPQGLDLAPILRAAGLLGANSASFSQA&amp;Dta=/var/www/html/dta/yong/23617.33277.4.dta&amp;Global_Mod=CS57.0215", "33277")</f>
        <v>33277</v>
      </c>
      <c r="N339" s="10">
        <v>150.56</v>
      </c>
      <c r="O339" s="10">
        <v>150.59</v>
      </c>
      <c r="P339" s="10">
        <v>3.6589999999999998</v>
      </c>
      <c r="Q339" s="10">
        <v>4.32</v>
      </c>
      <c r="R339" s="10">
        <v>1.9236</v>
      </c>
      <c r="S339" s="10">
        <v>1.5559000000000001</v>
      </c>
      <c r="T339" s="10">
        <v>9.4E-2</v>
      </c>
      <c r="U339" s="10">
        <v>0.27260000000000001</v>
      </c>
      <c r="V339" s="7">
        <v>50</v>
      </c>
      <c r="W339" s="7">
        <v>1</v>
      </c>
      <c r="X339" s="10">
        <v>1.92</v>
      </c>
      <c r="Y339" s="10">
        <v>3.27</v>
      </c>
      <c r="Z339" s="11" t="s">
        <v>1306</v>
      </c>
      <c r="AA339" s="11" t="s">
        <v>1306</v>
      </c>
      <c r="AB339" s="7" t="s">
        <v>13</v>
      </c>
    </row>
    <row r="340" spans="1:28" s="18" customFormat="1">
      <c r="A340" s="9" t="s">
        <v>332</v>
      </c>
      <c r="B340" s="9" t="s">
        <v>333</v>
      </c>
      <c r="C340" s="9" t="s">
        <v>334</v>
      </c>
      <c r="D340" s="7" t="s">
        <v>367</v>
      </c>
      <c r="E340" s="9" t="s">
        <v>335</v>
      </c>
      <c r="F340" s="7" t="s">
        <v>1360</v>
      </c>
      <c r="G340" s="7">
        <v>51.4</v>
      </c>
      <c r="H340" s="9" t="s">
        <v>368</v>
      </c>
      <c r="I340" s="9" t="s">
        <v>373</v>
      </c>
      <c r="J340" s="7">
        <v>3</v>
      </c>
      <c r="K340" s="7">
        <v>1091.6219000000001</v>
      </c>
      <c r="L340" s="7" t="str">
        <f>HYPERLINK("http://ms.phosphosite.org:5080/cgi-bin/plot-msms.cgi?MassType=1&amp;NumAxis=1&amp;Mod14=184&amp;Mod15=147&amp;Mod28=184&amp;Pep=AGGLLGTGSGLNLRMAGPQGLDLAPILRAAGLLG&amp;Dta=/var/www/html/dta/yong/23616.33333.3.dta&amp;Global_Mod=CS57.0215", "33333")</f>
        <v>33333</v>
      </c>
      <c r="M340" s="7"/>
      <c r="N340" s="10">
        <v>150.99</v>
      </c>
      <c r="O340" s="10"/>
      <c r="P340" s="10">
        <v>3.895</v>
      </c>
      <c r="Q340" s="10"/>
      <c r="R340" s="10">
        <v>1.5798000000000001</v>
      </c>
      <c r="S340" s="10"/>
      <c r="T340" s="10">
        <v>0.31080000000000002</v>
      </c>
      <c r="U340" s="10"/>
      <c r="V340" s="7">
        <v>1</v>
      </c>
      <c r="W340" s="7"/>
      <c r="X340" s="10">
        <v>3.32</v>
      </c>
      <c r="Y340" s="10"/>
      <c r="Z340" s="11" t="s">
        <v>1306</v>
      </c>
      <c r="AA340" s="11"/>
      <c r="AB340" s="7" t="s">
        <v>13</v>
      </c>
    </row>
    <row r="341" spans="1:28" s="18" customFormat="1">
      <c r="A341" s="9" t="s">
        <v>332</v>
      </c>
      <c r="B341" s="9" t="s">
        <v>333</v>
      </c>
      <c r="C341" s="9" t="s">
        <v>334</v>
      </c>
      <c r="D341" s="7" t="s">
        <v>367</v>
      </c>
      <c r="E341" s="9" t="s">
        <v>335</v>
      </c>
      <c r="F341" s="7" t="s">
        <v>1360</v>
      </c>
      <c r="G341" s="7">
        <v>51.4</v>
      </c>
      <c r="H341" s="9" t="s">
        <v>368</v>
      </c>
      <c r="I341" s="9" t="s">
        <v>372</v>
      </c>
      <c r="J341" s="7">
        <v>3</v>
      </c>
      <c r="K341" s="7">
        <v>1072.6147000000001</v>
      </c>
      <c r="L341" s="7" t="str">
        <f>HYPERLINK("http://ms.phosphosite.org:5080/cgi-bin/plot-msms.cgi?MassType=1&amp;NumAxis=1&amp;Mod14=184&amp;Mod15=147&amp;Mod28=184&amp;Pep=AGGLLGTGSGLNLRMAGPQGLDLAPILRAAGLL&amp;Dta=/var/www/html/dta/yong/23616.33458.3.dta&amp;Global_Mod=CS57.0215", "33458")</f>
        <v>33458</v>
      </c>
      <c r="M341" s="7" t="str">
        <f>HYPERLINK("http://ms.phosphosite.org:5080/cgi-bin/plot-msms.cgi?MassType=1&amp;NumAxis=1&amp;Mod14=184&amp;Mod15=147&amp;Mod28=184&amp;Pep=AGGLLGTGSGLNLRMAGPQGLDLAPILRAAGLL&amp;Dta=/var/www/html/dta/yong/23617.33481.3.dta&amp;Global_Mod=CS57.0215", "33481")</f>
        <v>33481</v>
      </c>
      <c r="N341" s="10">
        <v>151.61000000000001</v>
      </c>
      <c r="O341" s="10">
        <v>151.62</v>
      </c>
      <c r="P341" s="10">
        <v>3.9910000000000001</v>
      </c>
      <c r="Q341" s="10">
        <v>6.1459999999999999</v>
      </c>
      <c r="R341" s="10">
        <v>2.4003999999999999</v>
      </c>
      <c r="S341" s="10">
        <v>1.7090000000000001</v>
      </c>
      <c r="T341" s="10">
        <v>0.3921</v>
      </c>
      <c r="U341" s="10">
        <v>0.37630000000000002</v>
      </c>
      <c r="V341" s="7">
        <v>1</v>
      </c>
      <c r="W341" s="7">
        <v>1</v>
      </c>
      <c r="X341" s="10">
        <v>3.78</v>
      </c>
      <c r="Y341" s="10">
        <v>4.5</v>
      </c>
      <c r="Z341" s="11" t="s">
        <v>1306</v>
      </c>
      <c r="AA341" s="11" t="s">
        <v>1306</v>
      </c>
      <c r="AB341" s="7" t="s">
        <v>13</v>
      </c>
    </row>
    <row r="342" spans="1:28" s="18" customFormat="1">
      <c r="A342" s="9" t="s">
        <v>332</v>
      </c>
      <c r="B342" s="9" t="s">
        <v>333</v>
      </c>
      <c r="C342" s="9" t="s">
        <v>334</v>
      </c>
      <c r="D342" s="7" t="s">
        <v>367</v>
      </c>
      <c r="E342" s="9" t="s">
        <v>335</v>
      </c>
      <c r="F342" s="7" t="s">
        <v>1360</v>
      </c>
      <c r="G342" s="7">
        <v>51.4</v>
      </c>
      <c r="H342" s="9" t="s">
        <v>368</v>
      </c>
      <c r="I342" s="9" t="s">
        <v>372</v>
      </c>
      <c r="J342" s="7">
        <v>3</v>
      </c>
      <c r="K342" s="7">
        <v>1072.6147000000001</v>
      </c>
      <c r="L342" s="7" t="str">
        <f>HYPERLINK("http://ms.phosphosite.org:5080/cgi-bin/plot-msms.cgi?MassType=1&amp;NumAxis=1&amp;Mod14=184&amp;Mod15=147&amp;Mod28=184&amp;Pep=AGGLLGTGSGLNLRMAGPQGLDLAPILRAAGLL&amp;Dta=/var/www/html/dta/yong/23616.33483.3.dta&amp;Global_Mod=CS57.0215", "33483")</f>
        <v>33483</v>
      </c>
      <c r="M342" s="7" t="str">
        <f>HYPERLINK("http://ms.phosphosite.org:5080/cgi-bin/plot-msms.cgi?MassType=1&amp;NumAxis=1&amp;Mod14=184&amp;Mod15=147&amp;Mod28=184&amp;Pep=AGGLLGTGSGLNLRMAGPQGLDLAPILRAAGLL&amp;Dta=/var/www/html/dta/yong/23617.33473.3.dta&amp;Global_Mod=CS57.0215", "33473")</f>
        <v>33473</v>
      </c>
      <c r="N342" s="10">
        <v>151.72999999999999</v>
      </c>
      <c r="O342" s="10">
        <v>151.58000000000001</v>
      </c>
      <c r="P342" s="10">
        <v>4.2060000000000004</v>
      </c>
      <c r="Q342" s="10">
        <v>5.69</v>
      </c>
      <c r="R342" s="10">
        <v>0.35649999999999998</v>
      </c>
      <c r="S342" s="10">
        <v>1.3461000000000001</v>
      </c>
      <c r="T342" s="10">
        <v>0.38590000000000002</v>
      </c>
      <c r="U342" s="10">
        <v>0.52210000000000001</v>
      </c>
      <c r="V342" s="7">
        <v>1</v>
      </c>
      <c r="W342" s="7">
        <v>1</v>
      </c>
      <c r="X342" s="10">
        <v>3.9</v>
      </c>
      <c r="Y342" s="10">
        <v>5.2</v>
      </c>
      <c r="Z342" s="11" t="s">
        <v>1306</v>
      </c>
      <c r="AA342" s="11" t="s">
        <v>1306</v>
      </c>
      <c r="AB342" s="7" t="s">
        <v>13</v>
      </c>
    </row>
    <row r="343" spans="1:28" s="18" customFormat="1">
      <c r="A343" s="9" t="s">
        <v>332</v>
      </c>
      <c r="B343" s="9" t="s">
        <v>333</v>
      </c>
      <c r="C343" s="9" t="s">
        <v>334</v>
      </c>
      <c r="D343" s="7" t="s">
        <v>367</v>
      </c>
      <c r="E343" s="9" t="s">
        <v>335</v>
      </c>
      <c r="F343" s="7" t="s">
        <v>1360</v>
      </c>
      <c r="G343" s="7">
        <v>51.4</v>
      </c>
      <c r="H343" s="9" t="s">
        <v>368</v>
      </c>
      <c r="I343" s="9" t="s">
        <v>372</v>
      </c>
      <c r="J343" s="7">
        <v>3</v>
      </c>
      <c r="K343" s="7">
        <v>1072.6147000000001</v>
      </c>
      <c r="L343" s="7" t="str">
        <f>HYPERLINK("http://ms.phosphosite.org:5080/cgi-bin/plot-msms.cgi?MassType=1&amp;NumAxis=1&amp;Mod14=184&amp;Mod15=147&amp;Mod28=184&amp;Pep=AGGLLGTGSGLNLRMAGPQGLDLAPILRAAGLL&amp;Dta=/var/www/html/dta/yong/23616.33489.3.dta&amp;Global_Mod=CS57.0215", "33489")</f>
        <v>33489</v>
      </c>
      <c r="M343" s="7" t="str">
        <f>HYPERLINK("http://ms.phosphosite.org:5080/cgi-bin/plot-msms.cgi?MassType=1&amp;NumAxis=1&amp;Mod14=184&amp;Mod15=147&amp;Mod28=184&amp;Pep=AGGLLGTGSGLNLRMAGPQGLDLAPILRAAGLL&amp;Dta=/var/www/html/dta/yong/23617.33494.3.dta&amp;Global_Mod=CS57.0215", "33494")</f>
        <v>33494</v>
      </c>
      <c r="N343" s="10">
        <v>151.76</v>
      </c>
      <c r="O343" s="10">
        <v>151.69</v>
      </c>
      <c r="P343" s="10">
        <v>5.5890000000000004</v>
      </c>
      <c r="Q343" s="10">
        <v>5.508</v>
      </c>
      <c r="R343" s="10">
        <v>1.5915999999999999</v>
      </c>
      <c r="S343" s="10">
        <v>1.4602999999999999</v>
      </c>
      <c r="T343" s="10">
        <v>0.50560000000000005</v>
      </c>
      <c r="U343" s="10">
        <v>0.49930000000000002</v>
      </c>
      <c r="V343" s="7">
        <v>1</v>
      </c>
      <c r="W343" s="7">
        <v>1</v>
      </c>
      <c r="X343" s="10">
        <v>4.93</v>
      </c>
      <c r="Y343" s="10">
        <v>5.01</v>
      </c>
      <c r="Z343" s="11" t="s">
        <v>1306</v>
      </c>
      <c r="AA343" s="11" t="s">
        <v>1306</v>
      </c>
      <c r="AB343" s="7" t="s">
        <v>13</v>
      </c>
    </row>
    <row r="344" spans="1:28" s="18" customFormat="1">
      <c r="A344" s="9" t="s">
        <v>332</v>
      </c>
      <c r="B344" s="9" t="s">
        <v>333</v>
      </c>
      <c r="C344" s="9" t="s">
        <v>334</v>
      </c>
      <c r="D344" s="7" t="s">
        <v>367</v>
      </c>
      <c r="E344" s="9" t="s">
        <v>335</v>
      </c>
      <c r="F344" s="7" t="s">
        <v>1360</v>
      </c>
      <c r="G344" s="7">
        <v>51.4</v>
      </c>
      <c r="H344" s="9" t="s">
        <v>368</v>
      </c>
      <c r="I344" s="9" t="s">
        <v>376</v>
      </c>
      <c r="J344" s="7">
        <v>3</v>
      </c>
      <c r="K344" s="7">
        <v>1284.0383999999999</v>
      </c>
      <c r="L344" s="7" t="str">
        <f>HYPERLINK("http://ms.phosphosite.org:5080/cgi-bin/plot-msms.cgi?MassType=1&amp;NumAxis=1&amp;Mod14=184&amp;Mod15=147&amp;Mod28=184&amp;Pep=AGGLLGTGSGLNLRMAGPQGLDLAPILRAAGLLGANSASF&amp;Dta=/var/www/html/dta/yong/23616.33994.3.dta&amp;Global_Mod=CS57.0215", "33994")</f>
        <v>33994</v>
      </c>
      <c r="M344" s="7" t="str">
        <f>HYPERLINK("http://ms.phosphosite.org:5080/cgi-bin/plot-msms.cgi?MassType=1&amp;NumAxis=1&amp;Mod14=184&amp;Mod15=147&amp;Mod28=184&amp;Pep=AGGLLGTGSGLNLRMAGPQGLDLAPILRAAGLLGANSASF&amp;Dta=/var/www/html/dta/yong/23617.34012.3.dta&amp;Global_Mod=CS57.0215", "34012")</f>
        <v>34012</v>
      </c>
      <c r="N344" s="10">
        <v>154.30000000000001</v>
      </c>
      <c r="O344" s="10">
        <v>154.32</v>
      </c>
      <c r="P344" s="10">
        <v>5.1829999999999998</v>
      </c>
      <c r="Q344" s="10">
        <v>5.7759999999999998</v>
      </c>
      <c r="R344" s="10">
        <v>1.0731999999999999</v>
      </c>
      <c r="S344" s="10">
        <v>1.4016999999999999</v>
      </c>
      <c r="T344" s="10">
        <v>0.43290000000000001</v>
      </c>
      <c r="U344" s="10">
        <v>0.45629999999999998</v>
      </c>
      <c r="V344" s="7">
        <v>1</v>
      </c>
      <c r="W344" s="7">
        <v>1</v>
      </c>
      <c r="X344" s="10">
        <v>4.3499999999999996</v>
      </c>
      <c r="Y344" s="10">
        <v>4.78</v>
      </c>
      <c r="Z344" s="11" t="s">
        <v>1306</v>
      </c>
      <c r="AA344" s="11" t="s">
        <v>1306</v>
      </c>
      <c r="AB344" s="7" t="s">
        <v>13</v>
      </c>
    </row>
    <row r="345" spans="1:28" s="18" customFormat="1">
      <c r="A345" s="9" t="s">
        <v>332</v>
      </c>
      <c r="B345" s="9" t="s">
        <v>333</v>
      </c>
      <c r="C345" s="9" t="s">
        <v>334</v>
      </c>
      <c r="D345" s="7" t="s">
        <v>367</v>
      </c>
      <c r="E345" s="9" t="s">
        <v>335</v>
      </c>
      <c r="F345" s="7" t="s">
        <v>1360</v>
      </c>
      <c r="G345" s="7">
        <v>51.4</v>
      </c>
      <c r="H345" s="9" t="s">
        <v>368</v>
      </c>
      <c r="I345" s="9" t="s">
        <v>376</v>
      </c>
      <c r="J345" s="7">
        <v>3</v>
      </c>
      <c r="K345" s="7">
        <v>1284.0383999999999</v>
      </c>
      <c r="L345" s="7" t="str">
        <f>HYPERLINK("http://ms.phosphosite.org:5080/cgi-bin/plot-msms.cgi?MassType=1&amp;NumAxis=1&amp;Mod14=184&amp;Mod15=147&amp;Mod28=184&amp;Pep=AGGLLGTGSGLNLRMAGPQGLDLAPILRAAGLLGANSASF&amp;Dta=/var/www/html/dta/yong/23616.34003.3.dta&amp;Global_Mod=CS57.0215", "34003")</f>
        <v>34003</v>
      </c>
      <c r="M345" s="7" t="str">
        <f>HYPERLINK("http://ms.phosphosite.org:5080/cgi-bin/plot-msms.cgi?MassType=1&amp;NumAxis=1&amp;Mod14=184&amp;Mod15=147&amp;Mod28=184&amp;Pep=AGGLLGTGSGLNLRMAGPQGLDLAPILRAAGLLGANSASF&amp;Dta=/var/www/html/dta/yong/23617.33999.3.dta&amp;Global_Mod=CS57.0215", "33999")</f>
        <v>33999</v>
      </c>
      <c r="N345" s="10">
        <v>154.35</v>
      </c>
      <c r="O345" s="10">
        <v>154.25</v>
      </c>
      <c r="P345" s="10">
        <v>6.0069999999999997</v>
      </c>
      <c r="Q345" s="10">
        <v>5.0970000000000004</v>
      </c>
      <c r="R345" s="10">
        <v>0.85299999999999998</v>
      </c>
      <c r="S345" s="10">
        <v>1.7907999999999999</v>
      </c>
      <c r="T345" s="10">
        <v>0.40350000000000003</v>
      </c>
      <c r="U345" s="10">
        <v>0.41399999999999998</v>
      </c>
      <c r="V345" s="7">
        <v>1</v>
      </c>
      <c r="W345" s="7">
        <v>1</v>
      </c>
      <c r="X345" s="10">
        <v>4.4400000000000004</v>
      </c>
      <c r="Y345" s="10">
        <v>4.32</v>
      </c>
      <c r="Z345" s="11" t="s">
        <v>1306</v>
      </c>
      <c r="AA345" s="11" t="s">
        <v>1306</v>
      </c>
      <c r="AB345" s="7" t="s">
        <v>13</v>
      </c>
    </row>
    <row r="346" spans="1:28" s="18" customFormat="1">
      <c r="A346" s="9" t="s">
        <v>332</v>
      </c>
      <c r="B346" s="9" t="s">
        <v>333</v>
      </c>
      <c r="C346" s="9" t="s">
        <v>334</v>
      </c>
      <c r="D346" s="7" t="s">
        <v>367</v>
      </c>
      <c r="E346" s="9" t="s">
        <v>335</v>
      </c>
      <c r="F346" s="7" t="s">
        <v>1360</v>
      </c>
      <c r="G346" s="7">
        <v>51.4</v>
      </c>
      <c r="H346" s="9" t="s">
        <v>368</v>
      </c>
      <c r="I346" s="9" t="s">
        <v>370</v>
      </c>
      <c r="J346" s="7">
        <v>3</v>
      </c>
      <c r="K346" s="7">
        <v>978.21820000000002</v>
      </c>
      <c r="L346" s="7"/>
      <c r="M346" s="7" t="str">
        <f>HYPERLINK("http://ms.phosphosite.org:5080/cgi-bin/plot-msms.cgi?MassType=1&amp;NumAxis=1&amp;Mod14=184&amp;Mod15=147&amp;Mod28=184&amp;Pep=AGGLLGTGSGLNLRMAGPQGLDLAPILRAA&amp;Dta=/var/www/html/dta/yong/23617.27321.3.dta&amp;Global_Mod=CS57.0215", "27321")</f>
        <v>27321</v>
      </c>
      <c r="N346" s="10"/>
      <c r="O346" s="10">
        <v>121.74</v>
      </c>
      <c r="P346" s="10"/>
      <c r="Q346" s="10">
        <v>5.04</v>
      </c>
      <c r="R346" s="10"/>
      <c r="S346" s="10">
        <v>1.3159000000000001</v>
      </c>
      <c r="T346" s="10"/>
      <c r="U346" s="10">
        <v>0.45440000000000003</v>
      </c>
      <c r="V346" s="7"/>
      <c r="W346" s="7">
        <v>1</v>
      </c>
      <c r="X346" s="10"/>
      <c r="Y346" s="10">
        <v>4.6500000000000004</v>
      </c>
      <c r="Z346" s="11"/>
      <c r="AA346" s="11" t="s">
        <v>1306</v>
      </c>
      <c r="AB346" s="7" t="s">
        <v>13</v>
      </c>
    </row>
    <row r="347" spans="1:28">
      <c r="A347" s="9" t="s">
        <v>332</v>
      </c>
      <c r="B347" s="9" t="s">
        <v>333</v>
      </c>
      <c r="C347" s="9" t="s">
        <v>334</v>
      </c>
      <c r="D347" s="7" t="s">
        <v>367</v>
      </c>
      <c r="E347" s="9" t="s">
        <v>335</v>
      </c>
      <c r="F347" s="7" t="s">
        <v>1360</v>
      </c>
      <c r="G347" s="7">
        <v>51.4</v>
      </c>
      <c r="H347" s="9" t="s">
        <v>368</v>
      </c>
      <c r="I347" s="9" t="s">
        <v>375</v>
      </c>
      <c r="J347" s="7">
        <v>4</v>
      </c>
      <c r="K347" s="7">
        <v>904.75549999999998</v>
      </c>
      <c r="L347" s="7"/>
      <c r="M347" s="7" t="str">
        <f>HYPERLINK("http://ms.phosphosite.org:5080/cgi-bin/plot-msms.cgi?MassType=1&amp;NumAxis=1&amp;Mod14=184&amp;Mod15=147&amp;Mod28=184&amp;Pep=AGGLLGTGSGLNLRMAGPQGLDLAPILRAAGLLGANSA&amp;Dta=/var/www/html/dta/yong/23617.32716.4.dta&amp;Global_Mod=CS57.0215", "32716")</f>
        <v>32716</v>
      </c>
      <c r="N347" s="10"/>
      <c r="O347" s="10">
        <v>147.72999999999999</v>
      </c>
      <c r="P347" s="10"/>
      <c r="Q347" s="10">
        <v>3.4990000000000001</v>
      </c>
      <c r="R347" s="10"/>
      <c r="S347" s="10">
        <v>1.1127</v>
      </c>
      <c r="T347" s="10"/>
      <c r="U347" s="10">
        <v>0.2039</v>
      </c>
      <c r="V347" s="7"/>
      <c r="W347" s="7">
        <v>22</v>
      </c>
      <c r="X347" s="10"/>
      <c r="Y347" s="10">
        <v>2.7</v>
      </c>
      <c r="Z347" s="11"/>
      <c r="AA347" s="11" t="s">
        <v>1306</v>
      </c>
      <c r="AB347" s="7" t="s">
        <v>13</v>
      </c>
    </row>
    <row r="348" spans="1:28">
      <c r="A348" s="9" t="s">
        <v>332</v>
      </c>
      <c r="B348" s="9" t="s">
        <v>333</v>
      </c>
      <c r="C348" s="9" t="s">
        <v>334</v>
      </c>
      <c r="D348" s="7" t="s">
        <v>367</v>
      </c>
      <c r="E348" s="9" t="s">
        <v>335</v>
      </c>
      <c r="F348" s="7" t="s">
        <v>1360</v>
      </c>
      <c r="G348" s="7">
        <v>51.4</v>
      </c>
      <c r="H348" s="9" t="s">
        <v>368</v>
      </c>
      <c r="I348" s="9" t="s">
        <v>375</v>
      </c>
      <c r="J348" s="7">
        <v>3</v>
      </c>
      <c r="K348" s="7">
        <v>1206.0050000000001</v>
      </c>
      <c r="L348" s="7"/>
      <c r="M348" s="7" t="str">
        <f>HYPERLINK("http://ms.phosphosite.org:5080/cgi-bin/plot-msms.cgi?MassType=1&amp;NumAxis=1&amp;Mod14=184&amp;Mod15=147&amp;Mod28=184&amp;Pep=AGGLLGTGSGLNLRMAGPQGLDLAPILRAAGLLGANSA&amp;Dta=/var/www/html/dta/yong/23617.32745.3.dta&amp;Global_Mod=CS57.0215", "32745")</f>
        <v>32745</v>
      </c>
      <c r="N348" s="10"/>
      <c r="O348" s="10">
        <v>147.88</v>
      </c>
      <c r="P348" s="10"/>
      <c r="Q348" s="10">
        <v>6.9530000000000003</v>
      </c>
      <c r="R348" s="10"/>
      <c r="S348" s="10">
        <v>1.3629</v>
      </c>
      <c r="T348" s="10"/>
      <c r="U348" s="10">
        <v>0.52439999999999998</v>
      </c>
      <c r="V348" s="7"/>
      <c r="W348" s="7">
        <v>1</v>
      </c>
      <c r="X348" s="10"/>
      <c r="Y348" s="10">
        <v>5.55</v>
      </c>
      <c r="Z348" s="11"/>
      <c r="AA348" s="11" t="s">
        <v>1306</v>
      </c>
      <c r="AB348" s="7" t="s">
        <v>13</v>
      </c>
    </row>
    <row r="349" spans="1:28" s="18" customFormat="1">
      <c r="A349" s="9" t="s">
        <v>332</v>
      </c>
      <c r="B349" s="9" t="s">
        <v>333</v>
      </c>
      <c r="C349" s="9" t="s">
        <v>334</v>
      </c>
      <c r="D349" s="7" t="s">
        <v>367</v>
      </c>
      <c r="E349" s="9" t="s">
        <v>335</v>
      </c>
      <c r="F349" s="7" t="s">
        <v>1360</v>
      </c>
      <c r="G349" s="7">
        <v>51.4</v>
      </c>
      <c r="H349" s="9" t="s">
        <v>368</v>
      </c>
      <c r="I349" s="9" t="s">
        <v>374</v>
      </c>
      <c r="J349" s="7">
        <v>3</v>
      </c>
      <c r="K349" s="7">
        <v>1153.3152</v>
      </c>
      <c r="L349" s="7"/>
      <c r="M349" s="7" t="str">
        <f>HYPERLINK("http://ms.phosphosite.org:5080/cgi-bin/plot-msms.cgi?MassType=1&amp;NumAxis=1&amp;Mod14=184&amp;Mod15=147&amp;Mod28=184&amp;Pep=AGGLLGTGSGLNLRMAGPQGLDLAPILRAAGLLGAN&amp;Dta=/var/www/html/dta/yong/23617.32844.3.dta&amp;Global_Mod=CS57.0215", "32844")</f>
        <v>32844</v>
      </c>
      <c r="N349" s="10"/>
      <c r="O349" s="10">
        <v>148.38</v>
      </c>
      <c r="P349" s="10"/>
      <c r="Q349" s="10">
        <v>6.5129999999999999</v>
      </c>
      <c r="R349" s="10"/>
      <c r="S349" s="10">
        <v>1.2143999999999999</v>
      </c>
      <c r="T349" s="10"/>
      <c r="U349" s="10">
        <v>0.54790000000000005</v>
      </c>
      <c r="V349" s="7"/>
      <c r="W349" s="7">
        <v>1</v>
      </c>
      <c r="X349" s="10"/>
      <c r="Y349" s="10">
        <v>5.57</v>
      </c>
      <c r="Z349" s="11"/>
      <c r="AA349" s="11" t="s">
        <v>1306</v>
      </c>
      <c r="AB349" s="7" t="s">
        <v>13</v>
      </c>
    </row>
    <row r="350" spans="1:28" s="18" customFormat="1">
      <c r="A350" s="9" t="s">
        <v>332</v>
      </c>
      <c r="B350" s="9" t="s">
        <v>333</v>
      </c>
      <c r="C350" s="9" t="s">
        <v>334</v>
      </c>
      <c r="D350" s="7" t="s">
        <v>367</v>
      </c>
      <c r="E350" s="9" t="s">
        <v>335</v>
      </c>
      <c r="F350" s="7" t="s">
        <v>1360</v>
      </c>
      <c r="G350" s="7">
        <v>51.4</v>
      </c>
      <c r="H350" s="9" t="s">
        <v>368</v>
      </c>
      <c r="I350" s="9" t="s">
        <v>378</v>
      </c>
      <c r="J350" s="7">
        <v>3</v>
      </c>
      <c r="K350" s="7">
        <v>1379.4142999999999</v>
      </c>
      <c r="L350" s="7"/>
      <c r="M350" s="7" t="str">
        <f>HYPERLINK("http://ms.phosphosite.org:5080/cgi-bin/plot-msms.cgi?MassType=1&amp;NumAxis=1&amp;Mod14=184&amp;Mod15=147&amp;Mod28=184&amp;Pep=AGGLLGTGSGLNLRMAGPQGLDLAPILRAAGLLGANSASFSQA&amp;Dta=/var/www/html/dta/yong/23617.33288.3.dta&amp;Global_Mod=CS57.0215", "33288")</f>
        <v>33288</v>
      </c>
      <c r="N350" s="10"/>
      <c r="O350" s="10">
        <v>150.63999999999999</v>
      </c>
      <c r="P350" s="10"/>
      <c r="Q350" s="10">
        <v>4.492</v>
      </c>
      <c r="R350" s="10"/>
      <c r="S350" s="10">
        <v>5.3758999999999997</v>
      </c>
      <c r="T350" s="10"/>
      <c r="U350" s="10">
        <v>0.24590000000000001</v>
      </c>
      <c r="V350" s="7"/>
      <c r="W350" s="7">
        <v>1</v>
      </c>
      <c r="X350" s="10"/>
      <c r="Y350" s="10">
        <v>2.98</v>
      </c>
      <c r="Z350" s="11"/>
      <c r="AA350" s="11" t="s">
        <v>1306</v>
      </c>
      <c r="AB350" s="7" t="s">
        <v>13</v>
      </c>
    </row>
    <row r="351" spans="1:28">
      <c r="A351" s="9" t="s">
        <v>332</v>
      </c>
      <c r="B351" s="9" t="s">
        <v>333</v>
      </c>
      <c r="C351" s="9" t="s">
        <v>334</v>
      </c>
      <c r="D351" s="7" t="s">
        <v>367</v>
      </c>
      <c r="E351" s="9" t="s">
        <v>335</v>
      </c>
      <c r="F351" s="7" t="s">
        <v>1360</v>
      </c>
      <c r="G351" s="7">
        <v>51.4</v>
      </c>
      <c r="H351" s="9" t="s">
        <v>368</v>
      </c>
      <c r="I351" s="9" t="s">
        <v>378</v>
      </c>
      <c r="J351" s="7">
        <v>3</v>
      </c>
      <c r="K351" s="7">
        <v>1379.4142999999999</v>
      </c>
      <c r="L351" s="7"/>
      <c r="M351" s="7" t="str">
        <f>HYPERLINK("http://ms.phosphosite.org:5080/cgi-bin/plot-msms.cgi?MassType=1&amp;NumAxis=1&amp;Mod14=184&amp;Mod15=147&amp;Mod28=184&amp;Pep=AGGLLGTGSGLNLRMAGPQGLDLAPILRAAGLLGANSASFSQA&amp;Dta=/var/www/html/dta/yong/23617.33298.3.dta&amp;Global_Mod=CS57.0215", "33298")</f>
        <v>33298</v>
      </c>
      <c r="N351" s="10"/>
      <c r="O351" s="10">
        <v>150.69</v>
      </c>
      <c r="P351" s="10"/>
      <c r="Q351" s="10">
        <v>5.5350000000000001</v>
      </c>
      <c r="R351" s="10"/>
      <c r="S351" s="10">
        <v>-2.1928000000000001</v>
      </c>
      <c r="T351" s="10"/>
      <c r="U351" s="10">
        <v>0.4481</v>
      </c>
      <c r="V351" s="7"/>
      <c r="W351" s="7">
        <v>1</v>
      </c>
      <c r="X351" s="10"/>
      <c r="Y351" s="10">
        <v>4.5599999999999996</v>
      </c>
      <c r="Z351" s="11"/>
      <c r="AA351" s="11" t="s">
        <v>1306</v>
      </c>
      <c r="AB351" s="7" t="s">
        <v>13</v>
      </c>
    </row>
    <row r="352" spans="1:28">
      <c r="A352" s="9" t="s">
        <v>332</v>
      </c>
      <c r="B352" s="9" t="s">
        <v>333</v>
      </c>
      <c r="C352" s="9" t="s">
        <v>334</v>
      </c>
      <c r="D352" s="7" t="s">
        <v>367</v>
      </c>
      <c r="E352" s="9" t="s">
        <v>335</v>
      </c>
      <c r="F352" s="7" t="s">
        <v>1360</v>
      </c>
      <c r="G352" s="7">
        <v>51.4</v>
      </c>
      <c r="H352" s="9" t="s">
        <v>368</v>
      </c>
      <c r="I352" s="9" t="s">
        <v>378</v>
      </c>
      <c r="J352" s="7">
        <v>3</v>
      </c>
      <c r="K352" s="7">
        <v>1379.4142999999999</v>
      </c>
      <c r="L352" s="7"/>
      <c r="M352" s="7" t="str">
        <f>HYPERLINK("http://ms.phosphosite.org:5080/cgi-bin/plot-msms.cgi?MassType=1&amp;NumAxis=1&amp;Mod14=184&amp;Mod15=147&amp;Mod28=184&amp;Pep=AGGLLGTGSGLNLRMAGPQGLDLAPILRAAGLLGANSASFSQA&amp;Dta=/var/www/html/dta/yong/23617.33328.3.dta&amp;Global_Mod=CS57.0215", "33328")</f>
        <v>33328</v>
      </c>
      <c r="N352" s="10"/>
      <c r="O352" s="10">
        <v>150.85</v>
      </c>
      <c r="P352" s="10"/>
      <c r="Q352" s="10">
        <v>3.2519999999999998</v>
      </c>
      <c r="R352" s="10"/>
      <c r="S352" s="10">
        <v>5.3758999999999997</v>
      </c>
      <c r="T352" s="10"/>
      <c r="U352" s="10">
        <v>9.0800000000000006E-2</v>
      </c>
      <c r="V352" s="7"/>
      <c r="W352" s="7">
        <v>1</v>
      </c>
      <c r="X352" s="10"/>
      <c r="Y352" s="10">
        <v>1.72</v>
      </c>
      <c r="Z352" s="11"/>
      <c r="AA352" s="11" t="s">
        <v>1306</v>
      </c>
      <c r="AB352" s="7" t="s">
        <v>13</v>
      </c>
    </row>
    <row r="353" spans="1:28">
      <c r="A353" s="9" t="s">
        <v>332</v>
      </c>
      <c r="B353" s="9" t="s">
        <v>333</v>
      </c>
      <c r="C353" s="9" t="s">
        <v>334</v>
      </c>
      <c r="D353" s="7" t="s">
        <v>367</v>
      </c>
      <c r="E353" s="9" t="s">
        <v>335</v>
      </c>
      <c r="F353" s="7" t="s">
        <v>1360</v>
      </c>
      <c r="G353" s="7">
        <v>51.4</v>
      </c>
      <c r="H353" s="9" t="s">
        <v>368</v>
      </c>
      <c r="I353" s="9" t="s">
        <v>376</v>
      </c>
      <c r="J353" s="7">
        <v>3</v>
      </c>
      <c r="K353" s="7">
        <v>1284.0383999999999</v>
      </c>
      <c r="L353" s="7"/>
      <c r="M353" s="7" t="str">
        <f>HYPERLINK("http://ms.phosphosite.org:5080/cgi-bin/plot-msms.cgi?MassType=1&amp;NumAxis=1&amp;Mod14=184&amp;Mod15=147&amp;Mod28=184&amp;Pep=AGGLLGTGSGLNLRMAGPQGLDLAPILRAAGLLGANSASF&amp;Dta=/var/www/html/dta/yong/23617.34035.3.dta&amp;Global_Mod=CS57.0215", "34035")</f>
        <v>34035</v>
      </c>
      <c r="N353" s="10"/>
      <c r="O353" s="10">
        <v>154.44</v>
      </c>
      <c r="P353" s="10"/>
      <c r="Q353" s="10">
        <v>5.9029999999999996</v>
      </c>
      <c r="R353" s="10"/>
      <c r="S353" s="10">
        <v>1.38</v>
      </c>
      <c r="T353" s="10"/>
      <c r="U353" s="10">
        <v>0.3992</v>
      </c>
      <c r="V353" s="7"/>
      <c r="W353" s="7">
        <v>1</v>
      </c>
      <c r="X353" s="10"/>
      <c r="Y353" s="10">
        <v>4.5</v>
      </c>
      <c r="Z353" s="11"/>
      <c r="AA353" s="11" t="s">
        <v>1306</v>
      </c>
      <c r="AB353" s="7" t="s">
        <v>13</v>
      </c>
    </row>
    <row r="354" spans="1:28">
      <c r="A354" s="3" t="s">
        <v>332</v>
      </c>
      <c r="B354" s="3" t="s">
        <v>333</v>
      </c>
      <c r="C354" s="3" t="s">
        <v>334</v>
      </c>
      <c r="D354" s="4" t="s">
        <v>388</v>
      </c>
      <c r="E354" s="3" t="s">
        <v>335</v>
      </c>
      <c r="F354" s="7" t="s">
        <v>1360</v>
      </c>
      <c r="G354" s="4">
        <v>51.4</v>
      </c>
      <c r="H354" s="3" t="s">
        <v>389</v>
      </c>
      <c r="I354" s="3" t="s">
        <v>390</v>
      </c>
      <c r="J354" s="4">
        <v>3</v>
      </c>
      <c r="K354" s="4">
        <v>804.7654</v>
      </c>
      <c r="L354" s="4" t="str">
        <f>HYPERLINK("http://ms.phosphosite.org:5080/cgi-bin/plot-msms.cgi?MassType=1&amp;NumAxis=1&amp;Mod2=184&amp;Mod16=184&amp;Mod17=147&amp;Pep=TRPTGTLGLNPASFPRMNGPAGK&amp;Dta=/var/www/html/dta/yong/23616.12136.3.dta&amp;Global_Mod=CS57.0215", "12136")</f>
        <v>12136</v>
      </c>
      <c r="M354" s="4" t="str">
        <f>HYPERLINK("http://ms.phosphosite.org:5080/cgi-bin/plot-msms.cgi?MassType=1&amp;NumAxis=1&amp;Mod2=184&amp;Mod16=184&amp;Mod17=147&amp;Pep=TRPTGTLGLNPASFPRMNGPAGK&amp;Dta=/var/www/html/dta/yong/23617.12267.3.dta&amp;Global_Mod=CS57.0215", "12267")</f>
        <v>12267</v>
      </c>
      <c r="N354" s="5">
        <v>58.25</v>
      </c>
      <c r="O354" s="5">
        <v>58.24</v>
      </c>
      <c r="P354" s="5">
        <v>4.1020000000000003</v>
      </c>
      <c r="Q354" s="5">
        <v>4.1779999999999999</v>
      </c>
      <c r="R354" s="5">
        <v>-0.2288</v>
      </c>
      <c r="S354" s="5">
        <v>1.1413</v>
      </c>
      <c r="T354" s="5">
        <v>0.2487</v>
      </c>
      <c r="U354" s="5">
        <v>0.29970000000000002</v>
      </c>
      <c r="V354" s="4">
        <v>5</v>
      </c>
      <c r="W354" s="4">
        <v>1</v>
      </c>
      <c r="X354" s="5">
        <v>3.34</v>
      </c>
      <c r="Y354" s="5">
        <v>3.78</v>
      </c>
      <c r="Z354" s="6" t="s">
        <v>1306</v>
      </c>
      <c r="AA354" s="6" t="s">
        <v>1306</v>
      </c>
      <c r="AB354" s="4" t="s">
        <v>13</v>
      </c>
    </row>
    <row r="355" spans="1:28">
      <c r="A355" s="3" t="s">
        <v>332</v>
      </c>
      <c r="B355" s="3" t="s">
        <v>333</v>
      </c>
      <c r="C355" s="3" t="s">
        <v>334</v>
      </c>
      <c r="D355" s="4" t="s">
        <v>388</v>
      </c>
      <c r="E355" s="3" t="s">
        <v>335</v>
      </c>
      <c r="F355" s="7" t="s">
        <v>1360</v>
      </c>
      <c r="G355" s="4">
        <v>51.4</v>
      </c>
      <c r="H355" s="3" t="s">
        <v>389</v>
      </c>
      <c r="I355" s="3" t="s">
        <v>390</v>
      </c>
      <c r="J355" s="4">
        <v>3</v>
      </c>
      <c r="K355" s="4">
        <v>804.7654</v>
      </c>
      <c r="L355" s="4"/>
      <c r="M355" s="4" t="str">
        <f>HYPERLINK("http://ms.phosphosite.org:5080/cgi-bin/plot-msms.cgi?MassType=1&amp;NumAxis=1&amp;Mod2=184&amp;Mod16=184&amp;Mod17=147&amp;Pep=TRPTGTLGLNPASFPRMNGPAGK&amp;Dta=/var/www/html/dta/yong/23617.12250.3.dta&amp;Global_Mod=CS57.0215", "12250")</f>
        <v>12250</v>
      </c>
      <c r="N355" s="5"/>
      <c r="O355" s="5">
        <v>58.17</v>
      </c>
      <c r="P355" s="5"/>
      <c r="Q355" s="5">
        <v>3.7909999999999999</v>
      </c>
      <c r="R355" s="5"/>
      <c r="S355" s="5">
        <v>1.1413</v>
      </c>
      <c r="T355" s="5"/>
      <c r="U355" s="5">
        <v>0.3085</v>
      </c>
      <c r="V355" s="4"/>
      <c r="W355" s="4">
        <v>46</v>
      </c>
      <c r="X355" s="5"/>
      <c r="Y355" s="5">
        <v>3.68</v>
      </c>
      <c r="Z355" s="6"/>
      <c r="AA355" s="6" t="s">
        <v>1306</v>
      </c>
      <c r="AB355" s="4" t="s">
        <v>13</v>
      </c>
    </row>
    <row r="356" spans="1:28" s="18" customFormat="1">
      <c r="A356" s="18" t="s">
        <v>393</v>
      </c>
      <c r="B356" s="18" t="s">
        <v>1586</v>
      </c>
      <c r="C356" s="18" t="s">
        <v>1587</v>
      </c>
      <c r="D356" s="19"/>
      <c r="E356" s="18" t="s">
        <v>394</v>
      </c>
      <c r="F356" s="15" t="s">
        <v>1361</v>
      </c>
      <c r="G356" s="19">
        <v>55.5</v>
      </c>
      <c r="I356" s="18" t="s">
        <v>395</v>
      </c>
      <c r="J356" s="19">
        <v>2</v>
      </c>
      <c r="K356" s="19">
        <v>974.94820000000004</v>
      </c>
      <c r="L356" s="19"/>
      <c r="M356" s="19" t="str">
        <f>HYPERLINK("http://ms.phosphosite.org:5080/cgi-bin/plot-msms.cgi?MassType=1&amp;NumAxis=1&amp;Mod16=170&amp;Pep=YLDCGDLSNALKCYSR&amp;Dta=/var/www/html/dta/yong/23617.13494.2.dta&amp;Global_Mod=CS57.0215", "13494")</f>
        <v>13494</v>
      </c>
      <c r="N356" s="20"/>
      <c r="O356" s="20">
        <v>63.37</v>
      </c>
      <c r="P356" s="20"/>
      <c r="Q356" s="20">
        <v>2.7519999999999998</v>
      </c>
      <c r="R356" s="20"/>
      <c r="S356" s="20">
        <v>-13.7761</v>
      </c>
      <c r="T356" s="20"/>
      <c r="U356" s="20">
        <v>0.2117</v>
      </c>
      <c r="V356" s="19"/>
      <c r="W356" s="19">
        <v>1</v>
      </c>
      <c r="X356" s="20"/>
      <c r="Y356" s="20">
        <v>1.04</v>
      </c>
      <c r="Z356" s="21"/>
      <c r="AA356" s="21">
        <v>1000</v>
      </c>
      <c r="AB356" s="19" t="s">
        <v>13</v>
      </c>
    </row>
    <row r="357" spans="1:28" s="12" customFormat="1">
      <c r="A357" s="9" t="s">
        <v>396</v>
      </c>
      <c r="B357" s="9" t="s">
        <v>1588</v>
      </c>
      <c r="C357" s="9" t="s">
        <v>1589</v>
      </c>
      <c r="D357" s="7" t="s">
        <v>1779</v>
      </c>
      <c r="E357" s="9" t="s">
        <v>397</v>
      </c>
      <c r="F357" s="7" t="s">
        <v>1362</v>
      </c>
      <c r="G357" s="7">
        <v>112.8</v>
      </c>
      <c r="H357" s="9" t="s">
        <v>398</v>
      </c>
      <c r="I357" s="9" t="s">
        <v>399</v>
      </c>
      <c r="J357" s="7">
        <v>2</v>
      </c>
      <c r="K357" s="7">
        <v>1132.0587</v>
      </c>
      <c r="L357" s="7"/>
      <c r="M357" s="7" t="str">
        <f>HYPERLINK("http://ms.phosphosite.org:5080/cgi-bin/plot-msms.cgi?MassType=1&amp;NumAxis=1&amp;Mod2=184&amp;Mod20=184&amp;Pep=FRVENGSSDENATALPGTWR&amp;Dta=/var/www/html/dta/yong/23617.23461.2.dta&amp;Global_Mod=CS57.0215", "23461")</f>
        <v>23461</v>
      </c>
      <c r="N357" s="10"/>
      <c r="O357" s="10">
        <v>105.37</v>
      </c>
      <c r="P357" s="10"/>
      <c r="Q357" s="10">
        <v>3.1850000000000001</v>
      </c>
      <c r="R357" s="10"/>
      <c r="S357" s="10">
        <v>2.3624000000000001</v>
      </c>
      <c r="T357" s="10"/>
      <c r="U357" s="10">
        <v>9.8900000000000002E-2</v>
      </c>
      <c r="V357" s="7"/>
      <c r="W357" s="7">
        <v>5</v>
      </c>
      <c r="X357" s="10"/>
      <c r="Y357" s="10">
        <v>1.0900000000000001</v>
      </c>
      <c r="Z357" s="11"/>
      <c r="AA357" s="11" t="s">
        <v>1306</v>
      </c>
      <c r="AB357" s="7" t="s">
        <v>13</v>
      </c>
    </row>
    <row r="358" spans="1:28" s="12" customFormat="1">
      <c r="A358" s="3" t="s">
        <v>400</v>
      </c>
      <c r="B358" s="3" t="s">
        <v>1590</v>
      </c>
      <c r="C358" s="3" t="s">
        <v>1590</v>
      </c>
      <c r="D358" s="4">
        <v>26</v>
      </c>
      <c r="E358" s="3" t="s">
        <v>401</v>
      </c>
      <c r="F358" s="7" t="s">
        <v>1363</v>
      </c>
      <c r="G358" s="4">
        <v>136</v>
      </c>
      <c r="H358" s="3" t="s">
        <v>402</v>
      </c>
      <c r="I358" s="3" t="s">
        <v>404</v>
      </c>
      <c r="J358" s="4">
        <v>2</v>
      </c>
      <c r="K358" s="4">
        <v>882.43920000000003</v>
      </c>
      <c r="L358" s="4" t="str">
        <f>HYPERLINK("http://ms.phosphosite.org:5080/cgi-bin/plot-msms.cgi?MassType=1&amp;NumAxis=1&amp;Mod3=184&amp;Pep=QLRYQQPGPGSSPSSF&amp;Dta=/var/www/html/dta/yong/23616.11713.2.dta&amp;Global_Mod=CS57.0215", "11713")</f>
        <v>11713</v>
      </c>
      <c r="M358" s="4" t="str">
        <f>HYPERLINK("http://ms.phosphosite.org:5080/cgi-bin/plot-msms.cgi?MassType=1&amp;NumAxis=1&amp;Mod3=184&amp;Pep=QLRYQQPGPGSSPSSF&amp;Dta=/var/www/html/dta/yong/23617.11850.2.dta&amp;Global_Mod=CS57.0215", "11850")</f>
        <v>11850</v>
      </c>
      <c r="N358" s="5">
        <v>56.36</v>
      </c>
      <c r="O358" s="5">
        <v>56.4</v>
      </c>
      <c r="P358" s="5">
        <v>3.57</v>
      </c>
      <c r="Q358" s="5">
        <v>3.1949999999999998</v>
      </c>
      <c r="R358" s="5">
        <v>1.982</v>
      </c>
      <c r="S358" s="5">
        <v>1.6316999999999999</v>
      </c>
      <c r="T358" s="5">
        <v>0.41389999999999999</v>
      </c>
      <c r="U358" s="5">
        <v>0.40250000000000002</v>
      </c>
      <c r="V358" s="4">
        <v>1</v>
      </c>
      <c r="W358" s="4">
        <v>2</v>
      </c>
      <c r="X358" s="5">
        <v>3.05</v>
      </c>
      <c r="Y358" s="5">
        <v>2.95</v>
      </c>
      <c r="Z358" s="6">
        <v>1000</v>
      </c>
      <c r="AA358" s="6">
        <v>1000</v>
      </c>
      <c r="AB358" s="4" t="s">
        <v>13</v>
      </c>
    </row>
    <row r="359" spans="1:28" s="12" customFormat="1">
      <c r="A359" s="3" t="s">
        <v>400</v>
      </c>
      <c r="B359" s="3" t="s">
        <v>1590</v>
      </c>
      <c r="C359" s="3" t="s">
        <v>1590</v>
      </c>
      <c r="D359" s="4">
        <v>26</v>
      </c>
      <c r="E359" s="3" t="s">
        <v>401</v>
      </c>
      <c r="F359" s="7" t="s">
        <v>1363</v>
      </c>
      <c r="G359" s="4">
        <v>136</v>
      </c>
      <c r="H359" s="3" t="s">
        <v>402</v>
      </c>
      <c r="I359" s="3" t="s">
        <v>405</v>
      </c>
      <c r="J359" s="4">
        <v>3</v>
      </c>
      <c r="K359" s="4">
        <v>706.71630000000005</v>
      </c>
      <c r="L359" s="4" t="str">
        <f>HYPERLINK("http://ms.phosphosite.org:5080/cgi-bin/plot-msms.cgi?MassType=1&amp;NumAxis=1&amp;Mod3=184&amp;Pep=QLRYQQPGPGSSPSSFLLK&amp;Dta=/var/www/html/dta/yong/23616.15462.3.dta&amp;Global_Mod=CS57.0215", "15462")</f>
        <v>15462</v>
      </c>
      <c r="M359" s="4" t="str">
        <f>HYPERLINK("http://ms.phosphosite.org:5080/cgi-bin/plot-msms.cgi?MassType=1&amp;NumAxis=1&amp;Mod3=184&amp;Pep=QLRYQQPGPGSSPSSFLLK&amp;Dta=/var/www/html/dta/yong/23617.15637.3.dta&amp;Global_Mod=CS57.0215", "15637")</f>
        <v>15637</v>
      </c>
      <c r="N359" s="5">
        <v>72.650000000000006</v>
      </c>
      <c r="O359" s="5">
        <v>72.58</v>
      </c>
      <c r="P359" s="5">
        <v>3.4950000000000001</v>
      </c>
      <c r="Q359" s="5">
        <v>3.9449999999999998</v>
      </c>
      <c r="R359" s="5">
        <v>0.66379999999999995</v>
      </c>
      <c r="S359" s="5">
        <v>0.34079999999999999</v>
      </c>
      <c r="T359" s="5">
        <v>0.1653</v>
      </c>
      <c r="U359" s="5">
        <v>0.26050000000000001</v>
      </c>
      <c r="V359" s="4">
        <v>1</v>
      </c>
      <c r="W359" s="4">
        <v>1</v>
      </c>
      <c r="X359" s="5">
        <v>1.68</v>
      </c>
      <c r="Y359" s="5">
        <v>2.42</v>
      </c>
      <c r="Z359" s="6">
        <v>1000</v>
      </c>
      <c r="AA359" s="6">
        <v>1000</v>
      </c>
      <c r="AB359" s="4" t="s">
        <v>13</v>
      </c>
    </row>
    <row r="360" spans="1:28" s="12" customFormat="1">
      <c r="A360" s="3" t="s">
        <v>400</v>
      </c>
      <c r="B360" s="3" t="s">
        <v>1590</v>
      </c>
      <c r="C360" s="3" t="s">
        <v>1590</v>
      </c>
      <c r="D360" s="4">
        <v>26</v>
      </c>
      <c r="E360" s="3" t="s">
        <v>401</v>
      </c>
      <c r="F360" s="7" t="s">
        <v>1363</v>
      </c>
      <c r="G360" s="4">
        <v>136</v>
      </c>
      <c r="H360" s="3" t="s">
        <v>402</v>
      </c>
      <c r="I360" s="3" t="s">
        <v>404</v>
      </c>
      <c r="J360" s="4">
        <v>2</v>
      </c>
      <c r="K360" s="4">
        <v>882.43920000000003</v>
      </c>
      <c r="L360" s="4"/>
      <c r="M360" s="4" t="str">
        <f>HYPERLINK("http://ms.phosphosite.org:5080/cgi-bin/plot-msms.cgi?MassType=1&amp;NumAxis=1&amp;Mod3=184&amp;Pep=QLRYQQPGPGSSPSSF&amp;Dta=/var/www/html/dta/yong/23617.11836.2.dta&amp;Global_Mod=CS57.0215", "11836")</f>
        <v>11836</v>
      </c>
      <c r="N360" s="5"/>
      <c r="O360" s="5">
        <v>56.34</v>
      </c>
      <c r="P360" s="5"/>
      <c r="Q360" s="5">
        <v>3.1970000000000001</v>
      </c>
      <c r="R360" s="5"/>
      <c r="S360" s="5">
        <v>1.6316999999999999</v>
      </c>
      <c r="T360" s="5"/>
      <c r="U360" s="5">
        <v>0.35489999999999999</v>
      </c>
      <c r="V360" s="4"/>
      <c r="W360" s="4">
        <v>1</v>
      </c>
      <c r="X360" s="5"/>
      <c r="Y360" s="5">
        <v>2.68</v>
      </c>
      <c r="Z360" s="6"/>
      <c r="AA360" s="6">
        <v>1000</v>
      </c>
      <c r="AB360" s="4" t="s">
        <v>13</v>
      </c>
    </row>
    <row r="361" spans="1:28" s="12" customFormat="1">
      <c r="A361" s="3" t="s">
        <v>400</v>
      </c>
      <c r="B361" s="3" t="s">
        <v>1590</v>
      </c>
      <c r="C361" s="3" t="s">
        <v>1590</v>
      </c>
      <c r="D361" s="4">
        <v>26</v>
      </c>
      <c r="E361" s="3" t="s">
        <v>401</v>
      </c>
      <c r="F361" s="7" t="s">
        <v>1363</v>
      </c>
      <c r="G361" s="4">
        <v>136</v>
      </c>
      <c r="H361" s="3" t="s">
        <v>402</v>
      </c>
      <c r="I361" s="3" t="s">
        <v>403</v>
      </c>
      <c r="J361" s="4">
        <v>2</v>
      </c>
      <c r="K361" s="4">
        <v>765.38900000000001</v>
      </c>
      <c r="L361" s="4"/>
      <c r="M361" s="4" t="str">
        <f>HYPERLINK("http://ms.phosphosite.org:5080/cgi-bin/plot-msms.cgi?MassType=1&amp;NumAxis=1&amp;Mod3=184&amp;Pep=QLRYQQPGPGSSPS&amp;Dta=/var/www/html/dta/yong/23617.6593.2.dta&amp;Global_Mod=CS57.0215", "6593")</f>
        <v>6593</v>
      </c>
      <c r="N361" s="5"/>
      <c r="O361" s="5">
        <v>34.450000000000003</v>
      </c>
      <c r="P361" s="5"/>
      <c r="Q361" s="5">
        <v>2.6739999999999999</v>
      </c>
      <c r="R361" s="5"/>
      <c r="S361" s="5">
        <v>0.76529999999999998</v>
      </c>
      <c r="T361" s="5"/>
      <c r="U361" s="5">
        <v>0.14699999999999999</v>
      </c>
      <c r="V361" s="4"/>
      <c r="W361" s="4">
        <v>1</v>
      </c>
      <c r="X361" s="5"/>
      <c r="Y361" s="5">
        <v>1.41</v>
      </c>
      <c r="Z361" s="6"/>
      <c r="AA361" s="6">
        <v>1000</v>
      </c>
      <c r="AB361" s="4" t="s">
        <v>13</v>
      </c>
    </row>
    <row r="362" spans="1:28" s="12" customFormat="1">
      <c r="A362" s="9" t="s">
        <v>400</v>
      </c>
      <c r="B362" s="9" t="s">
        <v>1591</v>
      </c>
      <c r="C362" s="9" t="s">
        <v>1592</v>
      </c>
      <c r="D362" s="7">
        <v>376</v>
      </c>
      <c r="E362" s="9" t="s">
        <v>406</v>
      </c>
      <c r="F362" s="7" t="s">
        <v>1364</v>
      </c>
      <c r="G362" s="7">
        <v>63.3</v>
      </c>
      <c r="H362" s="9" t="s">
        <v>407</v>
      </c>
      <c r="I362" s="9" t="s">
        <v>410</v>
      </c>
      <c r="J362" s="7">
        <v>3</v>
      </c>
      <c r="K362" s="7">
        <v>775.10419999999999</v>
      </c>
      <c r="L362" s="7" t="str">
        <f>HYPERLINK("http://ms.phosphosite.org:5080/cgi-bin/plot-msms.cgi?MassType=1&amp;NumAxis=1&amp;Mod1=184&amp;Pep=RAPLNVTNTAGTSLPSVDLLQK&amp;Dta=/var/www/html/dta/yong/23616.18297.3.dta&amp;Global_Mod=CS57.0215", "18297")</f>
        <v>18297</v>
      </c>
      <c r="M362" s="7" t="str">
        <f>HYPERLINK("http://ms.phosphosite.org:5080/cgi-bin/plot-msms.cgi?MassType=1&amp;NumAxis=1&amp;Mod1=184&amp;Pep=RAPLNVTNTAGTSLPSVDLLQK&amp;Dta=/var/www/html/dta/yong/23617.18476.3.dta&amp;Global_Mod=CS57.0215", "18476")</f>
        <v>18476</v>
      </c>
      <c r="N362" s="10">
        <v>84.6</v>
      </c>
      <c r="O362" s="10">
        <v>84.58</v>
      </c>
      <c r="P362" s="10">
        <v>4.2880000000000003</v>
      </c>
      <c r="Q362" s="10">
        <v>4.7779999999999996</v>
      </c>
      <c r="R362" s="10">
        <v>1.0705</v>
      </c>
      <c r="S362" s="10">
        <v>0.7258</v>
      </c>
      <c r="T362" s="10">
        <v>0.40689999999999998</v>
      </c>
      <c r="U362" s="10">
        <v>0.28110000000000002</v>
      </c>
      <c r="V362" s="7">
        <v>1</v>
      </c>
      <c r="W362" s="7">
        <v>1</v>
      </c>
      <c r="X362" s="10">
        <v>3.36</v>
      </c>
      <c r="Y362" s="10">
        <v>2.89</v>
      </c>
      <c r="Z362" s="11">
        <v>1000</v>
      </c>
      <c r="AA362" s="11">
        <v>1000</v>
      </c>
      <c r="AB362" s="7" t="s">
        <v>13</v>
      </c>
    </row>
    <row r="363" spans="1:28" s="12" customFormat="1">
      <c r="A363" s="9" t="s">
        <v>400</v>
      </c>
      <c r="B363" s="9" t="s">
        <v>1591</v>
      </c>
      <c r="C363" s="9" t="s">
        <v>1592</v>
      </c>
      <c r="D363" s="7">
        <v>376</v>
      </c>
      <c r="E363" s="9" t="s">
        <v>406</v>
      </c>
      <c r="F363" s="7" t="s">
        <v>1364</v>
      </c>
      <c r="G363" s="7">
        <v>63.3</v>
      </c>
      <c r="H363" s="9" t="s">
        <v>407</v>
      </c>
      <c r="I363" s="9" t="s">
        <v>410</v>
      </c>
      <c r="J363" s="7">
        <v>3</v>
      </c>
      <c r="K363" s="7">
        <v>775.10419999999999</v>
      </c>
      <c r="L363" s="7" t="str">
        <f>HYPERLINK("http://ms.phosphosite.org:5080/cgi-bin/plot-msms.cgi?MassType=1&amp;NumAxis=1&amp;Mod1=184&amp;Pep=RAPLNVTNTAGTSLPSVDLLQK&amp;Dta=/var/www/html/dta/yong/23616.18306.3.dta&amp;Global_Mod=CS57.0215", "18306")</f>
        <v>18306</v>
      </c>
      <c r="M363" s="7"/>
      <c r="N363" s="10">
        <v>84.64</v>
      </c>
      <c r="O363" s="10"/>
      <c r="P363" s="10">
        <v>4.1500000000000004</v>
      </c>
      <c r="Q363" s="10"/>
      <c r="R363" s="10">
        <v>1.0705</v>
      </c>
      <c r="S363" s="10"/>
      <c r="T363" s="10">
        <v>0.38540000000000002</v>
      </c>
      <c r="U363" s="10"/>
      <c r="V363" s="7">
        <v>1</v>
      </c>
      <c r="W363" s="7"/>
      <c r="X363" s="10">
        <v>3.2</v>
      </c>
      <c r="Y363" s="10"/>
      <c r="Z363" s="11">
        <v>1000</v>
      </c>
      <c r="AA363" s="11"/>
      <c r="AB363" s="7" t="s">
        <v>13</v>
      </c>
    </row>
    <row r="364" spans="1:28" s="12" customFormat="1">
      <c r="A364" s="9" t="s">
        <v>400</v>
      </c>
      <c r="B364" s="9" t="s">
        <v>1591</v>
      </c>
      <c r="C364" s="9" t="s">
        <v>1592</v>
      </c>
      <c r="D364" s="7">
        <v>376</v>
      </c>
      <c r="E364" s="9" t="s">
        <v>406</v>
      </c>
      <c r="F364" s="7" t="s">
        <v>1364</v>
      </c>
      <c r="G364" s="7">
        <v>63.3</v>
      </c>
      <c r="H364" s="9" t="s">
        <v>407</v>
      </c>
      <c r="I364" s="9" t="s">
        <v>409</v>
      </c>
      <c r="J364" s="7">
        <v>3</v>
      </c>
      <c r="K364" s="7">
        <v>928.1748</v>
      </c>
      <c r="L364" s="7" t="str">
        <f>HYPERLINK("http://ms.phosphosite.org:5080/cgi-bin/plot-msms.cgi?MassType=1&amp;NumAxis=1&amp;Mod5=184&amp;Pep=QSPFRAPLNVTNTAGTSLPSVDLLQK&amp;Dta=/var/www/html/dta/yong/23616.21956.3.dta&amp;Global_Mod=CS57.0215", "21956")</f>
        <v>21956</v>
      </c>
      <c r="M364" s="7" t="str">
        <f>HYPERLINK("http://ms.phosphosite.org:5080/cgi-bin/plot-msms.cgi?MassType=1&amp;NumAxis=1&amp;Mod5=184&amp;Pep=QSPFRAPLNVTNTAGTSLPSVDLLQK&amp;Dta=/var/www/html/dta/yong/23617.22087.3.dta&amp;Global_Mod=CS57.0215", "22087")</f>
        <v>22087</v>
      </c>
      <c r="N364" s="10">
        <v>99.94</v>
      </c>
      <c r="O364" s="10">
        <v>99.8</v>
      </c>
      <c r="P364" s="10">
        <v>3.0920000000000001</v>
      </c>
      <c r="Q364" s="10">
        <v>5.1059999999999999</v>
      </c>
      <c r="R364" s="10">
        <v>1.6169</v>
      </c>
      <c r="S364" s="10">
        <v>1.4399</v>
      </c>
      <c r="T364" s="10">
        <v>0.1056</v>
      </c>
      <c r="U364" s="10">
        <v>0.32850000000000001</v>
      </c>
      <c r="V364" s="7">
        <v>3</v>
      </c>
      <c r="W364" s="7">
        <v>1</v>
      </c>
      <c r="X364" s="10">
        <v>1.24</v>
      </c>
      <c r="Y364" s="10">
        <v>3.18</v>
      </c>
      <c r="Z364" s="11">
        <v>1000</v>
      </c>
      <c r="AA364" s="11">
        <v>1000</v>
      </c>
      <c r="AB364" s="7" t="s">
        <v>13</v>
      </c>
    </row>
    <row r="365" spans="1:28" s="12" customFormat="1">
      <c r="A365" s="9" t="s">
        <v>400</v>
      </c>
      <c r="B365" s="9" t="s">
        <v>1591</v>
      </c>
      <c r="C365" s="9" t="s">
        <v>1592</v>
      </c>
      <c r="D365" s="7">
        <v>376</v>
      </c>
      <c r="E365" s="9" t="s">
        <v>406</v>
      </c>
      <c r="F365" s="7" t="s">
        <v>1364</v>
      </c>
      <c r="G365" s="7">
        <v>63.3</v>
      </c>
      <c r="H365" s="9" t="s">
        <v>407</v>
      </c>
      <c r="I365" s="9" t="s">
        <v>408</v>
      </c>
      <c r="J365" s="7">
        <v>3</v>
      </c>
      <c r="K365" s="7">
        <v>989.86810000000003</v>
      </c>
      <c r="L365" s="7" t="str">
        <f>HYPERLINK("http://ms.phosphosite.org:5080/cgi-bin/plot-msms.cgi?MassType=1&amp;NumAxis=1&amp;Mod7=184&amp;Pep=ANQSPFRAPLNVTNTAGTSLPSVDLLQK&amp;Dta=/var/www/html/dta/yong/23616.22174.3.dta&amp;Global_Mod=CS57.0215", "22174")</f>
        <v>22174</v>
      </c>
      <c r="M365" s="7"/>
      <c r="N365" s="10">
        <v>100.85</v>
      </c>
      <c r="O365" s="10"/>
      <c r="P365" s="10">
        <v>3.87</v>
      </c>
      <c r="Q365" s="10"/>
      <c r="R365" s="10">
        <v>1.6833</v>
      </c>
      <c r="S365" s="10"/>
      <c r="T365" s="10">
        <v>0.24909999999999999</v>
      </c>
      <c r="U365" s="10"/>
      <c r="V365" s="7">
        <v>1</v>
      </c>
      <c r="W365" s="7"/>
      <c r="X365" s="10">
        <v>2.2599999999999998</v>
      </c>
      <c r="Y365" s="10"/>
      <c r="Z365" s="11">
        <v>1000</v>
      </c>
      <c r="AA365" s="11"/>
      <c r="AB365" s="7" t="s">
        <v>13</v>
      </c>
    </row>
    <row r="366" spans="1:28">
      <c r="A366" s="9" t="s">
        <v>400</v>
      </c>
      <c r="B366" s="9" t="s">
        <v>1591</v>
      </c>
      <c r="C366" s="9" t="s">
        <v>1592</v>
      </c>
      <c r="D366" s="7">
        <v>376</v>
      </c>
      <c r="E366" s="9" t="s">
        <v>406</v>
      </c>
      <c r="F366" s="7" t="s">
        <v>1364</v>
      </c>
      <c r="G366" s="7">
        <v>63.3</v>
      </c>
      <c r="H366" s="9" t="s">
        <v>407</v>
      </c>
      <c r="I366" s="9" t="s">
        <v>411</v>
      </c>
      <c r="J366" s="7">
        <v>4</v>
      </c>
      <c r="K366" s="7">
        <v>1191.6487</v>
      </c>
      <c r="L366" s="7" t="str">
        <f>HYPERLINK("http://ms.phosphosite.org:5080/cgi-bin/plot-msms.cgi?MassType=1&amp;NumAxis=1&amp;Mod24=184&amp;Pep=SPLLNQPVPELSHASLIANQSPFRAPLNVTNTAGTSLPSVDLLQK&amp;Dta=/var/www/html/dta/yong/23616.26617.4.dta&amp;Global_Mod=CS57.0215", "26617")</f>
        <v>26617</v>
      </c>
      <c r="M366" s="7" t="str">
        <f>HYPERLINK("http://ms.phosphosite.org:5080/cgi-bin/plot-msms.cgi?MassType=1&amp;NumAxis=1&amp;Mod24=184&amp;Pep=SPLLNQPVPELSHASLIANQSPFRAPLNVTNTAGTSLPSVDLLQK&amp;Dta=/var/www/html/dta/yong/23617.26679.4.dta&amp;Global_Mod=CS57.0215", "26679")</f>
        <v>26679</v>
      </c>
      <c r="N366" s="10">
        <v>119.02</v>
      </c>
      <c r="O366" s="10">
        <v>118.79</v>
      </c>
      <c r="P366" s="10">
        <v>4.5049999999999999</v>
      </c>
      <c r="Q366" s="10">
        <v>3.8450000000000002</v>
      </c>
      <c r="R366" s="10">
        <v>1.524</v>
      </c>
      <c r="S366" s="10">
        <v>1.5498000000000001</v>
      </c>
      <c r="T366" s="10">
        <v>0.31369999999999998</v>
      </c>
      <c r="U366" s="10">
        <v>0.16919999999999999</v>
      </c>
      <c r="V366" s="7">
        <v>1</v>
      </c>
      <c r="W366" s="7">
        <v>24</v>
      </c>
      <c r="X366" s="10">
        <v>2.67</v>
      </c>
      <c r="Y366" s="10">
        <v>1.69</v>
      </c>
      <c r="Z366" s="11">
        <v>1000</v>
      </c>
      <c r="AA366" s="11">
        <v>1000</v>
      </c>
      <c r="AB366" s="7" t="s">
        <v>13</v>
      </c>
    </row>
    <row r="367" spans="1:28">
      <c r="A367" s="9" t="s">
        <v>400</v>
      </c>
      <c r="B367" s="9" t="s">
        <v>1591</v>
      </c>
      <c r="C367" s="9" t="s">
        <v>1592</v>
      </c>
      <c r="D367" s="7">
        <v>376</v>
      </c>
      <c r="E367" s="9" t="s">
        <v>406</v>
      </c>
      <c r="F367" s="7" t="s">
        <v>1364</v>
      </c>
      <c r="G367" s="7">
        <v>63.3</v>
      </c>
      <c r="H367" s="9" t="s">
        <v>407</v>
      </c>
      <c r="I367" s="9" t="s">
        <v>411</v>
      </c>
      <c r="J367" s="7">
        <v>4</v>
      </c>
      <c r="K367" s="7">
        <v>1191.6487</v>
      </c>
      <c r="L367" s="7" t="str">
        <f>HYPERLINK("http://ms.phosphosite.org:5080/cgi-bin/plot-msms.cgi?MassType=1&amp;NumAxis=1&amp;Mod24=184&amp;Pep=SPLLNQPVPELSHASLIANQSPFRAPLNVTNTAGTSLPSVDLLQK&amp;Dta=/var/www/html/dta/yong/23616.26636.4.dta&amp;Global_Mod=CS57.0215", "26636")</f>
        <v>26636</v>
      </c>
      <c r="M367" s="7" t="str">
        <f>HYPERLINK("http://ms.phosphosite.org:5080/cgi-bin/plot-msms.cgi?MassType=1&amp;NumAxis=1&amp;Mod24=184&amp;Pep=SPLLNQPVPELSHASLIANQSPFRAPLNVTNTAGTSLPSVDLLQK&amp;Dta=/var/www/html/dta/yong/23617.26721.4.dta&amp;Global_Mod=CS57.0215", "26721")</f>
        <v>26721</v>
      </c>
      <c r="N367" s="10">
        <v>119.1</v>
      </c>
      <c r="O367" s="10">
        <v>118.97</v>
      </c>
      <c r="P367" s="10">
        <v>4.4480000000000004</v>
      </c>
      <c r="Q367" s="10">
        <v>3.2989999999999999</v>
      </c>
      <c r="R367" s="10">
        <v>1.524</v>
      </c>
      <c r="S367" s="10">
        <v>1.5547</v>
      </c>
      <c r="T367" s="10">
        <v>0.3498</v>
      </c>
      <c r="U367" s="10">
        <v>0.17130000000000001</v>
      </c>
      <c r="V367" s="7">
        <v>1</v>
      </c>
      <c r="W367" s="7">
        <v>1</v>
      </c>
      <c r="X367" s="10">
        <v>2.86</v>
      </c>
      <c r="Y367" s="10">
        <v>1.55</v>
      </c>
      <c r="Z367" s="11">
        <v>1000</v>
      </c>
      <c r="AA367" s="11">
        <v>1000</v>
      </c>
      <c r="AB367" s="7" t="s">
        <v>13</v>
      </c>
    </row>
    <row r="368" spans="1:28">
      <c r="A368" s="9" t="s">
        <v>400</v>
      </c>
      <c r="B368" s="9" t="s">
        <v>1591</v>
      </c>
      <c r="C368" s="9" t="s">
        <v>1592</v>
      </c>
      <c r="D368" s="7">
        <v>376</v>
      </c>
      <c r="E368" s="9" t="s">
        <v>406</v>
      </c>
      <c r="F368" s="7" t="s">
        <v>1364</v>
      </c>
      <c r="G368" s="7">
        <v>63.3</v>
      </c>
      <c r="H368" s="9" t="s">
        <v>407</v>
      </c>
      <c r="I368" s="9" t="s">
        <v>409</v>
      </c>
      <c r="J368" s="7">
        <v>3</v>
      </c>
      <c r="K368" s="7">
        <v>928.1748</v>
      </c>
      <c r="L368" s="7"/>
      <c r="M368" s="7" t="str">
        <f>HYPERLINK("http://ms.phosphosite.org:5080/cgi-bin/plot-msms.cgi?MassType=1&amp;NumAxis=1&amp;Mod5=184&amp;Pep=QSPFRAPLNVTNTAGTSLPSVDLLQK&amp;Dta=/var/www/html/dta/yong/23617.22075.3.dta&amp;Global_Mod=CS57.0215", "22075")</f>
        <v>22075</v>
      </c>
      <c r="N368" s="10"/>
      <c r="O368" s="10">
        <v>99.75</v>
      </c>
      <c r="P368" s="10"/>
      <c r="Q368" s="10">
        <v>4.4710000000000001</v>
      </c>
      <c r="R368" s="10"/>
      <c r="S368" s="10">
        <v>1.4399</v>
      </c>
      <c r="T368" s="10"/>
      <c r="U368" s="10">
        <v>0.3498</v>
      </c>
      <c r="V368" s="7"/>
      <c r="W368" s="7">
        <v>1</v>
      </c>
      <c r="X368" s="10"/>
      <c r="Y368" s="10">
        <v>3.11</v>
      </c>
      <c r="Z368" s="11"/>
      <c r="AA368" s="11">
        <v>1000</v>
      </c>
      <c r="AB368" s="7" t="s">
        <v>13</v>
      </c>
    </row>
    <row r="369" spans="1:28">
      <c r="A369" s="9" t="s">
        <v>400</v>
      </c>
      <c r="B369" s="9" t="s">
        <v>1591</v>
      </c>
      <c r="C369" s="9" t="s">
        <v>1592</v>
      </c>
      <c r="D369" s="7">
        <v>376</v>
      </c>
      <c r="E369" s="9" t="s">
        <v>406</v>
      </c>
      <c r="F369" s="7" t="s">
        <v>1364</v>
      </c>
      <c r="G369" s="7">
        <v>63.3</v>
      </c>
      <c r="H369" s="9" t="s">
        <v>407</v>
      </c>
      <c r="I369" s="9" t="s">
        <v>411</v>
      </c>
      <c r="J369" s="7">
        <v>5</v>
      </c>
      <c r="K369" s="7">
        <v>953.5204</v>
      </c>
      <c r="L369" s="7"/>
      <c r="M369" s="7" t="str">
        <f>HYPERLINK("http://ms.phosphosite.org:5080/cgi-bin/plot-msms.cgi?MassType=1&amp;NumAxis=1&amp;Mod24=184&amp;Pep=SPLLNQPVPELSHASLIANQSPFRAPLNVTNTAGTSLPSVDLLQK&amp;Dta=/var/www/html/dta/yong/23617.26703.5.dta&amp;Global_Mod=CS57.0215", "26703")</f>
        <v>26703</v>
      </c>
      <c r="N369" s="10"/>
      <c r="O369" s="10">
        <v>118.89</v>
      </c>
      <c r="P369" s="10"/>
      <c r="Q369" s="10">
        <v>4.4320000000000004</v>
      </c>
      <c r="R369" s="10"/>
      <c r="S369" s="10">
        <v>0.74219999999999997</v>
      </c>
      <c r="T369" s="10"/>
      <c r="U369" s="10">
        <v>0.26669999999999999</v>
      </c>
      <c r="V369" s="7"/>
      <c r="W369" s="7">
        <v>4</v>
      </c>
      <c r="X369" s="10"/>
      <c r="Y369" s="10">
        <v>2.48</v>
      </c>
      <c r="Z369" s="11"/>
      <c r="AA369" s="11">
        <v>1000</v>
      </c>
      <c r="AB369" s="7" t="s">
        <v>13</v>
      </c>
    </row>
    <row r="370" spans="1:28" s="18" customFormat="1">
      <c r="A370" s="18" t="s">
        <v>400</v>
      </c>
      <c r="B370" s="18" t="s">
        <v>1593</v>
      </c>
      <c r="C370" s="18" t="s">
        <v>1593</v>
      </c>
      <c r="D370" s="19"/>
      <c r="E370" s="18" t="s">
        <v>412</v>
      </c>
      <c r="F370" s="15" t="s">
        <v>1365</v>
      </c>
      <c r="G370" s="19">
        <v>97.3</v>
      </c>
      <c r="I370" s="18" t="s">
        <v>413</v>
      </c>
      <c r="J370" s="19">
        <v>3</v>
      </c>
      <c r="K370" s="19">
        <v>1030.2111</v>
      </c>
      <c r="L370" s="19"/>
      <c r="M370" s="19" t="str">
        <f>HYPERLINK("http://ms.phosphosite.org:5080/cgi-bin/plot-msms.cgi?MassType=1&amp;NumAxis=1&amp;Mod22=170&amp;Pep=SRPGASPDPFGPPPQVPSRPNRAPPGVPSR&amp;Dta=/var/www/html/dta/yong/23617.18883.3.dta&amp;Global_Mod=CS57.0215", "18883")</f>
        <v>18883</v>
      </c>
      <c r="N370" s="20"/>
      <c r="O370" s="20">
        <v>86.4</v>
      </c>
      <c r="P370" s="20"/>
      <c r="Q370" s="20">
        <v>3.2109999999999999</v>
      </c>
      <c r="R370" s="20"/>
      <c r="S370" s="20">
        <v>-2.1920999999999999</v>
      </c>
      <c r="T370" s="20"/>
      <c r="U370" s="20">
        <v>0.11600000000000001</v>
      </c>
      <c r="V370" s="19"/>
      <c r="W370" s="19">
        <v>69</v>
      </c>
      <c r="X370" s="20"/>
      <c r="Y370" s="20">
        <v>1.04</v>
      </c>
      <c r="Z370" s="21"/>
      <c r="AA370" s="21">
        <v>17</v>
      </c>
      <c r="AB370" s="19" t="s">
        <v>13</v>
      </c>
    </row>
    <row r="371" spans="1:28" s="13" customFormat="1">
      <c r="A371" s="13" t="s">
        <v>414</v>
      </c>
      <c r="B371" s="13" t="s">
        <v>415</v>
      </c>
      <c r="C371" s="13" t="s">
        <v>416</v>
      </c>
      <c r="D371" s="15"/>
      <c r="E371" s="13" t="s">
        <v>417</v>
      </c>
      <c r="F371" s="15" t="s">
        <v>1523</v>
      </c>
      <c r="G371" s="15">
        <v>23.6</v>
      </c>
      <c r="I371" s="13" t="s">
        <v>418</v>
      </c>
      <c r="J371" s="15">
        <v>2</v>
      </c>
      <c r="K371" s="15">
        <v>541.76729999999998</v>
      </c>
      <c r="L371" s="15"/>
      <c r="M371" s="15" t="str">
        <f>HYPERLINK("http://ms.phosphosite.org:5080/cgi-bin/plot-msms.cgi?MassType=1&amp;NumAxis=1&amp;Mod7=170&amp;Pep=THGACPRNR&amp;Dta=/var/www/html/dta/yong/23617.1944.2.dta&amp;Global_Mod=CS57.0215", "1944")</f>
        <v>1944</v>
      </c>
      <c r="N371" s="16"/>
      <c r="O371" s="16">
        <v>14.86</v>
      </c>
      <c r="P371" s="16"/>
      <c r="Q371" s="16">
        <v>1.7070000000000001</v>
      </c>
      <c r="R371" s="16"/>
      <c r="S371" s="16">
        <v>-3.3193000000000001</v>
      </c>
      <c r="T371" s="16"/>
      <c r="U371" s="16">
        <v>0.18920000000000001</v>
      </c>
      <c r="V371" s="15"/>
      <c r="W371" s="15">
        <v>3</v>
      </c>
      <c r="X371" s="16"/>
      <c r="Y371" s="16">
        <v>1.18</v>
      </c>
      <c r="Z371" s="17"/>
      <c r="AA371" s="17">
        <v>1000</v>
      </c>
      <c r="AB371" s="15" t="s">
        <v>13</v>
      </c>
    </row>
    <row r="372" spans="1:28" s="18" customFormat="1">
      <c r="A372" s="18" t="s">
        <v>414</v>
      </c>
      <c r="B372" s="18" t="s">
        <v>1594</v>
      </c>
      <c r="C372" s="18" t="s">
        <v>1594</v>
      </c>
      <c r="D372" s="19"/>
      <c r="E372" s="18" t="s">
        <v>419</v>
      </c>
      <c r="F372" s="15" t="s">
        <v>1366</v>
      </c>
      <c r="G372" s="19">
        <v>49.1</v>
      </c>
      <c r="I372" s="18" t="s">
        <v>420</v>
      </c>
      <c r="J372" s="19">
        <v>2</v>
      </c>
      <c r="K372" s="19">
        <v>1139.2723000000001</v>
      </c>
      <c r="L372" s="19" t="str">
        <f>HYPERLINK("http://ms.phosphosite.org:5080/cgi-bin/plot-msms.cgi?MassType=1&amp;NumAxis=1&amp;Mod16=170&amp;Mod17=170&amp;Pep=LLLFILLLVTVLLAARRRR&amp;Dta=/var/www/html/dta/yong/23616.25541.2.dta&amp;Global_Mod=CS57.0215", "25541")</f>
        <v>25541</v>
      </c>
      <c r="M372" s="19"/>
      <c r="N372" s="20">
        <v>114.36</v>
      </c>
      <c r="O372" s="20"/>
      <c r="P372" s="20">
        <v>1.0269999999999999</v>
      </c>
      <c r="Q372" s="20"/>
      <c r="R372" s="20">
        <v>43.660499999999999</v>
      </c>
      <c r="S372" s="20"/>
      <c r="T372" s="20">
        <v>0.74250000000000005</v>
      </c>
      <c r="U372" s="20"/>
      <c r="V372" s="19">
        <v>4</v>
      </c>
      <c r="W372" s="19"/>
      <c r="X372" s="20">
        <v>1.71</v>
      </c>
      <c r="Y372" s="20"/>
      <c r="Z372" s="21" t="s">
        <v>1310</v>
      </c>
      <c r="AA372" s="21"/>
      <c r="AB372" s="19" t="s">
        <v>13</v>
      </c>
    </row>
    <row r="373" spans="1:28" s="12" customFormat="1">
      <c r="A373" s="9" t="s">
        <v>421</v>
      </c>
      <c r="B373" s="9" t="s">
        <v>422</v>
      </c>
      <c r="C373" s="9" t="s">
        <v>422</v>
      </c>
      <c r="D373" s="7">
        <v>312</v>
      </c>
      <c r="E373" s="9" t="s">
        <v>423</v>
      </c>
      <c r="F373" s="7" t="s">
        <v>1367</v>
      </c>
      <c r="G373" s="7">
        <v>36.700000000000003</v>
      </c>
      <c r="H373" s="9" t="s">
        <v>424</v>
      </c>
      <c r="I373" s="9" t="s">
        <v>426</v>
      </c>
      <c r="J373" s="7">
        <v>3</v>
      </c>
      <c r="K373" s="7">
        <v>647.01099999999997</v>
      </c>
      <c r="L373" s="7" t="str">
        <f>HYPERLINK("http://ms.phosphosite.org:5080/cgi-bin/plot-msms.cgi?MassType=1&amp;NumAxis=1&amp;Mod12=184&amp;Pep=SGFAATSQPGPRLPFIQH&amp;Dta=/var/www/html/dta/yong/23616.17117.3.dta&amp;Global_Mod=CS57.0215", "17117")</f>
        <v>17117</v>
      </c>
      <c r="M373" s="7"/>
      <c r="N373" s="10">
        <v>79.67</v>
      </c>
      <c r="O373" s="10"/>
      <c r="P373" s="10">
        <v>2.2410000000000001</v>
      </c>
      <c r="Q373" s="10"/>
      <c r="R373" s="10">
        <v>1.2059</v>
      </c>
      <c r="S373" s="10"/>
      <c r="T373" s="10">
        <v>0.11509999999999999</v>
      </c>
      <c r="U373" s="10"/>
      <c r="V373" s="7">
        <v>8</v>
      </c>
      <c r="W373" s="7"/>
      <c r="X373" s="10">
        <v>1.08</v>
      </c>
      <c r="Y373" s="10"/>
      <c r="Z373" s="11">
        <v>1000</v>
      </c>
      <c r="AA373" s="11"/>
      <c r="AB373" s="7" t="s">
        <v>13</v>
      </c>
    </row>
    <row r="374" spans="1:28" s="12" customFormat="1">
      <c r="A374" s="9" t="s">
        <v>421</v>
      </c>
      <c r="B374" s="9" t="s">
        <v>422</v>
      </c>
      <c r="C374" s="9" t="s">
        <v>422</v>
      </c>
      <c r="D374" s="7">
        <v>312</v>
      </c>
      <c r="E374" s="9" t="s">
        <v>423</v>
      </c>
      <c r="F374" s="7" t="s">
        <v>1367</v>
      </c>
      <c r="G374" s="7">
        <v>36.700000000000003</v>
      </c>
      <c r="H374" s="9" t="s">
        <v>424</v>
      </c>
      <c r="I374" s="9" t="s">
        <v>425</v>
      </c>
      <c r="J374" s="7">
        <v>2</v>
      </c>
      <c r="K374" s="7">
        <v>780.91210000000001</v>
      </c>
      <c r="L374" s="7" t="str">
        <f>HYPERLINK("http://ms.phosphosite.org:5080/cgi-bin/plot-msms.cgi?MassType=1&amp;NumAxis=1&amp;Mod12=184&amp;Pep=SGFAATSQPGPRLPF&amp;Dta=/var/www/html/dta/yong/23616.19227.2.dta&amp;Global_Mod=CS57.0215", "19227")</f>
        <v>19227</v>
      </c>
      <c r="M374" s="7"/>
      <c r="N374" s="10">
        <v>88.7</v>
      </c>
      <c r="O374" s="10"/>
      <c r="P374" s="10">
        <v>3.5609999999999999</v>
      </c>
      <c r="Q374" s="10"/>
      <c r="R374" s="10">
        <v>1.7922</v>
      </c>
      <c r="S374" s="10"/>
      <c r="T374" s="10">
        <v>0.37669999999999998</v>
      </c>
      <c r="U374" s="10"/>
      <c r="V374" s="7">
        <v>1</v>
      </c>
      <c r="W374" s="7"/>
      <c r="X374" s="10">
        <v>2.93</v>
      </c>
      <c r="Y374" s="10"/>
      <c r="Z374" s="11">
        <v>1000</v>
      </c>
      <c r="AA374" s="11"/>
      <c r="AB374" s="7" t="s">
        <v>13</v>
      </c>
    </row>
    <row r="375" spans="1:28" s="12" customFormat="1">
      <c r="A375" s="9" t="s">
        <v>421</v>
      </c>
      <c r="B375" s="9" t="s">
        <v>422</v>
      </c>
      <c r="C375" s="9" t="s">
        <v>422</v>
      </c>
      <c r="D375" s="7">
        <v>312</v>
      </c>
      <c r="E375" s="9" t="s">
        <v>423</v>
      </c>
      <c r="F375" s="7" t="s">
        <v>1367</v>
      </c>
      <c r="G375" s="7">
        <v>36.700000000000003</v>
      </c>
      <c r="H375" s="9" t="s">
        <v>424</v>
      </c>
      <c r="I375" s="9" t="s">
        <v>425</v>
      </c>
      <c r="J375" s="7">
        <v>2</v>
      </c>
      <c r="K375" s="7">
        <v>780.91210000000001</v>
      </c>
      <c r="L375" s="7" t="str">
        <f>HYPERLINK("http://ms.phosphosite.org:5080/cgi-bin/plot-msms.cgi?MassType=1&amp;NumAxis=1&amp;Mod12=184&amp;Pep=SGFAATSQPGPRLPF&amp;Dta=/var/www/html/dta/yong/23616.19235.2.dta&amp;Global_Mod=CS57.0215", "19235")</f>
        <v>19235</v>
      </c>
      <c r="M375" s="7" t="str">
        <f>HYPERLINK("http://ms.phosphosite.org:5080/cgi-bin/plot-msms.cgi?MassType=1&amp;NumAxis=1&amp;Mod12=184&amp;Pep=SGFAATSQPGPRLPF&amp;Dta=/var/www/html/dta/yong/23617.19397.2.dta&amp;Global_Mod=CS57.0215", "19397")</f>
        <v>19397</v>
      </c>
      <c r="N375" s="10">
        <v>88.73</v>
      </c>
      <c r="O375" s="10">
        <v>88.66</v>
      </c>
      <c r="P375" s="10">
        <v>3.5310000000000001</v>
      </c>
      <c r="Q375" s="10">
        <v>3.6110000000000002</v>
      </c>
      <c r="R375" s="10">
        <v>1.7922</v>
      </c>
      <c r="S375" s="10">
        <v>1.5929</v>
      </c>
      <c r="T375" s="10">
        <v>0.40939999999999999</v>
      </c>
      <c r="U375" s="10">
        <v>0.45490000000000003</v>
      </c>
      <c r="V375" s="7">
        <v>1</v>
      </c>
      <c r="W375" s="7">
        <v>1</v>
      </c>
      <c r="X375" s="10">
        <v>3.1</v>
      </c>
      <c r="Y375" s="10">
        <v>3.33</v>
      </c>
      <c r="Z375" s="11">
        <v>1000</v>
      </c>
      <c r="AA375" s="11">
        <v>1000</v>
      </c>
      <c r="AB375" s="7" t="s">
        <v>13</v>
      </c>
    </row>
    <row r="376" spans="1:28">
      <c r="A376" s="3" t="s">
        <v>421</v>
      </c>
      <c r="B376" s="3" t="s">
        <v>422</v>
      </c>
      <c r="C376" s="3" t="s">
        <v>422</v>
      </c>
      <c r="D376" s="4" t="s">
        <v>1512</v>
      </c>
      <c r="E376" s="3" t="s">
        <v>423</v>
      </c>
      <c r="F376" s="7" t="s">
        <v>1367</v>
      </c>
      <c r="G376" s="4">
        <v>36.700000000000003</v>
      </c>
      <c r="H376" s="3" t="s">
        <v>427</v>
      </c>
      <c r="I376" s="3" t="s">
        <v>428</v>
      </c>
      <c r="J376" s="4">
        <v>4</v>
      </c>
      <c r="K376" s="4">
        <v>781.91120000000001</v>
      </c>
      <c r="L376" s="4" t="str">
        <f>HYPERLINK("http://ms.phosphosite.org:5080/cgi-bin/plot-msms.cgi?MassType=1&amp;NumAxis=1&amp;Mod12=184&amp;Mod23=184&amp;Pep=SGFAATSQPGPRLPFIQHSQNPRFYHK&amp;Dta=/var/www/html/dta/yong/23616.13177.4.dta&amp;Global_Mod=CS57.0215", "13177")</f>
        <v>13177</v>
      </c>
      <c r="M376" s="4"/>
      <c r="N376" s="5">
        <v>62.72</v>
      </c>
      <c r="O376" s="5"/>
      <c r="P376" s="5">
        <v>3.004</v>
      </c>
      <c r="Q376" s="5"/>
      <c r="R376" s="5">
        <v>1.3201000000000001</v>
      </c>
      <c r="S376" s="5"/>
      <c r="T376" s="5">
        <v>0.13289999999999999</v>
      </c>
      <c r="U376" s="5"/>
      <c r="V376" s="4">
        <v>11</v>
      </c>
      <c r="W376" s="4"/>
      <c r="X376" s="5">
        <v>1.1399999999999999</v>
      </c>
      <c r="Y376" s="5"/>
      <c r="Z376" s="6" t="s">
        <v>1306</v>
      </c>
      <c r="AA376" s="6"/>
      <c r="AB376" s="4" t="s">
        <v>13</v>
      </c>
    </row>
    <row r="377" spans="1:28">
      <c r="A377" s="3" t="s">
        <v>421</v>
      </c>
      <c r="B377" s="3" t="s">
        <v>422</v>
      </c>
      <c r="C377" s="3" t="s">
        <v>422</v>
      </c>
      <c r="D377" s="4" t="s">
        <v>1512</v>
      </c>
      <c r="E377" s="3" t="s">
        <v>423</v>
      </c>
      <c r="F377" s="7" t="s">
        <v>1367</v>
      </c>
      <c r="G377" s="4">
        <v>36.700000000000003</v>
      </c>
      <c r="H377" s="3" t="s">
        <v>427</v>
      </c>
      <c r="I377" s="3" t="s">
        <v>428</v>
      </c>
      <c r="J377" s="4">
        <v>3</v>
      </c>
      <c r="K377" s="4">
        <v>1042.2123999999999</v>
      </c>
      <c r="L377" s="4" t="str">
        <f>HYPERLINK("http://ms.phosphosite.org:5080/cgi-bin/plot-msms.cgi?MassType=1&amp;NumAxis=1&amp;Mod12=184&amp;Mod23=184&amp;Pep=SGFAATSQPGPRLPFIQHSQNPRFYHK&amp;Dta=/var/www/html/dta/yong/23616.13225.3.dta&amp;Global_Mod=CS57.0215", "13225")</f>
        <v>13225</v>
      </c>
      <c r="M377" s="4"/>
      <c r="N377" s="5">
        <v>62.93</v>
      </c>
      <c r="O377" s="5"/>
      <c r="P377" s="5">
        <v>4.7439999999999998</v>
      </c>
      <c r="Q377" s="5"/>
      <c r="R377" s="5">
        <v>0.54239999999999999</v>
      </c>
      <c r="S377" s="5"/>
      <c r="T377" s="5">
        <v>0.34339999999999998</v>
      </c>
      <c r="U377" s="5"/>
      <c r="V377" s="4">
        <v>1</v>
      </c>
      <c r="W377" s="4"/>
      <c r="X377" s="5">
        <v>2.86</v>
      </c>
      <c r="Y377" s="5"/>
      <c r="Z377" s="6" t="s">
        <v>1306</v>
      </c>
      <c r="AA377" s="6"/>
      <c r="AB377" s="4" t="s">
        <v>13</v>
      </c>
    </row>
    <row r="378" spans="1:28">
      <c r="A378" s="3" t="s">
        <v>421</v>
      </c>
      <c r="B378" s="3" t="s">
        <v>422</v>
      </c>
      <c r="C378" s="3" t="s">
        <v>422</v>
      </c>
      <c r="D378" s="4" t="s">
        <v>1512</v>
      </c>
      <c r="E378" s="3" t="s">
        <v>423</v>
      </c>
      <c r="F378" s="7" t="s">
        <v>1367</v>
      </c>
      <c r="G378" s="4">
        <v>36.700000000000003</v>
      </c>
      <c r="H378" s="3" t="s">
        <v>427</v>
      </c>
      <c r="I378" s="3" t="s">
        <v>428</v>
      </c>
      <c r="J378" s="4">
        <v>4</v>
      </c>
      <c r="K378" s="4">
        <v>781.91120000000001</v>
      </c>
      <c r="L378" s="4" t="str">
        <f>HYPERLINK("http://ms.phosphosite.org:5080/cgi-bin/plot-msms.cgi?MassType=1&amp;NumAxis=1&amp;Mod12=184&amp;Mod23=184&amp;Pep=SGFAATSQPGPRLPFIQHSQNPRFYHK&amp;Dta=/var/www/html/dta/yong/23616.13319.4.dta&amp;Global_Mod=CS57.0215", "13319")</f>
        <v>13319</v>
      </c>
      <c r="M378" s="4"/>
      <c r="N378" s="5">
        <v>63.35</v>
      </c>
      <c r="O378" s="5"/>
      <c r="P378" s="5">
        <v>3.9529999999999998</v>
      </c>
      <c r="Q378" s="5"/>
      <c r="R378" s="5">
        <v>1.3975</v>
      </c>
      <c r="S378" s="5"/>
      <c r="T378" s="5">
        <v>0.3382</v>
      </c>
      <c r="U378" s="5"/>
      <c r="V378" s="4">
        <v>1</v>
      </c>
      <c r="W378" s="4"/>
      <c r="X378" s="5">
        <v>2.58</v>
      </c>
      <c r="Y378" s="5"/>
      <c r="Z378" s="6" t="s">
        <v>1306</v>
      </c>
      <c r="AA378" s="6"/>
      <c r="AB378" s="4" t="s">
        <v>13</v>
      </c>
    </row>
    <row r="379" spans="1:28" s="12" customFormat="1">
      <c r="A379" s="18" t="s">
        <v>429</v>
      </c>
      <c r="B379" s="18" t="s">
        <v>1595</v>
      </c>
      <c r="C379" s="18" t="s">
        <v>1595</v>
      </c>
      <c r="D379" s="19">
        <v>263</v>
      </c>
      <c r="E379" s="18" t="s">
        <v>430</v>
      </c>
      <c r="F379" s="15" t="s">
        <v>1368</v>
      </c>
      <c r="G379" s="19">
        <v>86.8</v>
      </c>
      <c r="H379" s="18" t="s">
        <v>431</v>
      </c>
      <c r="I379" s="18" t="s">
        <v>438</v>
      </c>
      <c r="J379" s="19">
        <v>3</v>
      </c>
      <c r="K379" s="19">
        <v>545.65319999999997</v>
      </c>
      <c r="L379" s="19" t="str">
        <f>HYPERLINK("http://ms.phosphosite.org:5080/cgi-bin/plot-msms.cgi?MassType=1&amp;NumAxis=1&amp;Mod2=184&amp;Mod15=170&amp;Pep=QRAQLLGGAQLQPGR&amp;Dta=/var/www/html/dta/yong/23616.10143.3.dta&amp;Global_Mod=CS57.0215", "10143")</f>
        <v>10143</v>
      </c>
      <c r="M379" s="19" t="str">
        <f>HYPERLINK("http://ms.phosphosite.org:5080/cgi-bin/plot-msms.cgi?MassType=1&amp;NumAxis=1&amp;Mod2=184&amp;Mod15=170&amp;Pep=QRAQLLGGAQLQPGR&amp;Dta=/var/www/html/dta/yong/23617.10268.3.dta&amp;Global_Mod=CS57.0215", "10268")</f>
        <v>10268</v>
      </c>
      <c r="N379" s="20">
        <v>49.72</v>
      </c>
      <c r="O379" s="20">
        <v>49.73</v>
      </c>
      <c r="P379" s="20">
        <v>4.2590000000000003</v>
      </c>
      <c r="Q379" s="20">
        <v>3.8250000000000002</v>
      </c>
      <c r="R379" s="20">
        <v>0.57150000000000001</v>
      </c>
      <c r="S379" s="20">
        <v>0.44350000000000001</v>
      </c>
      <c r="T379" s="20">
        <v>0.2051</v>
      </c>
      <c r="U379" s="20">
        <v>0.25440000000000002</v>
      </c>
      <c r="V379" s="19">
        <v>2</v>
      </c>
      <c r="W379" s="19">
        <v>3</v>
      </c>
      <c r="X379" s="20">
        <v>3.51</v>
      </c>
      <c r="Y379" s="20">
        <v>3.46</v>
      </c>
      <c r="Z379" s="21" t="s">
        <v>1306</v>
      </c>
      <c r="AA379" s="21" t="s">
        <v>1306</v>
      </c>
      <c r="AB379" s="19" t="s">
        <v>13</v>
      </c>
    </row>
    <row r="380" spans="1:28" s="12" customFormat="1">
      <c r="A380" s="3" t="s">
        <v>429</v>
      </c>
      <c r="B380" s="3" t="s">
        <v>1595</v>
      </c>
      <c r="C380" s="3" t="s">
        <v>1595</v>
      </c>
      <c r="D380" s="4">
        <v>263</v>
      </c>
      <c r="E380" s="3" t="s">
        <v>430</v>
      </c>
      <c r="F380" s="7" t="s">
        <v>1368</v>
      </c>
      <c r="G380" s="4">
        <v>86.8</v>
      </c>
      <c r="H380" s="3" t="s">
        <v>431</v>
      </c>
      <c r="I380" s="3" t="s">
        <v>440</v>
      </c>
      <c r="J380" s="4">
        <v>4</v>
      </c>
      <c r="K380" s="4">
        <v>886.50440000000003</v>
      </c>
      <c r="L380" s="4" t="str">
        <f>HYPERLINK("http://ms.phosphosite.org:5080/cgi-bin/plot-msms.cgi?MassType=1&amp;NumAxis=1&amp;Mod21=184&amp;Pep=SSLLGHPFPPSVPPVLSPLQRAQLLGGAQLQPGR&amp;Dta=/var/www/html/dta/yong/23616.25290.4.dta&amp;Global_Mod=CS57.0215", "25290")</f>
        <v>25290</v>
      </c>
      <c r="M380" s="4" t="str">
        <f>HYPERLINK("http://ms.phosphosite.org:5080/cgi-bin/plot-msms.cgi?MassType=1&amp;NumAxis=1&amp;Mod21=184&amp;Pep=SSLLGHPFPPSVPPVLSPLQRAQLLGGAQLQPGR&amp;Dta=/var/www/html/dta/yong/23617.25488.4.dta&amp;Global_Mod=CS57.0215", "25488")</f>
        <v>25488</v>
      </c>
      <c r="N380" s="5">
        <v>113.37</v>
      </c>
      <c r="O380" s="5">
        <v>113.64</v>
      </c>
      <c r="P380" s="5">
        <v>3.2850000000000001</v>
      </c>
      <c r="Q380" s="5">
        <v>3.9630000000000001</v>
      </c>
      <c r="R380" s="5">
        <v>1.6440999999999999</v>
      </c>
      <c r="S380" s="5">
        <v>1.3626</v>
      </c>
      <c r="T380" s="5">
        <v>0.13200000000000001</v>
      </c>
      <c r="U380" s="5">
        <v>3.7699999999999997E-2</v>
      </c>
      <c r="V380" s="4">
        <v>1</v>
      </c>
      <c r="W380" s="4">
        <v>35</v>
      </c>
      <c r="X380" s="5">
        <v>2.59</v>
      </c>
      <c r="Y380" s="5">
        <v>2.04</v>
      </c>
      <c r="Z380" s="6">
        <v>1000</v>
      </c>
      <c r="AA380" s="6">
        <v>1000</v>
      </c>
      <c r="AB380" s="4" t="s">
        <v>13</v>
      </c>
    </row>
    <row r="381" spans="1:28" s="12" customFormat="1">
      <c r="A381" s="18" t="s">
        <v>429</v>
      </c>
      <c r="B381" s="18" t="s">
        <v>1595</v>
      </c>
      <c r="C381" s="18" t="s">
        <v>1596</v>
      </c>
      <c r="D381" s="19">
        <v>263</v>
      </c>
      <c r="E381" s="18" t="s">
        <v>430</v>
      </c>
      <c r="F381" s="15" t="s">
        <v>1368</v>
      </c>
      <c r="G381" s="19">
        <v>86.8</v>
      </c>
      <c r="H381" s="18" t="s">
        <v>431</v>
      </c>
      <c r="I381" s="18" t="s">
        <v>441</v>
      </c>
      <c r="J381" s="19">
        <v>4</v>
      </c>
      <c r="K381" s="19">
        <v>890.00829999999996</v>
      </c>
      <c r="L381" s="19" t="str">
        <f>HYPERLINK("http://ms.phosphosite.org:5080/cgi-bin/plot-msms.cgi?MassType=1&amp;NumAxis=1&amp;Mod21=184&amp;Mod34=170&amp;Pep=SSLLGHPFPPSVPPVLSPLQRAQLLGGAQLQPGR&amp;Dta=/var/www/html/dta/yong/23616.25327.4.dta&amp;Global_Mod=CS57.0215", "25327")</f>
        <v>25327</v>
      </c>
      <c r="M381" s="19" t="str">
        <f>HYPERLINK("http://ms.phosphosite.org:5080/cgi-bin/plot-msms.cgi?MassType=1&amp;NumAxis=1&amp;Mod21=184&amp;Mod34=170&amp;Pep=SSLLGHPFPPSVPPVLSPLQRAQLLGGAQLQPGR&amp;Dta=/var/www/html/dta/yong/23617.25507.4.dta&amp;Global_Mod=CS57.0215", "25507")</f>
        <v>25507</v>
      </c>
      <c r="N381" s="20">
        <v>113.52</v>
      </c>
      <c r="O381" s="20">
        <v>113.71</v>
      </c>
      <c r="P381" s="20">
        <v>2.5430000000000001</v>
      </c>
      <c r="Q381" s="20">
        <v>3.1659999999999999</v>
      </c>
      <c r="R381" s="20">
        <v>0.26350000000000001</v>
      </c>
      <c r="S381" s="20">
        <v>1.0475000000000001</v>
      </c>
      <c r="T381" s="20">
        <v>0.10349999999999999</v>
      </c>
      <c r="U381" s="20">
        <v>0.14099999999999999</v>
      </c>
      <c r="V381" s="19">
        <v>5</v>
      </c>
      <c r="W381" s="19">
        <v>1</v>
      </c>
      <c r="X381" s="20">
        <v>2.27</v>
      </c>
      <c r="Y381" s="20">
        <v>2.41</v>
      </c>
      <c r="Z381" s="21" t="s">
        <v>1306</v>
      </c>
      <c r="AA381" s="21" t="s">
        <v>1306</v>
      </c>
      <c r="AB381" s="19" t="s">
        <v>13</v>
      </c>
    </row>
    <row r="382" spans="1:28" s="12" customFormat="1">
      <c r="A382" s="3" t="s">
        <v>429</v>
      </c>
      <c r="B382" s="3" t="s">
        <v>1595</v>
      </c>
      <c r="C382" s="3" t="s">
        <v>1595</v>
      </c>
      <c r="D382" s="4">
        <v>263</v>
      </c>
      <c r="E382" s="3" t="s">
        <v>430</v>
      </c>
      <c r="F382" s="7" t="s">
        <v>1368</v>
      </c>
      <c r="G382" s="4">
        <v>86.8</v>
      </c>
      <c r="H382" s="3" t="s">
        <v>431</v>
      </c>
      <c r="I382" s="3" t="s">
        <v>440</v>
      </c>
      <c r="J382" s="4">
        <v>4</v>
      </c>
      <c r="K382" s="4">
        <v>886.50440000000003</v>
      </c>
      <c r="L382" s="4" t="str">
        <f>HYPERLINK("http://ms.phosphosite.org:5080/cgi-bin/plot-msms.cgi?MassType=1&amp;NumAxis=1&amp;Mod21=184&amp;Pep=SSLLGHPFPPSVPPVLSPLQRAQLLGGAQLQPGR&amp;Dta=/var/www/html/dta/yong/23616.25420.4.dta&amp;Global_Mod=CS57.0215", "25420")</f>
        <v>25420</v>
      </c>
      <c r="M382" s="4" t="str">
        <f>HYPERLINK("http://ms.phosphosite.org:5080/cgi-bin/plot-msms.cgi?MassType=1&amp;NumAxis=1&amp;Mod21=184&amp;Pep=SSLLGHPFPPSVPPVLSPLQRAQLLGGAQLQPGR&amp;Dta=/var/www/html/dta/yong/23617.25593.4.dta&amp;Global_Mod=CS57.0215", "25593")</f>
        <v>25593</v>
      </c>
      <c r="N382" s="5">
        <v>113.89</v>
      </c>
      <c r="O382" s="5">
        <v>114.07</v>
      </c>
      <c r="P382" s="5">
        <v>3.5979999999999999</v>
      </c>
      <c r="Q382" s="5">
        <v>4.8499999999999996</v>
      </c>
      <c r="R382" s="5">
        <v>1.5489999999999999</v>
      </c>
      <c r="S382" s="5">
        <v>2.4887000000000001</v>
      </c>
      <c r="T382" s="5">
        <v>0.35099999999999998</v>
      </c>
      <c r="U382" s="5">
        <v>0.36320000000000002</v>
      </c>
      <c r="V382" s="4">
        <v>1</v>
      </c>
      <c r="W382" s="4">
        <v>1</v>
      </c>
      <c r="X382" s="5">
        <v>3.93</v>
      </c>
      <c r="Y382" s="5">
        <v>4.0999999999999996</v>
      </c>
      <c r="Z382" s="6">
        <v>1000</v>
      </c>
      <c r="AA382" s="6">
        <v>1000</v>
      </c>
      <c r="AB382" s="4" t="s">
        <v>13</v>
      </c>
    </row>
    <row r="383" spans="1:28" s="12" customFormat="1">
      <c r="A383" s="3" t="s">
        <v>429</v>
      </c>
      <c r="B383" s="3" t="s">
        <v>1595</v>
      </c>
      <c r="C383" s="3" t="s">
        <v>1595</v>
      </c>
      <c r="D383" s="4">
        <v>263</v>
      </c>
      <c r="E383" s="3" t="s">
        <v>430</v>
      </c>
      <c r="F383" s="7" t="s">
        <v>1368</v>
      </c>
      <c r="G383" s="4">
        <v>86.8</v>
      </c>
      <c r="H383" s="3" t="s">
        <v>431</v>
      </c>
      <c r="I383" s="3" t="s">
        <v>442</v>
      </c>
      <c r="J383" s="4">
        <v>4</v>
      </c>
      <c r="K383" s="4">
        <v>985.80340000000001</v>
      </c>
      <c r="L383" s="4" t="str">
        <f>HYPERLINK("http://ms.phosphosite.org:5080/cgi-bin/plot-msms.cgi?MassType=1&amp;NumAxis=1&amp;Mod25=184&amp;Pep=SVPNSSLLGHPFPPSVPPVLSPLQRAQLLGGAQLQPGR&amp;Dta=/var/www/html/dta/yong/23616.25440.4.dta&amp;Global_Mod=CS57.0215", "25440")</f>
        <v>25440</v>
      </c>
      <c r="M383" s="4" t="str">
        <f>HYPERLINK("http://ms.phosphosite.org:5080/cgi-bin/plot-msms.cgi?MassType=1&amp;NumAxis=1&amp;Mod25=184&amp;Pep=SVPNSSLLGHPFPPSVPPVLSPLQRAQLLGGAQLQPGR&amp;Dta=/var/www/html/dta/yong/23617.26031.4.dta&amp;Global_Mod=CS57.0215", "26031")</f>
        <v>26031</v>
      </c>
      <c r="N383" s="5">
        <v>113.97</v>
      </c>
      <c r="O383" s="5">
        <v>115.99</v>
      </c>
      <c r="P383" s="5">
        <v>2.423</v>
      </c>
      <c r="Q383" s="5">
        <v>3.5</v>
      </c>
      <c r="R383" s="5">
        <v>0.36840000000000001</v>
      </c>
      <c r="S383" s="5">
        <v>1.5659000000000001</v>
      </c>
      <c r="T383" s="5">
        <v>0.11260000000000001</v>
      </c>
      <c r="U383" s="5">
        <v>0.26550000000000001</v>
      </c>
      <c r="V383" s="4">
        <v>64</v>
      </c>
      <c r="W383" s="4">
        <v>1</v>
      </c>
      <c r="X383" s="5">
        <v>2.23</v>
      </c>
      <c r="Y383" s="5">
        <v>3.14</v>
      </c>
      <c r="Z383" s="6">
        <v>1000</v>
      </c>
      <c r="AA383" s="6">
        <v>1000</v>
      </c>
      <c r="AB383" s="4" t="s">
        <v>13</v>
      </c>
    </row>
    <row r="384" spans="1:28" s="12" customFormat="1">
      <c r="A384" s="3" t="s">
        <v>429</v>
      </c>
      <c r="B384" s="3" t="s">
        <v>1595</v>
      </c>
      <c r="C384" s="3" t="s">
        <v>1595</v>
      </c>
      <c r="D384" s="4">
        <v>263</v>
      </c>
      <c r="E384" s="3" t="s">
        <v>430</v>
      </c>
      <c r="F384" s="7" t="s">
        <v>1368</v>
      </c>
      <c r="G384" s="4">
        <v>86.8</v>
      </c>
      <c r="H384" s="3" t="s">
        <v>431</v>
      </c>
      <c r="I384" s="3" t="s">
        <v>442</v>
      </c>
      <c r="J384" s="4">
        <v>4</v>
      </c>
      <c r="K384" s="4">
        <v>985.80340000000001</v>
      </c>
      <c r="L384" s="4" t="str">
        <f>HYPERLINK("http://ms.phosphosite.org:5080/cgi-bin/plot-msms.cgi?MassType=1&amp;NumAxis=1&amp;Mod25=184&amp;Pep=SVPNSSLLGHPFPPSVPPVLSPLQRAQLLGGAQLQPGR&amp;Dta=/var/www/html/dta/yong/23616.25515.4.dta&amp;Global_Mod=CS57.0215", "25515")</f>
        <v>25515</v>
      </c>
      <c r="M384" s="4" t="str">
        <f>HYPERLINK("http://ms.phosphosite.org:5080/cgi-bin/plot-msms.cgi?MassType=1&amp;NumAxis=1&amp;Mod25=184&amp;Pep=SVPNSSLLGHPFPPSVPPVLSPLQRAQLLGGAQLQPGR&amp;Dta=/var/www/html/dta/yong/23617.25535.4.dta&amp;Global_Mod=CS57.0215", "25535")</f>
        <v>25535</v>
      </c>
      <c r="N384" s="5">
        <v>114.26</v>
      </c>
      <c r="O384" s="5">
        <v>113.83</v>
      </c>
      <c r="P384" s="5">
        <v>2.9740000000000002</v>
      </c>
      <c r="Q384" s="5">
        <v>2.96</v>
      </c>
      <c r="R384" s="5">
        <v>1.0832999999999999</v>
      </c>
      <c r="S384" s="5">
        <v>0.71809999999999996</v>
      </c>
      <c r="T384" s="5">
        <v>0.1787</v>
      </c>
      <c r="U384" s="5">
        <v>0.1898</v>
      </c>
      <c r="V384" s="4">
        <v>39</v>
      </c>
      <c r="W384" s="4">
        <v>3</v>
      </c>
      <c r="X384" s="5">
        <v>2.74</v>
      </c>
      <c r="Y384" s="5">
        <v>2.59</v>
      </c>
      <c r="Z384" s="6">
        <v>1000</v>
      </c>
      <c r="AA384" s="6">
        <v>1000</v>
      </c>
      <c r="AB384" s="4" t="s">
        <v>13</v>
      </c>
    </row>
    <row r="385" spans="1:28" s="12" customFormat="1">
      <c r="A385" s="3" t="s">
        <v>429</v>
      </c>
      <c r="B385" s="3" t="s">
        <v>1595</v>
      </c>
      <c r="C385" s="3" t="s">
        <v>1595</v>
      </c>
      <c r="D385" s="4">
        <v>263</v>
      </c>
      <c r="E385" s="3" t="s">
        <v>430</v>
      </c>
      <c r="F385" s="7" t="s">
        <v>1368</v>
      </c>
      <c r="G385" s="4">
        <v>86.8</v>
      </c>
      <c r="H385" s="3" t="s">
        <v>431</v>
      </c>
      <c r="I385" s="3" t="s">
        <v>440</v>
      </c>
      <c r="J385" s="4">
        <v>4</v>
      </c>
      <c r="K385" s="4">
        <v>886.50440000000003</v>
      </c>
      <c r="L385" s="4" t="str">
        <f>HYPERLINK("http://ms.phosphosite.org:5080/cgi-bin/plot-msms.cgi?MassType=1&amp;NumAxis=1&amp;Mod21=184&amp;Pep=SSLLGHPFPPSVPPVLSPLQRAQLLGGAQLQPGR&amp;Dta=/var/www/html/dta/yong/23616.25539.4.dta&amp;Global_Mod=CS57.0215", "25539")</f>
        <v>25539</v>
      </c>
      <c r="M385" s="4" t="str">
        <f>HYPERLINK("http://ms.phosphosite.org:5080/cgi-bin/plot-msms.cgi?MassType=1&amp;NumAxis=1&amp;Mod21=184&amp;Pep=SSLLGHPFPPSVPPVLSPLQRAQLLGGAQLQPGR&amp;Dta=/var/www/html/dta/yong/23617.26088.4.dta&amp;Global_Mod=CS57.0215", "26088")</f>
        <v>26088</v>
      </c>
      <c r="N385" s="5">
        <v>114.35</v>
      </c>
      <c r="O385" s="5">
        <v>116.22</v>
      </c>
      <c r="P385" s="5">
        <v>3.7759999999999998</v>
      </c>
      <c r="Q385" s="5">
        <v>2.532</v>
      </c>
      <c r="R385" s="5">
        <v>6.0438000000000001</v>
      </c>
      <c r="S385" s="5">
        <v>2.0545</v>
      </c>
      <c r="T385" s="5">
        <v>0.34179999999999999</v>
      </c>
      <c r="U385" s="5">
        <v>0.2392</v>
      </c>
      <c r="V385" s="4">
        <v>4</v>
      </c>
      <c r="W385" s="4">
        <v>3</v>
      </c>
      <c r="X385" s="5">
        <v>3.71</v>
      </c>
      <c r="Y385" s="5">
        <v>2.72</v>
      </c>
      <c r="Z385" s="6">
        <v>1000</v>
      </c>
      <c r="AA385" s="6">
        <v>1000</v>
      </c>
      <c r="AB385" s="4" t="s">
        <v>13</v>
      </c>
    </row>
    <row r="386" spans="1:28" s="12" customFormat="1">
      <c r="A386" s="18" t="s">
        <v>429</v>
      </c>
      <c r="B386" s="18" t="s">
        <v>1595</v>
      </c>
      <c r="C386" s="18" t="s">
        <v>1596</v>
      </c>
      <c r="D386" s="19">
        <v>263</v>
      </c>
      <c r="E386" s="18" t="s">
        <v>430</v>
      </c>
      <c r="F386" s="15" t="s">
        <v>1368</v>
      </c>
      <c r="G386" s="19">
        <v>86.8</v>
      </c>
      <c r="H386" s="18" t="s">
        <v>431</v>
      </c>
      <c r="I386" s="18" t="s">
        <v>443</v>
      </c>
      <c r="J386" s="19">
        <v>4</v>
      </c>
      <c r="K386" s="19">
        <v>989.30740000000003</v>
      </c>
      <c r="L386" s="19" t="str">
        <f>HYPERLINK("http://ms.phosphosite.org:5080/cgi-bin/plot-msms.cgi?MassType=1&amp;NumAxis=1&amp;Mod25=184&amp;Mod38=170&amp;Pep=SVPNSSLLGHPFPPSVPPVLSPLQRAQLLGGAQLQPGR&amp;Dta=/var/www/html/dta/yong/23616.25547.4.dta&amp;Global_Mod=CS57.0215", "25547")</f>
        <v>25547</v>
      </c>
      <c r="M386" s="19" t="str">
        <f>HYPERLINK("http://ms.phosphosite.org:5080/cgi-bin/plot-msms.cgi?MassType=1&amp;NumAxis=1&amp;Mod25=184&amp;Mod38=170&amp;Pep=SVPNSSLLGHPFPPSVPPVLSPLQRAQLLGGAQLQPGR&amp;Dta=/var/www/html/dta/yong/23617.26547.4.dta&amp;Global_Mod=CS57.0215", "26547")</f>
        <v>26547</v>
      </c>
      <c r="N386" s="20">
        <v>114.38</v>
      </c>
      <c r="O386" s="20">
        <v>118.2</v>
      </c>
      <c r="P386" s="20">
        <v>3.234</v>
      </c>
      <c r="Q386" s="20">
        <v>3.234</v>
      </c>
      <c r="R386" s="20">
        <v>1.2848999999999999</v>
      </c>
      <c r="S386" s="20">
        <v>1.3838999999999999</v>
      </c>
      <c r="T386" s="20">
        <v>0.34</v>
      </c>
      <c r="U386" s="20">
        <v>0.2248</v>
      </c>
      <c r="V386" s="19">
        <v>1</v>
      </c>
      <c r="W386" s="19">
        <v>1</v>
      </c>
      <c r="X386" s="20">
        <v>3.74</v>
      </c>
      <c r="Y386" s="20">
        <v>2.84</v>
      </c>
      <c r="Z386" s="21" t="s">
        <v>1306</v>
      </c>
      <c r="AA386" s="21" t="s">
        <v>1306</v>
      </c>
      <c r="AB386" s="19" t="s">
        <v>13</v>
      </c>
    </row>
    <row r="387" spans="1:28" s="12" customFormat="1">
      <c r="A387" s="3" t="s">
        <v>429</v>
      </c>
      <c r="B387" s="3" t="s">
        <v>1595</v>
      </c>
      <c r="C387" s="3" t="s">
        <v>1595</v>
      </c>
      <c r="D387" s="4">
        <v>263</v>
      </c>
      <c r="E387" s="3" t="s">
        <v>430</v>
      </c>
      <c r="F387" s="7" t="s">
        <v>1368</v>
      </c>
      <c r="G387" s="4">
        <v>86.8</v>
      </c>
      <c r="H387" s="3" t="s">
        <v>431</v>
      </c>
      <c r="I387" s="3" t="s">
        <v>440</v>
      </c>
      <c r="J387" s="4">
        <v>4</v>
      </c>
      <c r="K387" s="4">
        <v>886.50440000000003</v>
      </c>
      <c r="L387" s="4" t="str">
        <f>HYPERLINK("http://ms.phosphosite.org:5080/cgi-bin/plot-msms.cgi?MassType=1&amp;NumAxis=1&amp;Mod21=184&amp;Pep=SSLLGHPFPPSVPPVLSPLQRAQLLGGAQLQPGR&amp;Dta=/var/www/html/dta/yong/23616.25558.4.dta&amp;Global_Mod=CS57.0215", "25558")</f>
        <v>25558</v>
      </c>
      <c r="M387" s="4" t="str">
        <f>HYPERLINK("http://ms.phosphosite.org:5080/cgi-bin/plot-msms.cgi?MassType=1&amp;NumAxis=1&amp;Mod21=184&amp;Pep=SSLLGHPFPPSVPPVLSPLQRAQLLGGAQLQPGR&amp;Dta=/var/www/html/dta/yong/23617.25522.4.dta&amp;Global_Mod=CS57.0215", "25522")</f>
        <v>25522</v>
      </c>
      <c r="N387" s="5">
        <v>114.42</v>
      </c>
      <c r="O387" s="5">
        <v>113.77</v>
      </c>
      <c r="P387" s="5">
        <v>3.4380000000000002</v>
      </c>
      <c r="Q387" s="5">
        <v>3.7250000000000001</v>
      </c>
      <c r="R387" s="5">
        <v>0.98399999999999999</v>
      </c>
      <c r="S387" s="5">
        <v>0.96109999999999995</v>
      </c>
      <c r="T387" s="5">
        <v>0.16220000000000001</v>
      </c>
      <c r="U387" s="5">
        <v>0.34010000000000001</v>
      </c>
      <c r="V387" s="4">
        <v>20</v>
      </c>
      <c r="W387" s="4">
        <v>1</v>
      </c>
      <c r="X387" s="5">
        <v>2.83</v>
      </c>
      <c r="Y387" s="5">
        <v>3.7</v>
      </c>
      <c r="Z387" s="6">
        <v>1000</v>
      </c>
      <c r="AA387" s="6">
        <v>1000</v>
      </c>
      <c r="AB387" s="4" t="s">
        <v>13</v>
      </c>
    </row>
    <row r="388" spans="1:28" s="12" customFormat="1">
      <c r="A388" s="18" t="s">
        <v>429</v>
      </c>
      <c r="B388" s="18" t="s">
        <v>1595</v>
      </c>
      <c r="C388" s="18" t="s">
        <v>1596</v>
      </c>
      <c r="D388" s="19">
        <v>263</v>
      </c>
      <c r="E388" s="18" t="s">
        <v>430</v>
      </c>
      <c r="F388" s="15" t="s">
        <v>1368</v>
      </c>
      <c r="G388" s="19">
        <v>86.8</v>
      </c>
      <c r="H388" s="18" t="s">
        <v>431</v>
      </c>
      <c r="I388" s="18" t="s">
        <v>443</v>
      </c>
      <c r="J388" s="19">
        <v>4</v>
      </c>
      <c r="K388" s="19">
        <v>989.30740000000003</v>
      </c>
      <c r="L388" s="19" t="str">
        <f>HYPERLINK("http://ms.phosphosite.org:5080/cgi-bin/plot-msms.cgi?MassType=1&amp;NumAxis=1&amp;Mod25=184&amp;Mod38=170&amp;Pep=SVPNSSLLGHPFPPSVPPVLSPLQRAQLLGGAQLQPGR&amp;Dta=/var/www/html/dta/yong/23616.25564.4.dta&amp;Global_Mod=CS57.0215", "25564")</f>
        <v>25564</v>
      </c>
      <c r="M388" s="19"/>
      <c r="N388" s="20">
        <v>114.45</v>
      </c>
      <c r="O388" s="20"/>
      <c r="P388" s="20">
        <v>2.6989999999999998</v>
      </c>
      <c r="Q388" s="20"/>
      <c r="R388" s="20">
        <v>1.2419</v>
      </c>
      <c r="S388" s="20"/>
      <c r="T388" s="20">
        <v>2.3E-3</v>
      </c>
      <c r="U388" s="20"/>
      <c r="V388" s="19">
        <v>1</v>
      </c>
      <c r="W388" s="19"/>
      <c r="X388" s="20">
        <v>1.67</v>
      </c>
      <c r="Y388" s="20"/>
      <c r="Z388" s="21" t="s">
        <v>1306</v>
      </c>
      <c r="AA388" s="21"/>
      <c r="AB388" s="19" t="s">
        <v>13</v>
      </c>
    </row>
    <row r="389" spans="1:28" s="12" customFormat="1">
      <c r="A389" s="18" t="s">
        <v>429</v>
      </c>
      <c r="B389" s="18" t="s">
        <v>1595</v>
      </c>
      <c r="C389" s="18" t="s">
        <v>1596</v>
      </c>
      <c r="D389" s="19">
        <v>263</v>
      </c>
      <c r="E389" s="18" t="s">
        <v>430</v>
      </c>
      <c r="F389" s="15" t="s">
        <v>1368</v>
      </c>
      <c r="G389" s="19">
        <v>86.8</v>
      </c>
      <c r="H389" s="18" t="s">
        <v>431</v>
      </c>
      <c r="I389" s="18" t="s">
        <v>441</v>
      </c>
      <c r="J389" s="19">
        <v>4</v>
      </c>
      <c r="K389" s="19">
        <v>890.00829999999996</v>
      </c>
      <c r="L389" s="19" t="str">
        <f>HYPERLINK("http://ms.phosphosite.org:5080/cgi-bin/plot-msms.cgi?MassType=1&amp;NumAxis=1&amp;Mod21=184&amp;Mod34=170&amp;Pep=SSLLGHPFPPSVPPVLSPLQRAQLLGGAQLQPGR&amp;Dta=/var/www/html/dta/yong/23616.25568.4.dta&amp;Global_Mod=CS57.0215", "25568")</f>
        <v>25568</v>
      </c>
      <c r="M389" s="19" t="str">
        <f>HYPERLINK("http://ms.phosphosite.org:5080/cgi-bin/plot-msms.cgi?MassType=1&amp;NumAxis=1&amp;Mod21=184&amp;Mod34=170&amp;Pep=SSLLGHPFPPSVPPVLSPLQRAQLLGGAQLQPGR&amp;Dta=/var/www/html/dta/yong/23617.25548.4.dta&amp;Global_Mod=CS57.0215", "25548")</f>
        <v>25548</v>
      </c>
      <c r="N389" s="20">
        <v>114.46</v>
      </c>
      <c r="O389" s="20">
        <v>113.88</v>
      </c>
      <c r="P389" s="20">
        <v>2.6150000000000002</v>
      </c>
      <c r="Q389" s="20">
        <v>3.1230000000000002</v>
      </c>
      <c r="R389" s="20">
        <v>2.2134</v>
      </c>
      <c r="S389" s="20">
        <v>1.2194</v>
      </c>
      <c r="T389" s="20">
        <v>0.14599999999999999</v>
      </c>
      <c r="U389" s="20">
        <v>0.22600000000000001</v>
      </c>
      <c r="V389" s="19">
        <v>2</v>
      </c>
      <c r="W389" s="19">
        <v>2</v>
      </c>
      <c r="X389" s="20">
        <v>2.4500000000000002</v>
      </c>
      <c r="Y389" s="20">
        <v>2.86</v>
      </c>
      <c r="Z389" s="21" t="s">
        <v>1306</v>
      </c>
      <c r="AA389" s="21" t="s">
        <v>1306</v>
      </c>
      <c r="AB389" s="19" t="s">
        <v>13</v>
      </c>
    </row>
    <row r="390" spans="1:28" s="12" customFormat="1">
      <c r="A390" s="18" t="s">
        <v>429</v>
      </c>
      <c r="B390" s="18" t="s">
        <v>1595</v>
      </c>
      <c r="C390" s="18" t="s">
        <v>1596</v>
      </c>
      <c r="D390" s="19">
        <v>263</v>
      </c>
      <c r="E390" s="18" t="s">
        <v>430</v>
      </c>
      <c r="F390" s="15" t="s">
        <v>1368</v>
      </c>
      <c r="G390" s="19">
        <v>86.8</v>
      </c>
      <c r="H390" s="18" t="s">
        <v>431</v>
      </c>
      <c r="I390" s="18" t="s">
        <v>443</v>
      </c>
      <c r="J390" s="19">
        <v>4</v>
      </c>
      <c r="K390" s="19">
        <v>989.30740000000003</v>
      </c>
      <c r="L390" s="19" t="str">
        <f>HYPERLINK("http://ms.phosphosite.org:5080/cgi-bin/plot-msms.cgi?MassType=1&amp;NumAxis=1&amp;Mod25=184&amp;Mod38=170&amp;Pep=SVPNSSLLGHPFPPSVPPVLSPLQRAQLLGGAQLQPGR&amp;Dta=/var/www/html/dta/yong/23616.25574.4.dta&amp;Global_Mod=CS57.0215", "25574")</f>
        <v>25574</v>
      </c>
      <c r="M390" s="19" t="str">
        <f>HYPERLINK("http://ms.phosphosite.org:5080/cgi-bin/plot-msms.cgi?MassType=1&amp;NumAxis=1&amp;Mod25=184&amp;Mod38=170&amp;Pep=SVPNSSLLGHPFPPSVPPVLSPLQRAQLLGGAQLQPGR&amp;Dta=/var/www/html/dta/yong/23617.26769.4.dta&amp;Global_Mod=CS57.0215", "26769")</f>
        <v>26769</v>
      </c>
      <c r="N390" s="20">
        <v>114.49</v>
      </c>
      <c r="O390" s="20">
        <v>119.17</v>
      </c>
      <c r="P390" s="20">
        <v>3.2130000000000001</v>
      </c>
      <c r="Q390" s="20">
        <v>3.4980000000000002</v>
      </c>
      <c r="R390" s="20">
        <v>1.1647000000000001</v>
      </c>
      <c r="S390" s="20">
        <v>1.6406000000000001</v>
      </c>
      <c r="T390" s="20">
        <v>0.17100000000000001</v>
      </c>
      <c r="U390" s="20">
        <v>0.14680000000000001</v>
      </c>
      <c r="V390" s="19">
        <v>1</v>
      </c>
      <c r="W390" s="19">
        <v>126</v>
      </c>
      <c r="X390" s="20">
        <v>2.78</v>
      </c>
      <c r="Y390" s="20">
        <v>2.41</v>
      </c>
      <c r="Z390" s="21" t="s">
        <v>1306</v>
      </c>
      <c r="AA390" s="21" t="s">
        <v>1306</v>
      </c>
      <c r="AB390" s="19" t="s">
        <v>13</v>
      </c>
    </row>
    <row r="391" spans="1:28" s="12" customFormat="1">
      <c r="A391" s="3" t="s">
        <v>429</v>
      </c>
      <c r="B391" s="3" t="s">
        <v>1595</v>
      </c>
      <c r="C391" s="3" t="s">
        <v>1595</v>
      </c>
      <c r="D391" s="4">
        <v>263</v>
      </c>
      <c r="E391" s="3" t="s">
        <v>430</v>
      </c>
      <c r="F391" s="7" t="s">
        <v>1368</v>
      </c>
      <c r="G391" s="4">
        <v>86.8</v>
      </c>
      <c r="H391" s="3" t="s">
        <v>431</v>
      </c>
      <c r="I391" s="3" t="s">
        <v>440</v>
      </c>
      <c r="J391" s="4">
        <v>4</v>
      </c>
      <c r="K391" s="4">
        <v>886.50440000000003</v>
      </c>
      <c r="L391" s="4" t="str">
        <f>HYPERLINK("http://ms.phosphosite.org:5080/cgi-bin/plot-msms.cgi?MassType=1&amp;NumAxis=1&amp;Mod21=184&amp;Pep=SSLLGHPFPPSVPPVLSPLQRAQLLGGAQLQPGR&amp;Dta=/var/www/html/dta/yong/23616.25602.4.dta&amp;Global_Mod=CS57.0215", "25602")</f>
        <v>25602</v>
      </c>
      <c r="M391" s="4" t="str">
        <f>HYPERLINK("http://ms.phosphosite.org:5080/cgi-bin/plot-msms.cgi?MassType=1&amp;NumAxis=1&amp;Mod21=184&amp;Pep=SSLLGHPFPPSVPPVLSPLQRAQLLGGAQLQPGR&amp;Dta=/var/www/html/dta/yong/23617.26225.4.dta&amp;Global_Mod=CS57.0215", "26225")</f>
        <v>26225</v>
      </c>
      <c r="N391" s="5">
        <v>114.6</v>
      </c>
      <c r="O391" s="5">
        <v>116.81</v>
      </c>
      <c r="P391" s="5">
        <v>3.05</v>
      </c>
      <c r="Q391" s="5">
        <v>3.6419999999999999</v>
      </c>
      <c r="R391" s="5">
        <v>1.5444</v>
      </c>
      <c r="S391" s="5">
        <v>2.1314000000000002</v>
      </c>
      <c r="T391" s="5">
        <v>0.153</v>
      </c>
      <c r="U391" s="5">
        <v>0.26569999999999999</v>
      </c>
      <c r="V391" s="4">
        <v>12</v>
      </c>
      <c r="W391" s="4">
        <v>5</v>
      </c>
      <c r="X391" s="5">
        <v>2.65</v>
      </c>
      <c r="Y391" s="5">
        <v>3.2</v>
      </c>
      <c r="Z391" s="6">
        <v>1000</v>
      </c>
      <c r="AA391" s="6">
        <v>1000</v>
      </c>
      <c r="AB391" s="4" t="s">
        <v>13</v>
      </c>
    </row>
    <row r="392" spans="1:28" s="12" customFormat="1">
      <c r="A392" s="3" t="s">
        <v>429</v>
      </c>
      <c r="B392" s="3" t="s">
        <v>1595</v>
      </c>
      <c r="C392" s="3" t="s">
        <v>1595</v>
      </c>
      <c r="D392" s="4">
        <v>263</v>
      </c>
      <c r="E392" s="3" t="s">
        <v>430</v>
      </c>
      <c r="F392" s="7" t="s">
        <v>1368</v>
      </c>
      <c r="G392" s="4">
        <v>86.8</v>
      </c>
      <c r="H392" s="3" t="s">
        <v>431</v>
      </c>
      <c r="I392" s="3" t="s">
        <v>440</v>
      </c>
      <c r="J392" s="4">
        <v>4</v>
      </c>
      <c r="K392" s="4">
        <v>886.50440000000003</v>
      </c>
      <c r="L392" s="4" t="str">
        <f>HYPERLINK("http://ms.phosphosite.org:5080/cgi-bin/plot-msms.cgi?MassType=1&amp;NumAxis=1&amp;Mod21=184&amp;Pep=SSLLGHPFPPSVPPVLSPLQRAQLLGGAQLQPGR&amp;Dta=/var/www/html/dta/yong/23616.25615.4.dta&amp;Global_Mod=CS57.0215", "25615")</f>
        <v>25615</v>
      </c>
      <c r="M392" s="4" t="str">
        <f>HYPERLINK("http://ms.phosphosite.org:5080/cgi-bin/plot-msms.cgi?MassType=1&amp;NumAxis=1&amp;Mod21=184&amp;Pep=SSLLGHPFPPSVPPVLSPLQRAQLLGGAQLQPGR&amp;Dta=/var/www/html/dta/yong/23617.26455.4.dta&amp;Global_Mod=CS57.0215", "26455")</f>
        <v>26455</v>
      </c>
      <c r="N392" s="5">
        <v>114.66</v>
      </c>
      <c r="O392" s="5">
        <v>117.79</v>
      </c>
      <c r="P392" s="5">
        <v>4.3029999999999999</v>
      </c>
      <c r="Q392" s="5">
        <v>2.996</v>
      </c>
      <c r="R392" s="5">
        <v>2.1334</v>
      </c>
      <c r="S392" s="5">
        <v>1.1337999999999999</v>
      </c>
      <c r="T392" s="5">
        <v>0.46920000000000001</v>
      </c>
      <c r="U392" s="5">
        <v>0.19159999999999999</v>
      </c>
      <c r="V392" s="4">
        <v>1</v>
      </c>
      <c r="W392" s="4">
        <v>18</v>
      </c>
      <c r="X392" s="5">
        <v>4.7699999999999996</v>
      </c>
      <c r="Y392" s="5">
        <v>2.63</v>
      </c>
      <c r="Z392" s="6">
        <v>1000</v>
      </c>
      <c r="AA392" s="6">
        <v>1000</v>
      </c>
      <c r="AB392" s="4" t="s">
        <v>13</v>
      </c>
    </row>
    <row r="393" spans="1:28" s="12" customFormat="1">
      <c r="A393" s="18" t="s">
        <v>429</v>
      </c>
      <c r="B393" s="18" t="s">
        <v>1597</v>
      </c>
      <c r="C393" s="18" t="s">
        <v>1598</v>
      </c>
      <c r="D393" s="19">
        <v>263</v>
      </c>
      <c r="E393" s="18" t="s">
        <v>430</v>
      </c>
      <c r="F393" s="15" t="s">
        <v>1368</v>
      </c>
      <c r="G393" s="19">
        <v>86.8</v>
      </c>
      <c r="H393" s="18" t="s">
        <v>431</v>
      </c>
      <c r="I393" s="18" t="s">
        <v>441</v>
      </c>
      <c r="J393" s="19">
        <v>4</v>
      </c>
      <c r="K393" s="19">
        <v>890.00829999999996</v>
      </c>
      <c r="L393" s="19" t="str">
        <f>HYPERLINK("http://ms.phosphosite.org:5080/cgi-bin/plot-msms.cgi?MassType=1&amp;NumAxis=1&amp;Mod21=184&amp;Mod34=170&amp;Pep=SSLLGHPFPPSVPPVLSPLQRAQLLGGAQLQPGR&amp;Dta=/var/www/html/dta/yong/23616.25679.4.dta&amp;Global_Mod=CS57.0215", "25679")</f>
        <v>25679</v>
      </c>
      <c r="M393" s="19"/>
      <c r="N393" s="20">
        <v>114.94</v>
      </c>
      <c r="O393" s="20"/>
      <c r="P393" s="20">
        <v>1.8859999999999999</v>
      </c>
      <c r="Q393" s="20"/>
      <c r="R393" s="20">
        <v>1.5616000000000001</v>
      </c>
      <c r="S393" s="20"/>
      <c r="T393" s="20">
        <v>3.2000000000000002E-3</v>
      </c>
      <c r="U393" s="20"/>
      <c r="V393" s="19">
        <v>72</v>
      </c>
      <c r="W393" s="19"/>
      <c r="X393" s="20">
        <v>1.44</v>
      </c>
      <c r="Y393" s="20"/>
      <c r="Z393" s="21" t="s">
        <v>1306</v>
      </c>
      <c r="AA393" s="21"/>
      <c r="AB393" s="19" t="s">
        <v>13</v>
      </c>
    </row>
    <row r="394" spans="1:28" s="13" customFormat="1">
      <c r="A394" s="3" t="s">
        <v>429</v>
      </c>
      <c r="B394" s="3" t="s">
        <v>1599</v>
      </c>
      <c r="C394" s="3" t="s">
        <v>1597</v>
      </c>
      <c r="D394" s="4">
        <v>263</v>
      </c>
      <c r="E394" s="3" t="s">
        <v>430</v>
      </c>
      <c r="F394" s="7" t="s">
        <v>1368</v>
      </c>
      <c r="G394" s="4">
        <v>86.8</v>
      </c>
      <c r="H394" s="3" t="s">
        <v>431</v>
      </c>
      <c r="I394" s="3" t="s">
        <v>442</v>
      </c>
      <c r="J394" s="4">
        <v>4</v>
      </c>
      <c r="K394" s="4">
        <v>985.80340000000001</v>
      </c>
      <c r="L394" s="4" t="str">
        <f>HYPERLINK("http://ms.phosphosite.org:5080/cgi-bin/plot-msms.cgi?MassType=1&amp;NumAxis=1&amp;Mod25=184&amp;Pep=SVPNSSLLGHPFPPSVPPVLSPLQRAQLLGGAQLQPGR&amp;Dta=/var/www/html/dta/yong/23616.25718.4.dta&amp;Global_Mod=CS57.0215", "25718")</f>
        <v>25718</v>
      </c>
      <c r="M394" s="4" t="str">
        <f>HYPERLINK("http://ms.phosphosite.org:5080/cgi-bin/plot-msms.cgi?MassType=1&amp;NumAxis=1&amp;Mod25=184&amp;Pep=SVPNSSLLGHPFPPSVPPVLSPLQRAQLLGGAQLQPGR&amp;Dta=/var/www/html/dta/yong/23617.25643.4.dta&amp;Global_Mod=CS57.0215", "25643")</f>
        <v>25643</v>
      </c>
      <c r="N394" s="5">
        <v>115.11</v>
      </c>
      <c r="O394" s="5">
        <v>114.25</v>
      </c>
      <c r="P394" s="5">
        <v>2.6720000000000002</v>
      </c>
      <c r="Q394" s="5">
        <v>2.6560000000000001</v>
      </c>
      <c r="R394" s="5">
        <v>1.4</v>
      </c>
      <c r="S394" s="5">
        <v>1.8619000000000001</v>
      </c>
      <c r="T394" s="5">
        <v>0.11169999999999999</v>
      </c>
      <c r="U394" s="5">
        <v>7.85E-2</v>
      </c>
      <c r="V394" s="4">
        <v>1</v>
      </c>
      <c r="W394" s="4">
        <v>1</v>
      </c>
      <c r="X394" s="5">
        <v>2.2799999999999998</v>
      </c>
      <c r="Y394" s="5">
        <v>1.82</v>
      </c>
      <c r="Z394" s="6">
        <v>1000</v>
      </c>
      <c r="AA394" s="6">
        <v>1000</v>
      </c>
      <c r="AB394" s="4" t="s">
        <v>13</v>
      </c>
    </row>
    <row r="395" spans="1:28" s="18" customFormat="1">
      <c r="A395" s="18" t="s">
        <v>429</v>
      </c>
      <c r="B395" s="18" t="s">
        <v>1595</v>
      </c>
      <c r="C395" s="18" t="s">
        <v>1596</v>
      </c>
      <c r="D395" s="19">
        <v>263</v>
      </c>
      <c r="E395" s="18" t="s">
        <v>430</v>
      </c>
      <c r="F395" s="15" t="s">
        <v>1368</v>
      </c>
      <c r="G395" s="19">
        <v>86.8</v>
      </c>
      <c r="H395" s="18" t="s">
        <v>431</v>
      </c>
      <c r="I395" s="18" t="s">
        <v>443</v>
      </c>
      <c r="J395" s="19">
        <v>4</v>
      </c>
      <c r="K395" s="19">
        <v>989.30740000000003</v>
      </c>
      <c r="L395" s="19" t="str">
        <f>HYPERLINK("http://ms.phosphosite.org:5080/cgi-bin/plot-msms.cgi?MassType=1&amp;NumAxis=1&amp;Mod25=184&amp;Mod38=170&amp;Pep=SVPNSSLLGHPFPPSVPPVLSPLQRAQLLGGAQLQPGR&amp;Dta=/var/www/html/dta/yong/23616.25783.4.dta&amp;Global_Mod=CS57.0215", "25783")</f>
        <v>25783</v>
      </c>
      <c r="M395" s="19" t="str">
        <f>HYPERLINK("http://ms.phosphosite.org:5080/cgi-bin/plot-msms.cgi?MassType=1&amp;NumAxis=1&amp;Mod25=184&amp;Mod38=170&amp;Pep=SVPNSSLLGHPFPPSVPPVLSPLQRAQLLGGAQLQPGR&amp;Dta=/var/www/html/dta/yong/23617.25894.4.dta&amp;Global_Mod=CS57.0215", "25894")</f>
        <v>25894</v>
      </c>
      <c r="N395" s="20">
        <v>115.42</v>
      </c>
      <c r="O395" s="20">
        <v>115.37</v>
      </c>
      <c r="P395" s="20">
        <v>3.0430000000000001</v>
      </c>
      <c r="Q395" s="20">
        <v>3.286</v>
      </c>
      <c r="R395" s="20">
        <v>1.4144000000000001</v>
      </c>
      <c r="S395" s="20">
        <v>0.92349999999999999</v>
      </c>
      <c r="T395" s="20">
        <v>8.5599999999999996E-2</v>
      </c>
      <c r="U395" s="20">
        <v>0.16489999999999999</v>
      </c>
      <c r="V395" s="19">
        <v>1</v>
      </c>
      <c r="W395" s="19">
        <v>5</v>
      </c>
      <c r="X395" s="20">
        <v>2.23</v>
      </c>
      <c r="Y395" s="20">
        <v>2.54</v>
      </c>
      <c r="Z395" s="21" t="s">
        <v>1306</v>
      </c>
      <c r="AA395" s="21" t="s">
        <v>1306</v>
      </c>
      <c r="AB395" s="19" t="s">
        <v>13</v>
      </c>
    </row>
    <row r="396" spans="1:28">
      <c r="A396" s="3" t="s">
        <v>429</v>
      </c>
      <c r="B396" s="3" t="s">
        <v>1599</v>
      </c>
      <c r="C396" s="3" t="s">
        <v>1597</v>
      </c>
      <c r="D396" s="4">
        <v>263</v>
      </c>
      <c r="E396" s="3" t="s">
        <v>430</v>
      </c>
      <c r="F396" s="7" t="s">
        <v>1368</v>
      </c>
      <c r="G396" s="4">
        <v>86.8</v>
      </c>
      <c r="H396" s="3" t="s">
        <v>431</v>
      </c>
      <c r="I396" s="3" t="s">
        <v>440</v>
      </c>
      <c r="J396" s="4">
        <v>4</v>
      </c>
      <c r="K396" s="4">
        <v>886.50440000000003</v>
      </c>
      <c r="L396" s="4" t="str">
        <f>HYPERLINK("http://ms.phosphosite.org:5080/cgi-bin/plot-msms.cgi?MassType=1&amp;NumAxis=1&amp;Mod21=184&amp;Pep=SSLLGHPFPPSVPPVLSPLQRAQLLGGAQLQPGR&amp;Dta=/var/www/html/dta/yong/23616.25784.4.dta&amp;Global_Mod=CS57.0215", "25784")</f>
        <v>25784</v>
      </c>
      <c r="M396" s="4" t="str">
        <f>HYPERLINK("http://ms.phosphosite.org:5080/cgi-bin/plot-msms.cgi?MassType=1&amp;NumAxis=1&amp;Mod21=184&amp;Pep=SSLLGHPFPPSVPPVLSPLQRAQLLGGAQLQPGR&amp;Dta=/var/www/html/dta/yong/23617.26129.4.dta&amp;Global_Mod=CS57.0215", "26129")</f>
        <v>26129</v>
      </c>
      <c r="N396" s="5">
        <v>115.42</v>
      </c>
      <c r="O396" s="5">
        <v>116.39</v>
      </c>
      <c r="P396" s="5">
        <v>2.8530000000000002</v>
      </c>
      <c r="Q396" s="5">
        <v>2.0830000000000002</v>
      </c>
      <c r="R396" s="5">
        <v>2.0880000000000001</v>
      </c>
      <c r="S396" s="5">
        <v>1.8759999999999999</v>
      </c>
      <c r="T396" s="5">
        <v>0.17180000000000001</v>
      </c>
      <c r="U396" s="5">
        <v>6.3100000000000003E-2</v>
      </c>
      <c r="V396" s="4">
        <v>10</v>
      </c>
      <c r="W396" s="4">
        <v>2</v>
      </c>
      <c r="X396" s="5">
        <v>2.67</v>
      </c>
      <c r="Y396" s="5">
        <v>1.6</v>
      </c>
      <c r="Z396" s="6">
        <v>1000</v>
      </c>
      <c r="AA396" s="6">
        <v>1000</v>
      </c>
      <c r="AB396" s="4" t="s">
        <v>13</v>
      </c>
    </row>
    <row r="397" spans="1:28" s="18" customFormat="1">
      <c r="A397" s="18" t="s">
        <v>429</v>
      </c>
      <c r="B397" s="18" t="s">
        <v>1595</v>
      </c>
      <c r="C397" s="18" t="s">
        <v>1596</v>
      </c>
      <c r="D397" s="19">
        <v>263</v>
      </c>
      <c r="E397" s="18" t="s">
        <v>430</v>
      </c>
      <c r="F397" s="15" t="s">
        <v>1368</v>
      </c>
      <c r="G397" s="19">
        <v>86.8</v>
      </c>
      <c r="H397" s="18" t="s">
        <v>431</v>
      </c>
      <c r="I397" s="18" t="s">
        <v>441</v>
      </c>
      <c r="J397" s="19">
        <v>4</v>
      </c>
      <c r="K397" s="19">
        <v>890.00829999999996</v>
      </c>
      <c r="L397" s="19" t="str">
        <f>HYPERLINK("http://ms.phosphosite.org:5080/cgi-bin/plot-msms.cgi?MassType=1&amp;NumAxis=1&amp;Mod21=184&amp;Mod34=170&amp;Pep=SSLLGHPFPPSVPPVLSPLQRAQLLGGAQLQPGR&amp;Dta=/var/www/html/dta/yong/23616.25839.4.dta&amp;Global_Mod=CS57.0215", "25839")</f>
        <v>25839</v>
      </c>
      <c r="M397" s="19"/>
      <c r="N397" s="20">
        <v>115.67</v>
      </c>
      <c r="O397" s="20"/>
      <c r="P397" s="20">
        <v>2.1680000000000001</v>
      </c>
      <c r="Q397" s="20"/>
      <c r="R397" s="20">
        <v>1.0269999999999999</v>
      </c>
      <c r="S397" s="20"/>
      <c r="T397" s="20">
        <v>5.0500000000000003E-2</v>
      </c>
      <c r="U397" s="20"/>
      <c r="V397" s="19">
        <v>44</v>
      </c>
      <c r="W397" s="19"/>
      <c r="X397" s="20">
        <v>1.82</v>
      </c>
      <c r="Y397" s="20"/>
      <c r="Z397" s="21" t="s">
        <v>1306</v>
      </c>
      <c r="AA397" s="21"/>
      <c r="AB397" s="19" t="s">
        <v>13</v>
      </c>
    </row>
    <row r="398" spans="1:28">
      <c r="A398" s="18" t="s">
        <v>429</v>
      </c>
      <c r="B398" s="18" t="s">
        <v>1595</v>
      </c>
      <c r="C398" s="18" t="s">
        <v>1596</v>
      </c>
      <c r="D398" s="19">
        <v>263</v>
      </c>
      <c r="E398" s="18" t="s">
        <v>430</v>
      </c>
      <c r="F398" s="15" t="s">
        <v>1368</v>
      </c>
      <c r="G398" s="19">
        <v>86.8</v>
      </c>
      <c r="H398" s="18" t="s">
        <v>431</v>
      </c>
      <c r="I398" s="18" t="s">
        <v>443</v>
      </c>
      <c r="J398" s="19">
        <v>4</v>
      </c>
      <c r="K398" s="19">
        <v>989.30740000000003</v>
      </c>
      <c r="L398" s="19" t="str">
        <f>HYPERLINK("http://ms.phosphosite.org:5080/cgi-bin/plot-msms.cgi?MassType=1&amp;NumAxis=1&amp;Mod25=184&amp;Mod38=170&amp;Pep=SVPNSSLLGHPFPPSVPPVLSPLQRAQLLGGAQLQPGR&amp;Dta=/var/www/html/dta/yong/23616.25857.4.dta&amp;Global_Mod=CS57.0215", "25857")</f>
        <v>25857</v>
      </c>
      <c r="M398" s="19" t="str">
        <f>HYPERLINK("http://ms.phosphosite.org:5080/cgi-bin/plot-msms.cgi?MassType=1&amp;NumAxis=1&amp;Mod25=184&amp;Mod38=170&amp;Pep=SVPNSSLLGHPFPPSVPPVLSPLQRAQLLGGAQLQPGR&amp;Dta=/var/www/html/dta/yong/23617.26084.4.dta&amp;Global_Mod=CS57.0215", "26084")</f>
        <v>26084</v>
      </c>
      <c r="N398" s="20">
        <v>115.75</v>
      </c>
      <c r="O398" s="20">
        <v>116.21</v>
      </c>
      <c r="P398" s="20">
        <v>4.1390000000000002</v>
      </c>
      <c r="Q398" s="20">
        <v>3.1949999999999998</v>
      </c>
      <c r="R398" s="20">
        <v>1.3649</v>
      </c>
      <c r="S398" s="20">
        <v>1.2343</v>
      </c>
      <c r="T398" s="20">
        <v>0.33389999999999997</v>
      </c>
      <c r="U398" s="20">
        <v>0.28799999999999998</v>
      </c>
      <c r="V398" s="19">
        <v>1</v>
      </c>
      <c r="W398" s="19">
        <v>1</v>
      </c>
      <c r="X398" s="20">
        <v>3.96</v>
      </c>
      <c r="Y398" s="20">
        <v>3.19</v>
      </c>
      <c r="Z398" s="21" t="s">
        <v>1306</v>
      </c>
      <c r="AA398" s="21" t="s">
        <v>1306</v>
      </c>
      <c r="AB398" s="19" t="s">
        <v>13</v>
      </c>
    </row>
    <row r="399" spans="1:28">
      <c r="A399" s="18" t="s">
        <v>429</v>
      </c>
      <c r="B399" s="18" t="s">
        <v>1595</v>
      </c>
      <c r="C399" s="18" t="s">
        <v>1596</v>
      </c>
      <c r="D399" s="19">
        <v>263</v>
      </c>
      <c r="E399" s="18" t="s">
        <v>430</v>
      </c>
      <c r="F399" s="15" t="s">
        <v>1368</v>
      </c>
      <c r="G399" s="19">
        <v>86.8</v>
      </c>
      <c r="H399" s="18" t="s">
        <v>431</v>
      </c>
      <c r="I399" s="18" t="s">
        <v>441</v>
      </c>
      <c r="J399" s="19">
        <v>4</v>
      </c>
      <c r="K399" s="19">
        <v>890.00829999999996</v>
      </c>
      <c r="L399" s="19" t="str">
        <f>HYPERLINK("http://ms.phosphosite.org:5080/cgi-bin/plot-msms.cgi?MassType=1&amp;NumAxis=1&amp;Mod21=184&amp;Mod34=170&amp;Pep=SSLLGHPFPPSVPPVLSPLQRAQLLGGAQLQPGR&amp;Dta=/var/www/html/dta/yong/23616.25879.4.dta&amp;Global_Mod=CS57.0215", "25879")</f>
        <v>25879</v>
      </c>
      <c r="M399" s="19" t="str">
        <f>HYPERLINK("http://ms.phosphosite.org:5080/cgi-bin/plot-msms.cgi?MassType=1&amp;NumAxis=1&amp;Mod21=184&amp;Mod34=170&amp;Pep=SSLLGHPFPPSVPPVLSPLQRAQLLGGAQLQPGR&amp;Dta=/var/www/html/dta/yong/23617.25996.4.dta&amp;Global_Mod=CS57.0215", "25996")</f>
        <v>25996</v>
      </c>
      <c r="N399" s="20">
        <v>115.85</v>
      </c>
      <c r="O399" s="20">
        <v>115.82</v>
      </c>
      <c r="P399" s="20">
        <v>2.71</v>
      </c>
      <c r="Q399" s="20">
        <v>2.7090000000000001</v>
      </c>
      <c r="R399" s="20">
        <v>1.2657</v>
      </c>
      <c r="S399" s="20">
        <v>4.1182999999999996</v>
      </c>
      <c r="T399" s="20">
        <v>0.1535</v>
      </c>
      <c r="U399" s="20">
        <v>0.23430000000000001</v>
      </c>
      <c r="V399" s="19">
        <v>1</v>
      </c>
      <c r="W399" s="19">
        <v>25</v>
      </c>
      <c r="X399" s="20">
        <v>2.57</v>
      </c>
      <c r="Y399" s="20">
        <v>2.63</v>
      </c>
      <c r="Z399" s="21" t="s">
        <v>1306</v>
      </c>
      <c r="AA399" s="21" t="s">
        <v>1306</v>
      </c>
      <c r="AB399" s="19" t="s">
        <v>13</v>
      </c>
    </row>
    <row r="400" spans="1:28">
      <c r="A400" s="3" t="s">
        <v>429</v>
      </c>
      <c r="B400" s="3" t="s">
        <v>1599</v>
      </c>
      <c r="C400" s="3" t="s">
        <v>1597</v>
      </c>
      <c r="D400" s="4">
        <v>263</v>
      </c>
      <c r="E400" s="3" t="s">
        <v>430</v>
      </c>
      <c r="F400" s="7" t="s">
        <v>1368</v>
      </c>
      <c r="G400" s="4">
        <v>86.8</v>
      </c>
      <c r="H400" s="3" t="s">
        <v>431</v>
      </c>
      <c r="I400" s="3" t="s">
        <v>442</v>
      </c>
      <c r="J400" s="4">
        <v>4</v>
      </c>
      <c r="K400" s="4">
        <v>985.80340000000001</v>
      </c>
      <c r="L400" s="4" t="str">
        <f>HYPERLINK("http://ms.phosphosite.org:5080/cgi-bin/plot-msms.cgi?MassType=1&amp;NumAxis=1&amp;Mod25=184&amp;Pep=SVPNSSLLGHPFPPSVPPVLSPLQRAQLLGGAQLQPGR&amp;Dta=/var/www/html/dta/yong/23616.25889.4.dta&amp;Global_Mod=CS57.0215", "25889")</f>
        <v>25889</v>
      </c>
      <c r="M400" s="4" t="str">
        <f>HYPERLINK("http://ms.phosphosite.org:5080/cgi-bin/plot-msms.cgi?MassType=1&amp;NumAxis=1&amp;Mod25=184&amp;Pep=SVPNSSLLGHPFPPSVPPVLSPLQRAQLLGGAQLQPGR&amp;Dta=/var/www/html/dta/yong/23617.25834.4.dta&amp;Global_Mod=CS57.0215", "25834")</f>
        <v>25834</v>
      </c>
      <c r="N400" s="5">
        <v>115.9</v>
      </c>
      <c r="O400" s="5">
        <v>115.09</v>
      </c>
      <c r="P400" s="5">
        <v>2.5950000000000002</v>
      </c>
      <c r="Q400" s="5">
        <v>3.806</v>
      </c>
      <c r="R400" s="5">
        <v>1.6448</v>
      </c>
      <c r="S400" s="5">
        <v>1.7877000000000001</v>
      </c>
      <c r="T400" s="5">
        <v>6.4000000000000001E-2</v>
      </c>
      <c r="U400" s="5">
        <v>0.3216</v>
      </c>
      <c r="V400" s="4">
        <v>4</v>
      </c>
      <c r="W400" s="4">
        <v>1</v>
      </c>
      <c r="X400" s="5">
        <v>1.97</v>
      </c>
      <c r="Y400" s="5">
        <v>3.54</v>
      </c>
      <c r="Z400" s="6">
        <v>1000</v>
      </c>
      <c r="AA400" s="6">
        <v>1000</v>
      </c>
      <c r="AB400" s="4" t="s">
        <v>13</v>
      </c>
    </row>
    <row r="401" spans="1:28">
      <c r="A401" s="3" t="s">
        <v>429</v>
      </c>
      <c r="B401" s="3" t="s">
        <v>1599</v>
      </c>
      <c r="C401" s="3" t="s">
        <v>1597</v>
      </c>
      <c r="D401" s="4">
        <v>263</v>
      </c>
      <c r="E401" s="3" t="s">
        <v>430</v>
      </c>
      <c r="F401" s="7" t="s">
        <v>1368</v>
      </c>
      <c r="G401" s="4">
        <v>86.8</v>
      </c>
      <c r="H401" s="3" t="s">
        <v>431</v>
      </c>
      <c r="I401" s="3" t="s">
        <v>440</v>
      </c>
      <c r="J401" s="4">
        <v>4</v>
      </c>
      <c r="K401" s="4">
        <v>886.50440000000003</v>
      </c>
      <c r="L401" s="4" t="str">
        <f>HYPERLINK("http://ms.phosphosite.org:5080/cgi-bin/plot-msms.cgi?MassType=1&amp;NumAxis=1&amp;Mod21=184&amp;Pep=SSLLGHPFPPSVPPVLSPLQRAQLLGGAQLQPGR&amp;Dta=/var/www/html/dta/yong/23616.25920.4.dta&amp;Global_Mod=CS57.0215", "25920")</f>
        <v>25920</v>
      </c>
      <c r="M401" s="4" t="str">
        <f>HYPERLINK("http://ms.phosphosite.org:5080/cgi-bin/plot-msms.cgi?MassType=1&amp;NumAxis=1&amp;Mod21=184&amp;Pep=SSLLGHPFPPSVPPVLSPLQRAQLLGGAQLQPGR&amp;Dta=/var/www/html/dta/yong/23617.26432.4.dta&amp;Global_Mod=CS57.0215", "26432")</f>
        <v>26432</v>
      </c>
      <c r="N401" s="5">
        <v>116.02</v>
      </c>
      <c r="O401" s="5">
        <v>117.68</v>
      </c>
      <c r="P401" s="5">
        <v>1.859</v>
      </c>
      <c r="Q401" s="5">
        <v>2.6629999999999998</v>
      </c>
      <c r="R401" s="5">
        <v>2.4821</v>
      </c>
      <c r="S401" s="5">
        <v>2.1778</v>
      </c>
      <c r="T401" s="5">
        <v>0.13819999999999999</v>
      </c>
      <c r="U401" s="5">
        <v>6.3700000000000007E-2</v>
      </c>
      <c r="V401" s="4">
        <v>24</v>
      </c>
      <c r="W401" s="4">
        <v>2</v>
      </c>
      <c r="X401" s="5">
        <v>2.17</v>
      </c>
      <c r="Y401" s="5">
        <v>1.76</v>
      </c>
      <c r="Z401" s="6">
        <v>1000</v>
      </c>
      <c r="AA401" s="6">
        <v>1000</v>
      </c>
      <c r="AB401" s="4" t="s">
        <v>13</v>
      </c>
    </row>
    <row r="402" spans="1:28" s="18" customFormat="1">
      <c r="A402" s="18" t="s">
        <v>429</v>
      </c>
      <c r="B402" s="18" t="s">
        <v>1595</v>
      </c>
      <c r="C402" s="18" t="s">
        <v>1596</v>
      </c>
      <c r="D402" s="19">
        <v>263</v>
      </c>
      <c r="E402" s="18" t="s">
        <v>430</v>
      </c>
      <c r="F402" s="15" t="s">
        <v>1368</v>
      </c>
      <c r="G402" s="19">
        <v>86.8</v>
      </c>
      <c r="H402" s="18" t="s">
        <v>431</v>
      </c>
      <c r="I402" s="18" t="s">
        <v>443</v>
      </c>
      <c r="J402" s="19">
        <v>4</v>
      </c>
      <c r="K402" s="19">
        <v>989.30740000000003</v>
      </c>
      <c r="L402" s="19" t="str">
        <f>HYPERLINK("http://ms.phosphosite.org:5080/cgi-bin/plot-msms.cgi?MassType=1&amp;NumAxis=1&amp;Mod25=184&amp;Mod38=170&amp;Pep=SVPNSSLLGHPFPPSVPPVLSPLQRAQLLGGAQLQPGR&amp;Dta=/var/www/html/dta/yong/23616.25963.4.dta&amp;Global_Mod=CS57.0215", "25963")</f>
        <v>25963</v>
      </c>
      <c r="M402" s="19" t="str">
        <f>HYPERLINK("http://ms.phosphosite.org:5080/cgi-bin/plot-msms.cgi?MassType=1&amp;NumAxis=1&amp;Mod25=184&amp;Mod38=170&amp;Pep=SVPNSSLLGHPFPPSVPPVLSPLQRAQLLGGAQLQPGR&amp;Dta=/var/www/html/dta/yong/23617.25662.4.dta&amp;Global_Mod=CS57.0215", "25662")</f>
        <v>25662</v>
      </c>
      <c r="N402" s="20">
        <v>116.22</v>
      </c>
      <c r="O402" s="20">
        <v>114.33</v>
      </c>
      <c r="P402" s="20">
        <v>3.6829999999999998</v>
      </c>
      <c r="Q402" s="20">
        <v>3.19</v>
      </c>
      <c r="R402" s="20">
        <v>1.2995000000000001</v>
      </c>
      <c r="S402" s="20">
        <v>0.51729999999999998</v>
      </c>
      <c r="T402" s="20">
        <v>0.27560000000000001</v>
      </c>
      <c r="U402" s="20">
        <v>0.1434</v>
      </c>
      <c r="V402" s="19">
        <v>1</v>
      </c>
      <c r="W402" s="19">
        <v>2</v>
      </c>
      <c r="X402" s="20">
        <v>3.5</v>
      </c>
      <c r="Y402" s="20">
        <v>2.41</v>
      </c>
      <c r="Z402" s="21" t="s">
        <v>1306</v>
      </c>
      <c r="AA402" s="21" t="s">
        <v>1306</v>
      </c>
      <c r="AB402" s="19" t="s">
        <v>13</v>
      </c>
    </row>
    <row r="403" spans="1:28">
      <c r="A403" s="3" t="s">
        <v>429</v>
      </c>
      <c r="B403" s="3" t="s">
        <v>1599</v>
      </c>
      <c r="C403" s="3" t="s">
        <v>1597</v>
      </c>
      <c r="D403" s="4">
        <v>263</v>
      </c>
      <c r="E403" s="3" t="s">
        <v>430</v>
      </c>
      <c r="F403" s="7" t="s">
        <v>1368</v>
      </c>
      <c r="G403" s="4">
        <v>86.8</v>
      </c>
      <c r="H403" s="3" t="s">
        <v>431</v>
      </c>
      <c r="I403" s="3" t="s">
        <v>440</v>
      </c>
      <c r="J403" s="4">
        <v>4</v>
      </c>
      <c r="K403" s="4">
        <v>886.50440000000003</v>
      </c>
      <c r="L403" s="4" t="str">
        <f>HYPERLINK("http://ms.phosphosite.org:5080/cgi-bin/plot-msms.cgi?MassType=1&amp;NumAxis=1&amp;Mod21=184&amp;Pep=SSLLGHPFPPSVPPVLSPLQRAQLLGGAQLQPGR&amp;Dta=/var/www/html/dta/yong/23616.26073.4.dta&amp;Global_Mod=CS57.0215", "26073")</f>
        <v>26073</v>
      </c>
      <c r="M403" s="4" t="str">
        <f>HYPERLINK("http://ms.phosphosite.org:5080/cgi-bin/plot-msms.cgi?MassType=1&amp;NumAxis=1&amp;Mod21=184&amp;Pep=SSLLGHPFPPSVPPVLSPLQRAQLLGGAQLQPGR&amp;Dta=/var/www/html/dta/yong/23617.25696.4.dta&amp;Global_Mod=CS57.0215", "25696")</f>
        <v>25696</v>
      </c>
      <c r="N403" s="5">
        <v>116.68</v>
      </c>
      <c r="O403" s="5">
        <v>114.48</v>
      </c>
      <c r="P403" s="5">
        <v>2.9590000000000001</v>
      </c>
      <c r="Q403" s="5">
        <v>3.8279999999999998</v>
      </c>
      <c r="R403" s="5">
        <v>2.0661</v>
      </c>
      <c r="S403" s="5">
        <v>1.9801</v>
      </c>
      <c r="T403" s="5">
        <v>9.4899999999999998E-2</v>
      </c>
      <c r="U403" s="5">
        <v>0.1951</v>
      </c>
      <c r="V403" s="4">
        <v>4</v>
      </c>
      <c r="W403" s="4">
        <v>1</v>
      </c>
      <c r="X403" s="5">
        <v>2.27</v>
      </c>
      <c r="Y403" s="5">
        <v>2.87</v>
      </c>
      <c r="Z403" s="6">
        <v>1000</v>
      </c>
      <c r="AA403" s="6">
        <v>1000</v>
      </c>
      <c r="AB403" s="4" t="s">
        <v>13</v>
      </c>
    </row>
    <row r="404" spans="1:28" s="18" customFormat="1">
      <c r="A404" s="3" t="s">
        <v>429</v>
      </c>
      <c r="B404" s="3" t="s">
        <v>1599</v>
      </c>
      <c r="C404" s="3" t="s">
        <v>1597</v>
      </c>
      <c r="D404" s="4">
        <v>263</v>
      </c>
      <c r="E404" s="3" t="s">
        <v>430</v>
      </c>
      <c r="F404" s="7" t="s">
        <v>1368</v>
      </c>
      <c r="G404" s="4">
        <v>86.8</v>
      </c>
      <c r="H404" s="3" t="s">
        <v>431</v>
      </c>
      <c r="I404" s="3" t="s">
        <v>436</v>
      </c>
      <c r="J404" s="4">
        <v>4</v>
      </c>
      <c r="K404" s="4">
        <v>1086.0968</v>
      </c>
      <c r="L404" s="4" t="str">
        <f>HYPERLINK("http://ms.phosphosite.org:5080/cgi-bin/plot-msms.cgi?MassType=1&amp;NumAxis=1&amp;Mod28=184&amp;Pep=QLCSVPNSSLLGHPFPPSVPPVLSPLQRAQLLGGAQLQPGR&amp;Dta=/var/www/html/dta/yong/23616.26102.4.dta&amp;Global_Mod=CS57.0215", "26102")</f>
        <v>26102</v>
      </c>
      <c r="M404" s="4" t="str">
        <f>HYPERLINK("http://ms.phosphosite.org:5080/cgi-bin/plot-msms.cgi?MassType=1&amp;NumAxis=1&amp;Mod28=184&amp;Pep=QLCSVPNSSLLGHPFPPSVPPVLSPLQRAQLLGGAQLQPGR&amp;Dta=/var/www/html/dta/yong/23617.26187.4.dta&amp;Global_Mod=CS57.0215", "26187")</f>
        <v>26187</v>
      </c>
      <c r="N404" s="5">
        <v>116.8</v>
      </c>
      <c r="O404" s="5">
        <v>116.65</v>
      </c>
      <c r="P404" s="5">
        <v>2.835</v>
      </c>
      <c r="Q404" s="5">
        <v>3.629</v>
      </c>
      <c r="R404" s="5">
        <v>0.15629999999999999</v>
      </c>
      <c r="S404" s="5">
        <v>0.70889999999999997</v>
      </c>
      <c r="T404" s="5">
        <v>0.27660000000000001</v>
      </c>
      <c r="U404" s="5">
        <v>0.23119999999999999</v>
      </c>
      <c r="V404" s="4">
        <v>82</v>
      </c>
      <c r="W404" s="4">
        <v>19</v>
      </c>
      <c r="X404" s="5">
        <v>3.23</v>
      </c>
      <c r="Y404" s="5">
        <v>2.99</v>
      </c>
      <c r="Z404" s="6">
        <v>1000</v>
      </c>
      <c r="AA404" s="6">
        <v>1000</v>
      </c>
      <c r="AB404" s="4" t="s">
        <v>13</v>
      </c>
    </row>
    <row r="405" spans="1:28" s="18" customFormat="1">
      <c r="A405" s="3" t="s">
        <v>429</v>
      </c>
      <c r="B405" s="3" t="s">
        <v>1599</v>
      </c>
      <c r="C405" s="3" t="s">
        <v>1597</v>
      </c>
      <c r="D405" s="4">
        <v>263</v>
      </c>
      <c r="E405" s="3" t="s">
        <v>430</v>
      </c>
      <c r="F405" s="7" t="s">
        <v>1368</v>
      </c>
      <c r="G405" s="4">
        <v>86.8</v>
      </c>
      <c r="H405" s="3" t="s">
        <v>431</v>
      </c>
      <c r="I405" s="3" t="s">
        <v>436</v>
      </c>
      <c r="J405" s="4">
        <v>4</v>
      </c>
      <c r="K405" s="4">
        <v>1086.0968</v>
      </c>
      <c r="L405" s="4" t="str">
        <f>HYPERLINK("http://ms.phosphosite.org:5080/cgi-bin/plot-msms.cgi?MassType=1&amp;NumAxis=1&amp;Mod28=184&amp;Pep=QLCSVPNSSLLGHPFPPSVPPVLSPLQRAQLLGGAQLQPGR&amp;Dta=/var/www/html/dta/yong/23616.26128.4.dta&amp;Global_Mod=CS57.0215", "26128")</f>
        <v>26128</v>
      </c>
      <c r="M405" s="4" t="str">
        <f>HYPERLINK("http://ms.phosphosite.org:5080/cgi-bin/plot-msms.cgi?MassType=1&amp;NumAxis=1&amp;Mod28=184&amp;Pep=QLCSVPNSSLLGHPFPPSVPPVLSPLQRAQLLGGAQLQPGR&amp;Dta=/var/www/html/dta/yong/23617.26920.4.dta&amp;Global_Mod=CS57.0215", "26920")</f>
        <v>26920</v>
      </c>
      <c r="N405" s="5">
        <v>116.91</v>
      </c>
      <c r="O405" s="5">
        <v>119.86</v>
      </c>
      <c r="P405" s="5">
        <v>3.899</v>
      </c>
      <c r="Q405" s="5">
        <v>2.82</v>
      </c>
      <c r="R405" s="5">
        <v>0.83409999999999995</v>
      </c>
      <c r="S405" s="5">
        <v>0.64810000000000001</v>
      </c>
      <c r="T405" s="5">
        <v>0.2495</v>
      </c>
      <c r="U405" s="5">
        <v>0.27360000000000001</v>
      </c>
      <c r="V405" s="4">
        <v>3</v>
      </c>
      <c r="W405" s="4">
        <v>15</v>
      </c>
      <c r="X405" s="5">
        <v>3.41</v>
      </c>
      <c r="Y405" s="5">
        <v>2.99</v>
      </c>
      <c r="Z405" s="6">
        <v>1000</v>
      </c>
      <c r="AA405" s="6">
        <v>1000</v>
      </c>
      <c r="AB405" s="4" t="s">
        <v>13</v>
      </c>
    </row>
    <row r="406" spans="1:28" s="18" customFormat="1">
      <c r="A406" s="3" t="s">
        <v>429</v>
      </c>
      <c r="B406" s="3" t="s">
        <v>1599</v>
      </c>
      <c r="C406" s="3" t="s">
        <v>1597</v>
      </c>
      <c r="D406" s="4">
        <v>263</v>
      </c>
      <c r="E406" s="3" t="s">
        <v>430</v>
      </c>
      <c r="F406" s="7" t="s">
        <v>1368</v>
      </c>
      <c r="G406" s="4">
        <v>86.8</v>
      </c>
      <c r="H406" s="3" t="s">
        <v>431</v>
      </c>
      <c r="I406" s="3" t="s">
        <v>440</v>
      </c>
      <c r="J406" s="4">
        <v>4</v>
      </c>
      <c r="K406" s="4">
        <v>886.50440000000003</v>
      </c>
      <c r="L406" s="4" t="str">
        <f>HYPERLINK("http://ms.phosphosite.org:5080/cgi-bin/plot-msms.cgi?MassType=1&amp;NumAxis=1&amp;Mod21=184&amp;Pep=SSLLGHPFPPSVPPVLSPLQRAQLLGGAQLQPGR&amp;Dta=/var/www/html/dta/yong/23616.26131.4.dta&amp;Global_Mod=CS57.0215", "26131")</f>
        <v>26131</v>
      </c>
      <c r="M406" s="4" t="str">
        <f>HYPERLINK("http://ms.phosphosite.org:5080/cgi-bin/plot-msms.cgi?MassType=1&amp;NumAxis=1&amp;Mod21=184&amp;Pep=SSLLGHPFPPSVPPVLSPLQRAQLLGGAQLQPGR&amp;Dta=/var/www/html/dta/yong/23617.25878.4.dta&amp;Global_Mod=CS57.0215", "25878")</f>
        <v>25878</v>
      </c>
      <c r="N406" s="5">
        <v>116.92</v>
      </c>
      <c r="O406" s="5">
        <v>115.29</v>
      </c>
      <c r="P406" s="5">
        <v>3.3479999999999999</v>
      </c>
      <c r="Q406" s="5">
        <v>2.15</v>
      </c>
      <c r="R406" s="5">
        <v>3.4014000000000002</v>
      </c>
      <c r="S406" s="5">
        <v>1.7605999999999999</v>
      </c>
      <c r="T406" s="5">
        <v>9.1399999999999995E-2</v>
      </c>
      <c r="U406" s="5">
        <v>0.21460000000000001</v>
      </c>
      <c r="V406" s="4">
        <v>6</v>
      </c>
      <c r="W406" s="4">
        <v>1</v>
      </c>
      <c r="X406" s="5">
        <v>2.2999999999999998</v>
      </c>
      <c r="Y406" s="5">
        <v>2.48</v>
      </c>
      <c r="Z406" s="6">
        <v>1000</v>
      </c>
      <c r="AA406" s="6">
        <v>1000</v>
      </c>
      <c r="AB406" s="4" t="s">
        <v>13</v>
      </c>
    </row>
    <row r="407" spans="1:28">
      <c r="A407" s="3" t="s">
        <v>429</v>
      </c>
      <c r="B407" s="3" t="s">
        <v>1599</v>
      </c>
      <c r="C407" s="3" t="s">
        <v>1597</v>
      </c>
      <c r="D407" s="4">
        <v>263</v>
      </c>
      <c r="E407" s="3" t="s">
        <v>430</v>
      </c>
      <c r="F407" s="7" t="s">
        <v>1368</v>
      </c>
      <c r="G407" s="4">
        <v>86.8</v>
      </c>
      <c r="H407" s="3" t="s">
        <v>431</v>
      </c>
      <c r="I407" s="3" t="s">
        <v>436</v>
      </c>
      <c r="J407" s="4">
        <v>4</v>
      </c>
      <c r="K407" s="4">
        <v>1086.0968</v>
      </c>
      <c r="L407" s="4" t="str">
        <f>HYPERLINK("http://ms.phosphosite.org:5080/cgi-bin/plot-msms.cgi?MassType=1&amp;NumAxis=1&amp;Mod28=184&amp;Pep=QLCSVPNSSLLGHPFPPSVPPVLSPLQRAQLLGGAQLQPGR&amp;Dta=/var/www/html/dta/yong/23616.26145.4.dta&amp;Global_Mod=CS57.0215", "26145")</f>
        <v>26145</v>
      </c>
      <c r="M407" s="4" t="str">
        <f>HYPERLINK("http://ms.phosphosite.org:5080/cgi-bin/plot-msms.cgi?MassType=1&amp;NumAxis=1&amp;Mod28=184&amp;Pep=QLCSVPNSSLLGHPFPPSVPPVLSPLQRAQLLGGAQLQPGR&amp;Dta=/var/www/html/dta/yong/23617.26625.4.dta&amp;Global_Mod=CS57.0215", "26625")</f>
        <v>26625</v>
      </c>
      <c r="N407" s="5">
        <v>116.98</v>
      </c>
      <c r="O407" s="5">
        <v>118.55</v>
      </c>
      <c r="P407" s="5">
        <v>3.4430000000000001</v>
      </c>
      <c r="Q407" s="5">
        <v>3.286</v>
      </c>
      <c r="R407" s="5">
        <v>0.46729999999999999</v>
      </c>
      <c r="S407" s="5">
        <v>1.1394</v>
      </c>
      <c r="T407" s="5">
        <v>0.2863</v>
      </c>
      <c r="U407" s="5">
        <v>0.1648</v>
      </c>
      <c r="V407" s="4">
        <v>15</v>
      </c>
      <c r="W407" s="4">
        <v>7</v>
      </c>
      <c r="X407" s="5">
        <v>3.5</v>
      </c>
      <c r="Y407" s="5">
        <v>2.5</v>
      </c>
      <c r="Z407" s="6">
        <v>1000</v>
      </c>
      <c r="AA407" s="6">
        <v>1000</v>
      </c>
      <c r="AB407" s="4" t="s">
        <v>13</v>
      </c>
    </row>
    <row r="408" spans="1:28">
      <c r="A408" s="3" t="s">
        <v>429</v>
      </c>
      <c r="B408" s="3" t="s">
        <v>1599</v>
      </c>
      <c r="C408" s="3" t="s">
        <v>1597</v>
      </c>
      <c r="D408" s="4">
        <v>263</v>
      </c>
      <c r="E408" s="3" t="s">
        <v>430</v>
      </c>
      <c r="F408" s="7" t="s">
        <v>1368</v>
      </c>
      <c r="G408" s="4">
        <v>86.8</v>
      </c>
      <c r="H408" s="3" t="s">
        <v>431</v>
      </c>
      <c r="I408" s="3" t="s">
        <v>442</v>
      </c>
      <c r="J408" s="4">
        <v>4</v>
      </c>
      <c r="K408" s="4">
        <v>985.80340000000001</v>
      </c>
      <c r="L408" s="4" t="str">
        <f>HYPERLINK("http://ms.phosphosite.org:5080/cgi-bin/plot-msms.cgi?MassType=1&amp;NumAxis=1&amp;Mod25=184&amp;Pep=SVPNSSLLGHPFPPSVPPVLSPLQRAQLLGGAQLQPGR&amp;Dta=/var/www/html/dta/yong/23616.26233.4.dta&amp;Global_Mod=CS57.0215", "26233")</f>
        <v>26233</v>
      </c>
      <c r="M408" s="4" t="str">
        <f>HYPERLINK("http://ms.phosphosite.org:5080/cgi-bin/plot-msms.cgi?MassType=1&amp;NumAxis=1&amp;Mod25=184&amp;Pep=SVPNSSLLGHPFPPSVPPVLSPLQRAQLLGGAQLQPGR&amp;Dta=/var/www/html/dta/yong/23617.26542.4.dta&amp;Global_Mod=CS57.0215", "26542")</f>
        <v>26542</v>
      </c>
      <c r="N408" s="5">
        <v>117.34</v>
      </c>
      <c r="O408" s="5">
        <v>118.18</v>
      </c>
      <c r="P408" s="5">
        <v>3.125</v>
      </c>
      <c r="Q408" s="5">
        <v>3.4489999999999998</v>
      </c>
      <c r="R408" s="5">
        <v>1.3057000000000001</v>
      </c>
      <c r="S408" s="5">
        <v>2.7242000000000002</v>
      </c>
      <c r="T408" s="5">
        <v>0.28789999999999999</v>
      </c>
      <c r="U408" s="5">
        <v>0.21579999999999999</v>
      </c>
      <c r="V408" s="4">
        <v>2</v>
      </c>
      <c r="W408" s="4">
        <v>1</v>
      </c>
      <c r="X408" s="5">
        <v>3.41</v>
      </c>
      <c r="Y408" s="5">
        <v>2.79</v>
      </c>
      <c r="Z408" s="6">
        <v>1000</v>
      </c>
      <c r="AA408" s="6">
        <v>1000</v>
      </c>
      <c r="AB408" s="4" t="s">
        <v>13</v>
      </c>
    </row>
    <row r="409" spans="1:28" s="18" customFormat="1">
      <c r="A409" s="18" t="s">
        <v>429</v>
      </c>
      <c r="B409" s="18" t="s">
        <v>1595</v>
      </c>
      <c r="C409" s="18" t="s">
        <v>1596</v>
      </c>
      <c r="D409" s="19">
        <v>263</v>
      </c>
      <c r="E409" s="18" t="s">
        <v>430</v>
      </c>
      <c r="F409" s="15" t="s">
        <v>1368</v>
      </c>
      <c r="G409" s="19">
        <v>86.8</v>
      </c>
      <c r="H409" s="18" t="s">
        <v>431</v>
      </c>
      <c r="I409" s="18" t="s">
        <v>443</v>
      </c>
      <c r="J409" s="19">
        <v>4</v>
      </c>
      <c r="K409" s="19">
        <v>989.30740000000003</v>
      </c>
      <c r="L409" s="19" t="str">
        <f>HYPERLINK("http://ms.phosphosite.org:5080/cgi-bin/plot-msms.cgi?MassType=1&amp;NumAxis=1&amp;Mod25=184&amp;Mod38=170&amp;Pep=SVPNSSLLGHPFPPSVPPVLSPLQRAQLLGGAQLQPGR&amp;Dta=/var/www/html/dta/yong/23616.26279.4.dta&amp;Global_Mod=CS57.0215", "26279")</f>
        <v>26279</v>
      </c>
      <c r="M409" s="19" t="str">
        <f>HYPERLINK("http://ms.phosphosite.org:5080/cgi-bin/plot-msms.cgi?MassType=1&amp;NumAxis=1&amp;Mod25=184&amp;Mod38=170&amp;Pep=SVPNSSLLGHPFPPSVPPVLSPLQRAQLLGGAQLQPGR&amp;Dta=/var/www/html/dta/yong/23617.25909.4.dta&amp;Global_Mod=CS57.0215", "25909")</f>
        <v>25909</v>
      </c>
      <c r="N409" s="20">
        <v>117.55</v>
      </c>
      <c r="O409" s="20">
        <v>115.44</v>
      </c>
      <c r="P409" s="20">
        <v>3.097</v>
      </c>
      <c r="Q409" s="20">
        <v>3.794</v>
      </c>
      <c r="R409" s="20">
        <v>6.8099999999999994E-2</v>
      </c>
      <c r="S409" s="20">
        <v>0.98950000000000005</v>
      </c>
      <c r="T409" s="20">
        <v>1.0500000000000001E-2</v>
      </c>
      <c r="U409" s="20">
        <v>0.27929999999999999</v>
      </c>
      <c r="V409" s="19">
        <v>1</v>
      </c>
      <c r="W409" s="19">
        <v>1</v>
      </c>
      <c r="X409" s="20">
        <v>1.85</v>
      </c>
      <c r="Y409" s="20">
        <v>3.34</v>
      </c>
      <c r="Z409" s="21" t="s">
        <v>1306</v>
      </c>
      <c r="AA409" s="21" t="s">
        <v>1306</v>
      </c>
      <c r="AB409" s="19" t="s">
        <v>13</v>
      </c>
    </row>
    <row r="410" spans="1:28">
      <c r="A410" s="3" t="s">
        <v>429</v>
      </c>
      <c r="B410" s="3" t="s">
        <v>1599</v>
      </c>
      <c r="C410" s="3" t="s">
        <v>1597</v>
      </c>
      <c r="D410" s="4">
        <v>263</v>
      </c>
      <c r="E410" s="3" t="s">
        <v>430</v>
      </c>
      <c r="F410" s="7" t="s">
        <v>1368</v>
      </c>
      <c r="G410" s="4">
        <v>86.8</v>
      </c>
      <c r="H410" s="3" t="s">
        <v>431</v>
      </c>
      <c r="I410" s="3" t="s">
        <v>436</v>
      </c>
      <c r="J410" s="4">
        <v>4</v>
      </c>
      <c r="K410" s="4">
        <v>1086.0968</v>
      </c>
      <c r="L410" s="4" t="str">
        <f>HYPERLINK("http://ms.phosphosite.org:5080/cgi-bin/plot-msms.cgi?MassType=1&amp;NumAxis=1&amp;Mod28=184&amp;Pep=QLCSVPNSSLLGHPFPPSVPPVLSPLQRAQLLGGAQLQPGR&amp;Dta=/var/www/html/dta/yong/23616.26406.4.dta&amp;Global_Mod=CS57.0215", "26406")</f>
        <v>26406</v>
      </c>
      <c r="M410" s="4" t="str">
        <f>HYPERLINK("http://ms.phosphosite.org:5080/cgi-bin/plot-msms.cgi?MassType=1&amp;NumAxis=1&amp;Mod28=184&amp;Pep=QLCSVPNSSLLGHPFPPSVPPVLSPLQRAQLLGGAQLQPGR&amp;Dta=/var/www/html/dta/yong/23617.26842.4.dta&amp;Global_Mod=CS57.0215", "26842")</f>
        <v>26842</v>
      </c>
      <c r="N410" s="5">
        <v>118.11</v>
      </c>
      <c r="O410" s="5">
        <v>119.51</v>
      </c>
      <c r="P410" s="5">
        <v>3.194</v>
      </c>
      <c r="Q410" s="5">
        <v>3.206</v>
      </c>
      <c r="R410" s="5">
        <v>1.1928000000000001</v>
      </c>
      <c r="S410" s="5">
        <v>0.71860000000000002</v>
      </c>
      <c r="T410" s="5">
        <v>0.23710000000000001</v>
      </c>
      <c r="U410" s="5">
        <v>0.32269999999999999</v>
      </c>
      <c r="V410" s="4">
        <v>2</v>
      </c>
      <c r="W410" s="4">
        <v>3</v>
      </c>
      <c r="X410" s="5">
        <v>3.12</v>
      </c>
      <c r="Y410" s="5">
        <v>3.39</v>
      </c>
      <c r="Z410" s="6">
        <v>1000</v>
      </c>
      <c r="AA410" s="6">
        <v>1000</v>
      </c>
      <c r="AB410" s="4" t="s">
        <v>13</v>
      </c>
    </row>
    <row r="411" spans="1:28" s="18" customFormat="1">
      <c r="A411" s="18" t="s">
        <v>429</v>
      </c>
      <c r="B411" s="18" t="s">
        <v>1595</v>
      </c>
      <c r="C411" s="18" t="s">
        <v>1596</v>
      </c>
      <c r="D411" s="19">
        <v>263</v>
      </c>
      <c r="E411" s="18" t="s">
        <v>430</v>
      </c>
      <c r="F411" s="15" t="s">
        <v>1368</v>
      </c>
      <c r="G411" s="19">
        <v>86.8</v>
      </c>
      <c r="H411" s="18" t="s">
        <v>431</v>
      </c>
      <c r="I411" s="18" t="s">
        <v>443</v>
      </c>
      <c r="J411" s="19">
        <v>4</v>
      </c>
      <c r="K411" s="19">
        <v>989.30740000000003</v>
      </c>
      <c r="L411" s="19" t="str">
        <f>HYPERLINK("http://ms.phosphosite.org:5080/cgi-bin/plot-msms.cgi?MassType=1&amp;NumAxis=1&amp;Mod25=184&amp;Mod38=170&amp;Pep=SVPNSSLLGHPFPPSVPPVLSPLQRAQLLGGAQLQPGR&amp;Dta=/var/www/html/dta/yong/23616.26440.4.dta&amp;Global_Mod=CS57.0215", "26440")</f>
        <v>26440</v>
      </c>
      <c r="M411" s="19"/>
      <c r="N411" s="20">
        <v>118.25</v>
      </c>
      <c r="O411" s="20"/>
      <c r="P411" s="20">
        <v>2.726</v>
      </c>
      <c r="Q411" s="20"/>
      <c r="R411" s="20">
        <v>1.1841999999999999</v>
      </c>
      <c r="S411" s="20"/>
      <c r="T411" s="20">
        <v>4.41E-2</v>
      </c>
      <c r="U411" s="20"/>
      <c r="V411" s="19">
        <v>5</v>
      </c>
      <c r="W411" s="19"/>
      <c r="X411" s="20">
        <v>1.92</v>
      </c>
      <c r="Y411" s="20"/>
      <c r="Z411" s="21" t="s">
        <v>1306</v>
      </c>
      <c r="AA411" s="21"/>
      <c r="AB411" s="19" t="s">
        <v>13</v>
      </c>
    </row>
    <row r="412" spans="1:28">
      <c r="A412" s="18" t="s">
        <v>429</v>
      </c>
      <c r="B412" s="18" t="s">
        <v>1595</v>
      </c>
      <c r="C412" s="18" t="s">
        <v>1596</v>
      </c>
      <c r="D412" s="19">
        <v>263</v>
      </c>
      <c r="E412" s="18" t="s">
        <v>430</v>
      </c>
      <c r="F412" s="15" t="s">
        <v>1368</v>
      </c>
      <c r="G412" s="19">
        <v>86.8</v>
      </c>
      <c r="H412" s="18" t="s">
        <v>431</v>
      </c>
      <c r="I412" s="18" t="s">
        <v>443</v>
      </c>
      <c r="J412" s="19">
        <v>4</v>
      </c>
      <c r="K412" s="19">
        <v>989.30740000000003</v>
      </c>
      <c r="L412" s="19" t="str">
        <f>HYPERLINK("http://ms.phosphosite.org:5080/cgi-bin/plot-msms.cgi?MassType=1&amp;NumAxis=1&amp;Mod25=184&amp;Mod38=170&amp;Pep=SVPNSSLLGHPFPPSVPPVLSPLQRAQLLGGAQLQPGR&amp;Dta=/var/www/html/dta/yong/23616.26458.4.dta&amp;Global_Mod=CS57.0215", "26458")</f>
        <v>26458</v>
      </c>
      <c r="M412" s="19" t="str">
        <f>HYPERLINK("http://ms.phosphosite.org:5080/cgi-bin/plot-msms.cgi?MassType=1&amp;NumAxis=1&amp;Mod25=184&amp;Mod38=170&amp;Pep=SVPNSSLLGHPFPPSVPPVLSPLQRAQLLGGAQLQPGR&amp;Dta=/var/www/html/dta/yong/23617.25705.4.dta&amp;Global_Mod=CS57.0215", "25705")</f>
        <v>25705</v>
      </c>
      <c r="N412" s="20">
        <v>118.33</v>
      </c>
      <c r="O412" s="20">
        <v>114.52</v>
      </c>
      <c r="P412" s="20">
        <v>3.27</v>
      </c>
      <c r="Q412" s="20">
        <v>3.056</v>
      </c>
      <c r="R412" s="20">
        <v>1.3367</v>
      </c>
      <c r="S412" s="20">
        <v>0.73599999999999999</v>
      </c>
      <c r="T412" s="20">
        <v>0.30769999999999997</v>
      </c>
      <c r="U412" s="20">
        <v>8.9800000000000005E-2</v>
      </c>
      <c r="V412" s="19">
        <v>2</v>
      </c>
      <c r="W412" s="19">
        <v>1</v>
      </c>
      <c r="X412" s="20">
        <v>3.56</v>
      </c>
      <c r="Y412" s="20">
        <v>2.06</v>
      </c>
      <c r="Z412" s="21" t="s">
        <v>1306</v>
      </c>
      <c r="AA412" s="21" t="s">
        <v>1306</v>
      </c>
      <c r="AB412" s="19" t="s">
        <v>13</v>
      </c>
    </row>
    <row r="413" spans="1:28" s="18" customFormat="1">
      <c r="A413" s="3" t="s">
        <v>429</v>
      </c>
      <c r="B413" s="3" t="s">
        <v>1599</v>
      </c>
      <c r="C413" s="3" t="s">
        <v>1597</v>
      </c>
      <c r="D413" s="4">
        <v>263</v>
      </c>
      <c r="E413" s="3" t="s">
        <v>430</v>
      </c>
      <c r="F413" s="7" t="s">
        <v>1368</v>
      </c>
      <c r="G413" s="4">
        <v>86.8</v>
      </c>
      <c r="H413" s="3" t="s">
        <v>431</v>
      </c>
      <c r="I413" s="3" t="s">
        <v>436</v>
      </c>
      <c r="J413" s="4">
        <v>4</v>
      </c>
      <c r="K413" s="4">
        <v>1086.0968</v>
      </c>
      <c r="L413" s="4" t="str">
        <f>HYPERLINK("http://ms.phosphosite.org:5080/cgi-bin/plot-msms.cgi?MassType=1&amp;NumAxis=1&amp;Mod28=184&amp;Pep=QLCSVPNSSLLGHPFPPSVPPVLSPLQRAQLLGGAQLQPGR&amp;Dta=/var/www/html/dta/yong/23616.26598.4.dta&amp;Global_Mod=CS57.0215", "26598")</f>
        <v>26598</v>
      </c>
      <c r="M413" s="4" t="str">
        <f>HYPERLINK("http://ms.phosphosite.org:5080/cgi-bin/plot-msms.cgi?MassType=1&amp;NumAxis=1&amp;Mod28=184&amp;Pep=QLCSVPNSSLLGHPFPPSVPPVLSPLQRAQLLGGAQLQPGR&amp;Dta=/var/www/html/dta/yong/23617.26464.4.dta&amp;Global_Mod=CS57.0215", "26464")</f>
        <v>26464</v>
      </c>
      <c r="N413" s="5">
        <v>118.94</v>
      </c>
      <c r="O413" s="5">
        <v>117.84</v>
      </c>
      <c r="P413" s="5">
        <v>2.4260000000000002</v>
      </c>
      <c r="Q413" s="5">
        <v>3.56</v>
      </c>
      <c r="R413" s="5">
        <v>0.1777</v>
      </c>
      <c r="S413" s="5">
        <v>1.2555000000000001</v>
      </c>
      <c r="T413" s="5">
        <v>0.1366</v>
      </c>
      <c r="U413" s="5">
        <v>0.22509999999999999</v>
      </c>
      <c r="V413" s="4">
        <v>3</v>
      </c>
      <c r="W413" s="4">
        <v>3</v>
      </c>
      <c r="X413" s="5">
        <v>2.35</v>
      </c>
      <c r="Y413" s="5">
        <v>2.92</v>
      </c>
      <c r="Z413" s="6">
        <v>1000</v>
      </c>
      <c r="AA413" s="6">
        <v>1000</v>
      </c>
      <c r="AB413" s="4" t="s">
        <v>13</v>
      </c>
    </row>
    <row r="414" spans="1:28" s="18" customFormat="1">
      <c r="A414" s="18" t="s">
        <v>429</v>
      </c>
      <c r="B414" s="18" t="s">
        <v>1595</v>
      </c>
      <c r="C414" s="18" t="s">
        <v>1596</v>
      </c>
      <c r="D414" s="19">
        <v>263</v>
      </c>
      <c r="E414" s="18" t="s">
        <v>430</v>
      </c>
      <c r="F414" s="15" t="s">
        <v>1368</v>
      </c>
      <c r="G414" s="19">
        <v>86.8</v>
      </c>
      <c r="H414" s="18" t="s">
        <v>431</v>
      </c>
      <c r="I414" s="18" t="s">
        <v>443</v>
      </c>
      <c r="J414" s="19">
        <v>4</v>
      </c>
      <c r="K414" s="19">
        <v>989.30740000000003</v>
      </c>
      <c r="L414" s="19" t="str">
        <f>HYPERLINK("http://ms.phosphosite.org:5080/cgi-bin/plot-msms.cgi?MassType=1&amp;NumAxis=1&amp;Mod25=184&amp;Mod38=170&amp;Pep=SVPNSSLLGHPFPPSVPPVLSPLQRAQLLGGAQLQPGR&amp;Dta=/var/www/html/dta/yong/23616.26604.4.dta&amp;Global_Mod=CS57.0215", "26604")</f>
        <v>26604</v>
      </c>
      <c r="M414" s="19" t="str">
        <f>HYPERLINK("http://ms.phosphosite.org:5080/cgi-bin/plot-msms.cgi?MassType=1&amp;NumAxis=1&amp;Mod25=184&amp;Mod38=170&amp;Pep=SVPNSSLLGHPFPPSVPPVLSPLQRAQLLGGAQLQPGR&amp;Dta=/var/www/html/dta/yong/23617.26507.4.dta&amp;Global_Mod=CS57.0215", "26507")</f>
        <v>26507</v>
      </c>
      <c r="N414" s="20">
        <v>118.96</v>
      </c>
      <c r="O414" s="20">
        <v>118.02</v>
      </c>
      <c r="P414" s="20">
        <v>2.694</v>
      </c>
      <c r="Q414" s="20">
        <v>3.2480000000000002</v>
      </c>
      <c r="R414" s="20">
        <v>1.7969999999999999</v>
      </c>
      <c r="S414" s="20">
        <v>1.4625999999999999</v>
      </c>
      <c r="T414" s="20">
        <v>7.0900000000000005E-2</v>
      </c>
      <c r="U414" s="20">
        <v>0.27360000000000001</v>
      </c>
      <c r="V414" s="19">
        <v>1</v>
      </c>
      <c r="W414" s="19">
        <v>1</v>
      </c>
      <c r="X414" s="20">
        <v>2.0299999999999998</v>
      </c>
      <c r="Y414" s="20">
        <v>3.12</v>
      </c>
      <c r="Z414" s="21" t="s">
        <v>1306</v>
      </c>
      <c r="AA414" s="21" t="s">
        <v>1306</v>
      </c>
      <c r="AB414" s="19" t="s">
        <v>13</v>
      </c>
    </row>
    <row r="415" spans="1:28" s="18" customFormat="1">
      <c r="A415" s="3" t="s">
        <v>429</v>
      </c>
      <c r="B415" s="3" t="s">
        <v>1599</v>
      </c>
      <c r="C415" s="3" t="s">
        <v>1597</v>
      </c>
      <c r="D415" s="4">
        <v>263</v>
      </c>
      <c r="E415" s="3" t="s">
        <v>430</v>
      </c>
      <c r="F415" s="7" t="s">
        <v>1368</v>
      </c>
      <c r="G415" s="4">
        <v>86.8</v>
      </c>
      <c r="H415" s="3" t="s">
        <v>431</v>
      </c>
      <c r="I415" s="3" t="s">
        <v>436</v>
      </c>
      <c r="J415" s="4">
        <v>4</v>
      </c>
      <c r="K415" s="4">
        <v>1086.0968</v>
      </c>
      <c r="L415" s="4" t="str">
        <f>HYPERLINK("http://ms.phosphosite.org:5080/cgi-bin/plot-msms.cgi?MassType=1&amp;NumAxis=1&amp;Mod28=184&amp;Pep=QLCSVPNSSLLGHPFPPSVPPVLSPLQRAQLLGGAQLQPGR&amp;Dta=/var/www/html/dta/yong/23616.26660.4.dta&amp;Global_Mod=CS57.0215", "26660")</f>
        <v>26660</v>
      </c>
      <c r="M415" s="4" t="str">
        <f>HYPERLINK("http://ms.phosphosite.org:5080/cgi-bin/plot-msms.cgi?MassType=1&amp;NumAxis=1&amp;Mod28=184&amp;Pep=QLCSVPNSSLLGHPFPPSVPPVLSPLQRAQLLGGAQLQPGR&amp;Dta=/var/www/html/dta/yong/23617.26277.4.dta&amp;Global_Mod=CS57.0215", "26277")</f>
        <v>26277</v>
      </c>
      <c r="N415" s="5">
        <v>119.2</v>
      </c>
      <c r="O415" s="5">
        <v>117.02</v>
      </c>
      <c r="P415" s="5">
        <v>3.0630000000000002</v>
      </c>
      <c r="Q415" s="5">
        <v>2.7679999999999998</v>
      </c>
      <c r="R415" s="5">
        <v>0.84989999999999999</v>
      </c>
      <c r="S415" s="5">
        <v>0.66820000000000002</v>
      </c>
      <c r="T415" s="5">
        <v>0.15290000000000001</v>
      </c>
      <c r="U415" s="5">
        <v>0.18290000000000001</v>
      </c>
      <c r="V415" s="4">
        <v>20</v>
      </c>
      <c r="W415" s="4">
        <v>3</v>
      </c>
      <c r="X415" s="5">
        <v>2.61</v>
      </c>
      <c r="Y415" s="5">
        <v>2.4700000000000002</v>
      </c>
      <c r="Z415" s="6">
        <v>1000</v>
      </c>
      <c r="AA415" s="6">
        <v>1000</v>
      </c>
      <c r="AB415" s="4" t="s">
        <v>13</v>
      </c>
    </row>
    <row r="416" spans="1:28">
      <c r="A416" s="3" t="s">
        <v>429</v>
      </c>
      <c r="B416" s="3" t="s">
        <v>1599</v>
      </c>
      <c r="C416" s="3" t="s">
        <v>1597</v>
      </c>
      <c r="D416" s="4">
        <v>263</v>
      </c>
      <c r="E416" s="3" t="s">
        <v>430</v>
      </c>
      <c r="F416" s="7" t="s">
        <v>1368</v>
      </c>
      <c r="G416" s="4">
        <v>86.8</v>
      </c>
      <c r="H416" s="3" t="s">
        <v>431</v>
      </c>
      <c r="I416" s="3" t="s">
        <v>434</v>
      </c>
      <c r="J416" s="4">
        <v>5</v>
      </c>
      <c r="K416" s="4">
        <v>958.11149999999998</v>
      </c>
      <c r="L416" s="4" t="str">
        <f>HYPERLINK("http://ms.phosphosite.org:5080/cgi-bin/plot-msms.cgi?MassType=1&amp;NumAxis=1&amp;Mod1=147&amp;Mod32=184&amp;Pep=MSPNQLCSVPNSSLLGHPFPPSVPPVLSPLQRAQLLGGAQLQPGR&amp;Dta=/var/www/html/dta/yong/23616.26698.5.dta&amp;Global_Mod=CS57.0215", "26698")</f>
        <v>26698</v>
      </c>
      <c r="M416" s="4" t="str">
        <f>HYPERLINK("http://ms.phosphosite.org:5080/cgi-bin/plot-msms.cgi?MassType=1&amp;NumAxis=1&amp;Mod1=147&amp;Mod32=184&amp;Pep=MSPNQLCSVPNSSLLGHPFPPSVPPVLSPLQRAQLLGGAQLQPGR&amp;Dta=/var/www/html/dta/yong/23617.26763.5.dta&amp;Global_Mod=CS57.0215", "26763")</f>
        <v>26763</v>
      </c>
      <c r="N416" s="5">
        <v>119.36</v>
      </c>
      <c r="O416" s="5">
        <v>119.15</v>
      </c>
      <c r="P416" s="5">
        <v>2.8260000000000001</v>
      </c>
      <c r="Q416" s="5">
        <v>2.9390000000000001</v>
      </c>
      <c r="R416" s="5">
        <v>2.645</v>
      </c>
      <c r="S416" s="5">
        <v>0.81379999999999997</v>
      </c>
      <c r="T416" s="5">
        <v>7.8E-2</v>
      </c>
      <c r="U416" s="5">
        <v>3.7600000000000001E-2</v>
      </c>
      <c r="V416" s="4">
        <v>2</v>
      </c>
      <c r="W416" s="4">
        <v>5</v>
      </c>
      <c r="X416" s="5">
        <v>2.02</v>
      </c>
      <c r="Y416" s="5">
        <v>1.66</v>
      </c>
      <c r="Z416" s="6">
        <v>1000</v>
      </c>
      <c r="AA416" s="6">
        <v>1000</v>
      </c>
      <c r="AB416" s="4" t="s">
        <v>13</v>
      </c>
    </row>
    <row r="417" spans="1:28">
      <c r="A417" s="3" t="s">
        <v>429</v>
      </c>
      <c r="B417" s="3" t="s">
        <v>1599</v>
      </c>
      <c r="C417" s="3" t="s">
        <v>1597</v>
      </c>
      <c r="D417" s="4">
        <v>263</v>
      </c>
      <c r="E417" s="3" t="s">
        <v>430</v>
      </c>
      <c r="F417" s="7" t="s">
        <v>1368</v>
      </c>
      <c r="G417" s="4">
        <v>86.8</v>
      </c>
      <c r="H417" s="3" t="s">
        <v>431</v>
      </c>
      <c r="I417" s="3" t="s">
        <v>436</v>
      </c>
      <c r="J417" s="4">
        <v>4</v>
      </c>
      <c r="K417" s="4">
        <v>1086.0968</v>
      </c>
      <c r="L417" s="4" t="str">
        <f>HYPERLINK("http://ms.phosphosite.org:5080/cgi-bin/plot-msms.cgi?MassType=1&amp;NumAxis=1&amp;Mod28=184&amp;Pep=QLCSVPNSSLLGHPFPPSVPPVLSPLQRAQLLGGAQLQPGR&amp;Dta=/var/www/html/dta/yong/23616.26819.4.dta&amp;Global_Mod=CS57.0215", "26819")</f>
        <v>26819</v>
      </c>
      <c r="M417" s="4"/>
      <c r="N417" s="5">
        <v>119.88</v>
      </c>
      <c r="O417" s="5"/>
      <c r="P417" s="5">
        <v>3.0539999999999998</v>
      </c>
      <c r="Q417" s="5"/>
      <c r="R417" s="5">
        <v>1.2617</v>
      </c>
      <c r="S417" s="5"/>
      <c r="T417" s="5">
        <v>0.2109</v>
      </c>
      <c r="U417" s="5"/>
      <c r="V417" s="4">
        <v>3</v>
      </c>
      <c r="W417" s="4"/>
      <c r="X417" s="5">
        <v>2.92</v>
      </c>
      <c r="Y417" s="5"/>
      <c r="Z417" s="6">
        <v>1000</v>
      </c>
      <c r="AA417" s="6"/>
      <c r="AB417" s="4" t="s">
        <v>13</v>
      </c>
    </row>
    <row r="418" spans="1:28" s="18" customFormat="1">
      <c r="A418" s="3" t="s">
        <v>429</v>
      </c>
      <c r="B418" s="3" t="s">
        <v>1599</v>
      </c>
      <c r="C418" s="3" t="s">
        <v>1597</v>
      </c>
      <c r="D418" s="4">
        <v>263</v>
      </c>
      <c r="E418" s="3" t="s">
        <v>430</v>
      </c>
      <c r="F418" s="7" t="s">
        <v>1368</v>
      </c>
      <c r="G418" s="4">
        <v>86.8</v>
      </c>
      <c r="H418" s="3" t="s">
        <v>431</v>
      </c>
      <c r="I418" s="3" t="s">
        <v>434</v>
      </c>
      <c r="J418" s="4">
        <v>4</v>
      </c>
      <c r="K418" s="4">
        <v>1197.3876</v>
      </c>
      <c r="L418" s="4" t="str">
        <f>HYPERLINK("http://ms.phosphosite.org:5080/cgi-bin/plot-msms.cgi?MassType=1&amp;NumAxis=1&amp;Mod1=147&amp;Mod32=184&amp;Pep=MSPNQLCSVPNSSLLGHPFPPSVPPVLSPLQRAQLLGGAQLQPGR&amp;Dta=/var/www/html/dta/yong/23616.26917.4.dta&amp;Global_Mod=CS57.0215", "26917")</f>
        <v>26917</v>
      </c>
      <c r="M418" s="4"/>
      <c r="N418" s="5">
        <v>120.31</v>
      </c>
      <c r="O418" s="5"/>
      <c r="P418" s="5">
        <v>3.3769999999999998</v>
      </c>
      <c r="Q418" s="5"/>
      <c r="R418" s="5">
        <v>1.6048</v>
      </c>
      <c r="S418" s="5"/>
      <c r="T418" s="5">
        <v>0.12509999999999999</v>
      </c>
      <c r="U418" s="5"/>
      <c r="V418" s="4">
        <v>3</v>
      </c>
      <c r="W418" s="4"/>
      <c r="X418" s="5">
        <v>2.48</v>
      </c>
      <c r="Y418" s="5"/>
      <c r="Z418" s="6">
        <v>1000</v>
      </c>
      <c r="AA418" s="6"/>
      <c r="AB418" s="4" t="s">
        <v>13</v>
      </c>
    </row>
    <row r="419" spans="1:28">
      <c r="A419" s="3" t="s">
        <v>429</v>
      </c>
      <c r="B419" s="3" t="s">
        <v>1599</v>
      </c>
      <c r="C419" s="3" t="s">
        <v>1597</v>
      </c>
      <c r="D419" s="4">
        <v>263</v>
      </c>
      <c r="E419" s="3" t="s">
        <v>430</v>
      </c>
      <c r="F419" s="7" t="s">
        <v>1368</v>
      </c>
      <c r="G419" s="4">
        <v>86.8</v>
      </c>
      <c r="H419" s="3" t="s">
        <v>431</v>
      </c>
      <c r="I419" s="3" t="s">
        <v>436</v>
      </c>
      <c r="J419" s="4">
        <v>4</v>
      </c>
      <c r="K419" s="4">
        <v>1086.0968</v>
      </c>
      <c r="L419" s="4" t="str">
        <f>HYPERLINK("http://ms.phosphosite.org:5080/cgi-bin/plot-msms.cgi?MassType=1&amp;NumAxis=1&amp;Mod28=184&amp;Pep=QLCSVPNSSLLGHPFPPSVPPVLSPLQRAQLLGGAQLQPGR&amp;Dta=/var/www/html/dta/yong/23616.27000.4.dta&amp;Global_Mod=CS57.0215", "27000")</f>
        <v>27000</v>
      </c>
      <c r="M419" s="4" t="str">
        <f>HYPERLINK("http://ms.phosphosite.org:5080/cgi-bin/plot-msms.cgi?MassType=1&amp;NumAxis=1&amp;Mod28=184&amp;Pep=QLCSVPNSSLLGHPFPPSVPPVLSPLQRAQLLGGAQLQPGR&amp;Dta=/var/www/html/dta/yong/23617.26375.4.dta&amp;Global_Mod=CS57.0215", "26375")</f>
        <v>26375</v>
      </c>
      <c r="N419" s="5">
        <v>120.69</v>
      </c>
      <c r="O419" s="5">
        <v>117.44</v>
      </c>
      <c r="P419" s="5">
        <v>3.8029999999999999</v>
      </c>
      <c r="Q419" s="5">
        <v>3.48</v>
      </c>
      <c r="R419" s="5">
        <v>1.7905</v>
      </c>
      <c r="S419" s="5">
        <v>0.80569999999999997</v>
      </c>
      <c r="T419" s="5">
        <v>0.35520000000000002</v>
      </c>
      <c r="U419" s="5">
        <v>0.19400000000000001</v>
      </c>
      <c r="V419" s="4">
        <v>4</v>
      </c>
      <c r="W419" s="4">
        <v>13</v>
      </c>
      <c r="X419" s="5">
        <v>3.93</v>
      </c>
      <c r="Y419" s="5">
        <v>2.74</v>
      </c>
      <c r="Z419" s="6">
        <v>1000</v>
      </c>
      <c r="AA419" s="6">
        <v>1000</v>
      </c>
      <c r="AB419" s="4" t="s">
        <v>13</v>
      </c>
    </row>
    <row r="420" spans="1:28">
      <c r="A420" s="3" t="s">
        <v>429</v>
      </c>
      <c r="B420" s="3" t="s">
        <v>1599</v>
      </c>
      <c r="C420" s="3" t="s">
        <v>1597</v>
      </c>
      <c r="D420" s="4">
        <v>263</v>
      </c>
      <c r="E420" s="3" t="s">
        <v>430</v>
      </c>
      <c r="F420" s="7" t="s">
        <v>1368</v>
      </c>
      <c r="G420" s="4">
        <v>86.8</v>
      </c>
      <c r="H420" s="3" t="s">
        <v>431</v>
      </c>
      <c r="I420" s="3" t="s">
        <v>436</v>
      </c>
      <c r="J420" s="4">
        <v>4</v>
      </c>
      <c r="K420" s="4">
        <v>1086.0968</v>
      </c>
      <c r="L420" s="4" t="str">
        <f>HYPERLINK("http://ms.phosphosite.org:5080/cgi-bin/plot-msms.cgi?MassType=1&amp;NumAxis=1&amp;Mod28=184&amp;Pep=QLCSVPNSSLLGHPFPPSVPPVLSPLQRAQLLGGAQLQPGR&amp;Dta=/var/www/html/dta/yong/23616.27185.4.dta&amp;Global_Mod=CS57.0215", "27185")</f>
        <v>27185</v>
      </c>
      <c r="M420" s="4" t="str">
        <f>HYPERLINK("http://ms.phosphosite.org:5080/cgi-bin/plot-msms.cgi?MassType=1&amp;NumAxis=1&amp;Mod28=184&amp;Pep=QLCSVPNSSLLGHPFPPSVPPVLSPLQRAQLLGGAQLQPGR&amp;Dta=/var/www/html/dta/yong/23617.27058.4.dta&amp;Global_Mod=CS57.0215", "27058")</f>
        <v>27058</v>
      </c>
      <c r="N420" s="5">
        <v>121.55</v>
      </c>
      <c r="O420" s="5">
        <v>120.49</v>
      </c>
      <c r="P420" s="5">
        <v>3.073</v>
      </c>
      <c r="Q420" s="5">
        <v>3.1339999999999999</v>
      </c>
      <c r="R420" s="5">
        <v>1.9358</v>
      </c>
      <c r="S420" s="5">
        <v>3.9258000000000002</v>
      </c>
      <c r="T420" s="5">
        <v>0.18659999999999999</v>
      </c>
      <c r="U420" s="5">
        <v>0.28239999999999998</v>
      </c>
      <c r="V420" s="4">
        <v>14</v>
      </c>
      <c r="W420" s="4">
        <v>2</v>
      </c>
      <c r="X420" s="5">
        <v>2.76</v>
      </c>
      <c r="Y420" s="5">
        <v>2.98</v>
      </c>
      <c r="Z420" s="6">
        <v>1000</v>
      </c>
      <c r="AA420" s="6">
        <v>1000</v>
      </c>
      <c r="AB420" s="4" t="s">
        <v>13</v>
      </c>
    </row>
    <row r="421" spans="1:28">
      <c r="A421" s="3" t="s">
        <v>429</v>
      </c>
      <c r="B421" s="3" t="s">
        <v>1599</v>
      </c>
      <c r="C421" s="3" t="s">
        <v>1597</v>
      </c>
      <c r="D421" s="4">
        <v>263</v>
      </c>
      <c r="E421" s="3" t="s">
        <v>430</v>
      </c>
      <c r="F421" s="7" t="s">
        <v>1368</v>
      </c>
      <c r="G421" s="4">
        <v>86.8</v>
      </c>
      <c r="H421" s="3" t="s">
        <v>431</v>
      </c>
      <c r="I421" s="3" t="s">
        <v>436</v>
      </c>
      <c r="J421" s="4">
        <v>4</v>
      </c>
      <c r="K421" s="4">
        <v>1086.0968</v>
      </c>
      <c r="L421" s="4" t="str">
        <f>HYPERLINK("http://ms.phosphosite.org:5080/cgi-bin/plot-msms.cgi?MassType=1&amp;NumAxis=1&amp;Mod28=184&amp;Pep=QLCSVPNSSLLGHPFPPSVPPVLSPLQRAQLLGGAQLQPGR&amp;Dta=/var/www/html/dta/yong/23616.27207.4.dta&amp;Global_Mod=CS57.0215", "27207")</f>
        <v>27207</v>
      </c>
      <c r="M421" s="4" t="str">
        <f>HYPERLINK("http://ms.phosphosite.org:5080/cgi-bin/plot-msms.cgi?MassType=1&amp;NumAxis=1&amp;Mod28=184&amp;Pep=QLCSVPNSSLLGHPFPPSVPPVLSPLQRAQLLGGAQLQPGR&amp;Dta=/var/www/html/dta/yong/23617.26583.4.dta&amp;Global_Mod=CS57.0215", "26583")</f>
        <v>26583</v>
      </c>
      <c r="N421" s="5">
        <v>121.65</v>
      </c>
      <c r="O421" s="5">
        <v>118.37</v>
      </c>
      <c r="P421" s="5">
        <v>3.1749999999999998</v>
      </c>
      <c r="Q421" s="5">
        <v>2.8260000000000001</v>
      </c>
      <c r="R421" s="5">
        <v>1.9962</v>
      </c>
      <c r="S421" s="5">
        <v>1.2592000000000001</v>
      </c>
      <c r="T421" s="5">
        <v>7.7799999999999994E-2</v>
      </c>
      <c r="U421" s="5">
        <v>0.2099</v>
      </c>
      <c r="V421" s="4">
        <v>56</v>
      </c>
      <c r="W421" s="4">
        <v>3</v>
      </c>
      <c r="X421" s="5">
        <v>2.15</v>
      </c>
      <c r="Y421" s="5">
        <v>2.61</v>
      </c>
      <c r="Z421" s="6">
        <v>1000</v>
      </c>
      <c r="AA421" s="6">
        <v>1000</v>
      </c>
      <c r="AB421" s="4" t="s">
        <v>13</v>
      </c>
    </row>
    <row r="422" spans="1:28">
      <c r="A422" s="3" t="s">
        <v>429</v>
      </c>
      <c r="B422" s="3" t="s">
        <v>1599</v>
      </c>
      <c r="C422" s="3" t="s">
        <v>1597</v>
      </c>
      <c r="D422" s="4">
        <v>263</v>
      </c>
      <c r="E422" s="3" t="s">
        <v>430</v>
      </c>
      <c r="F422" s="7" t="s">
        <v>1368</v>
      </c>
      <c r="G422" s="4">
        <v>86.8</v>
      </c>
      <c r="H422" s="3" t="s">
        <v>431</v>
      </c>
      <c r="I422" s="3" t="s">
        <v>434</v>
      </c>
      <c r="J422" s="4">
        <v>4</v>
      </c>
      <c r="K422" s="4">
        <v>1197.3876</v>
      </c>
      <c r="L422" s="4" t="str">
        <f>HYPERLINK("http://ms.phosphosite.org:5080/cgi-bin/plot-msms.cgi?MassType=1&amp;NumAxis=1&amp;Mod1=147&amp;Mod32=184&amp;Pep=MSPNQLCSVPNSSLLGHPFPPSVPPVLSPLQRAQLLGGAQLQPGR&amp;Dta=/var/www/html/dta/yong/23616.27210.4.dta&amp;Global_Mod=CS57.0215", "27210")</f>
        <v>27210</v>
      </c>
      <c r="M422" s="4"/>
      <c r="N422" s="5">
        <v>121.67</v>
      </c>
      <c r="O422" s="5"/>
      <c r="P422" s="5">
        <v>2.5259999999999998</v>
      </c>
      <c r="Q422" s="5"/>
      <c r="R422" s="5">
        <v>1.0128999999999999</v>
      </c>
      <c r="S422" s="5"/>
      <c r="T422" s="5">
        <v>2.9600000000000001E-2</v>
      </c>
      <c r="U422" s="5"/>
      <c r="V422" s="4">
        <v>10</v>
      </c>
      <c r="W422" s="4"/>
      <c r="X422" s="5">
        <v>1.72</v>
      </c>
      <c r="Y422" s="5"/>
      <c r="Z422" s="6">
        <v>1000</v>
      </c>
      <c r="AA422" s="6"/>
      <c r="AB422" s="4" t="s">
        <v>13</v>
      </c>
    </row>
    <row r="423" spans="1:28">
      <c r="A423" s="3" t="s">
        <v>429</v>
      </c>
      <c r="B423" s="3" t="s">
        <v>1599</v>
      </c>
      <c r="C423" s="3" t="s">
        <v>1597</v>
      </c>
      <c r="D423" s="4">
        <v>263</v>
      </c>
      <c r="E423" s="3" t="s">
        <v>430</v>
      </c>
      <c r="F423" s="7" t="s">
        <v>1368</v>
      </c>
      <c r="G423" s="4">
        <v>86.8</v>
      </c>
      <c r="H423" s="3" t="s">
        <v>431</v>
      </c>
      <c r="I423" s="3" t="s">
        <v>434</v>
      </c>
      <c r="J423" s="4">
        <v>4</v>
      </c>
      <c r="K423" s="4">
        <v>1197.3876</v>
      </c>
      <c r="L423" s="4" t="str">
        <f>HYPERLINK("http://ms.phosphosite.org:5080/cgi-bin/plot-msms.cgi?MassType=1&amp;NumAxis=1&amp;Mod1=147&amp;Mod32=184&amp;Pep=MSPNQLCSVPNSSLLGHPFPPSVPPVLSPLQRAQLLGGAQLQPGR&amp;Dta=/var/www/html/dta/yong/23616.27314.4.dta&amp;Global_Mod=CS57.0215", "27314")</f>
        <v>27314</v>
      </c>
      <c r="M423" s="4"/>
      <c r="N423" s="5">
        <v>122.16</v>
      </c>
      <c r="O423" s="5"/>
      <c r="P423" s="5">
        <v>2.7349999999999999</v>
      </c>
      <c r="Q423" s="5"/>
      <c r="R423" s="5">
        <v>0.42209999999999998</v>
      </c>
      <c r="S423" s="5"/>
      <c r="T423" s="5">
        <v>2.1000000000000001E-2</v>
      </c>
      <c r="U423" s="5"/>
      <c r="V423" s="4">
        <v>1</v>
      </c>
      <c r="W423" s="4"/>
      <c r="X423" s="5">
        <v>1.76</v>
      </c>
      <c r="Y423" s="5"/>
      <c r="Z423" s="6">
        <v>1000</v>
      </c>
      <c r="AA423" s="6"/>
      <c r="AB423" s="4" t="s">
        <v>13</v>
      </c>
    </row>
    <row r="424" spans="1:28">
      <c r="A424" s="3" t="s">
        <v>429</v>
      </c>
      <c r="B424" s="3" t="s">
        <v>1599</v>
      </c>
      <c r="C424" s="3" t="s">
        <v>1597</v>
      </c>
      <c r="D424" s="4">
        <v>263</v>
      </c>
      <c r="E424" s="3" t="s">
        <v>430</v>
      </c>
      <c r="F424" s="7" t="s">
        <v>1368</v>
      </c>
      <c r="G424" s="4">
        <v>86.8</v>
      </c>
      <c r="H424" s="3" t="s">
        <v>431</v>
      </c>
      <c r="I424" s="3" t="s">
        <v>433</v>
      </c>
      <c r="J424" s="4">
        <v>3</v>
      </c>
      <c r="K424" s="4">
        <v>1327.0359000000001</v>
      </c>
      <c r="L424" s="4" t="str">
        <f>HYPERLINK("http://ms.phosphosite.org:5080/cgi-bin/plot-msms.cgi?MassType=1&amp;NumAxis=1&amp;Mod1=147&amp;Mod32=184&amp;Pep=MSPNQLCSVPNSSLLGHPFPPSVPPVLSPLQRAQLLG&amp;Dta=/var/www/html/dta/yong/23616.27800.3.dta&amp;Global_Mod=CS57.0215", "27800")</f>
        <v>27800</v>
      </c>
      <c r="M424" s="4" t="str">
        <f>HYPERLINK("http://ms.phosphosite.org:5080/cgi-bin/plot-msms.cgi?MassType=1&amp;NumAxis=1&amp;Mod1=147&amp;Mod32=184&amp;Pep=MSPNQLCSVPNSSLLGHPFPPSVPPVLSPLQRAQLLG&amp;Dta=/var/www/html/dta/yong/23617.28242.3.dta&amp;Global_Mod=CS57.0215", "28242")</f>
        <v>28242</v>
      </c>
      <c r="N424" s="5">
        <v>124.43</v>
      </c>
      <c r="O424" s="5">
        <v>126.03</v>
      </c>
      <c r="P424" s="5">
        <v>3.46</v>
      </c>
      <c r="Q424" s="5">
        <v>4.0060000000000002</v>
      </c>
      <c r="R424" s="5">
        <v>2.1364999999999998</v>
      </c>
      <c r="S424" s="5">
        <v>2.0920999999999998</v>
      </c>
      <c r="T424" s="5">
        <v>0.16309999999999999</v>
      </c>
      <c r="U424" s="5">
        <v>0.30480000000000002</v>
      </c>
      <c r="V424" s="4">
        <v>1</v>
      </c>
      <c r="W424" s="4">
        <v>1</v>
      </c>
      <c r="X424" s="5">
        <v>2.75</v>
      </c>
      <c r="Y424" s="5">
        <v>3.49</v>
      </c>
      <c r="Z424" s="6">
        <v>1000</v>
      </c>
      <c r="AA424" s="6">
        <v>1000</v>
      </c>
      <c r="AB424" s="4" t="s">
        <v>13</v>
      </c>
    </row>
    <row r="425" spans="1:28" s="18" customFormat="1">
      <c r="A425" s="3" t="s">
        <v>429</v>
      </c>
      <c r="B425" s="3" t="s">
        <v>1599</v>
      </c>
      <c r="C425" s="3" t="s">
        <v>1597</v>
      </c>
      <c r="D425" s="4">
        <v>263</v>
      </c>
      <c r="E425" s="3" t="s">
        <v>430</v>
      </c>
      <c r="F425" s="7" t="s">
        <v>1368</v>
      </c>
      <c r="G425" s="4">
        <v>86.8</v>
      </c>
      <c r="H425" s="3" t="s">
        <v>431</v>
      </c>
      <c r="I425" s="3" t="s">
        <v>433</v>
      </c>
      <c r="J425" s="4">
        <v>4</v>
      </c>
      <c r="K425" s="4">
        <v>995.52880000000005</v>
      </c>
      <c r="L425" s="4" t="str">
        <f>HYPERLINK("http://ms.phosphosite.org:5080/cgi-bin/plot-msms.cgi?MassType=1&amp;NumAxis=1&amp;Mod1=147&amp;Mod32=184&amp;Pep=MSPNQLCSVPNSSLLGHPFPPSVPPVLSPLQRAQLLG&amp;Dta=/var/www/html/dta/yong/23616.27934.4.dta&amp;Global_Mod=CS57.0215", "27934")</f>
        <v>27934</v>
      </c>
      <c r="M425" s="4"/>
      <c r="N425" s="5">
        <v>125.02</v>
      </c>
      <c r="O425" s="5"/>
      <c r="P425" s="5">
        <v>3.11</v>
      </c>
      <c r="Q425" s="5"/>
      <c r="R425" s="5">
        <v>2.3976999999999999</v>
      </c>
      <c r="S425" s="5"/>
      <c r="T425" s="5">
        <v>7.9799999999999996E-2</v>
      </c>
      <c r="U425" s="5"/>
      <c r="V425" s="4">
        <v>35</v>
      </c>
      <c r="W425" s="4"/>
      <c r="X425" s="5">
        <v>2.17</v>
      </c>
      <c r="Y425" s="5"/>
      <c r="Z425" s="6">
        <v>1000</v>
      </c>
      <c r="AA425" s="6"/>
      <c r="AB425" s="4" t="s">
        <v>13</v>
      </c>
    </row>
    <row r="426" spans="1:28">
      <c r="A426" s="3" t="s">
        <v>429</v>
      </c>
      <c r="B426" s="3" t="s">
        <v>1599</v>
      </c>
      <c r="C426" s="3" t="s">
        <v>1597</v>
      </c>
      <c r="D426" s="4">
        <v>263</v>
      </c>
      <c r="E426" s="3" t="s">
        <v>430</v>
      </c>
      <c r="F426" s="7" t="s">
        <v>1368</v>
      </c>
      <c r="G426" s="4">
        <v>86.8</v>
      </c>
      <c r="H426" s="3" t="s">
        <v>431</v>
      </c>
      <c r="I426" s="3" t="s">
        <v>433</v>
      </c>
      <c r="J426" s="4">
        <v>3</v>
      </c>
      <c r="K426" s="4">
        <v>1327.0359000000001</v>
      </c>
      <c r="L426" s="4" t="str">
        <f>HYPERLINK("http://ms.phosphosite.org:5080/cgi-bin/plot-msms.cgi?MassType=1&amp;NumAxis=1&amp;Mod1=147&amp;Mod32=184&amp;Pep=MSPNQLCSVPNSSLLGHPFPPSVPPVLSPLQRAQLLG&amp;Dta=/var/www/html/dta/yong/23616.27954.3.dta&amp;Global_Mod=CS57.0215", "27954")</f>
        <v>27954</v>
      </c>
      <c r="M426" s="4" t="str">
        <f>HYPERLINK("http://ms.phosphosite.org:5080/cgi-bin/plot-msms.cgi?MassType=1&amp;NumAxis=1&amp;Mod1=147&amp;Mod32=184&amp;Pep=MSPNQLCSVPNSSLLGHPFPPSVPPVLSPLQRAQLLG&amp;Dta=/var/www/html/dta/yong/23617.28160.3.dta&amp;Global_Mod=CS57.0215", "28160")</f>
        <v>28160</v>
      </c>
      <c r="N426" s="5">
        <v>125.11</v>
      </c>
      <c r="O426" s="5">
        <v>125.64</v>
      </c>
      <c r="P426" s="5">
        <v>4.2430000000000003</v>
      </c>
      <c r="Q426" s="5">
        <v>3.5369999999999999</v>
      </c>
      <c r="R426" s="5">
        <v>1.9534</v>
      </c>
      <c r="S426" s="5">
        <v>2.4933000000000001</v>
      </c>
      <c r="T426" s="5">
        <v>0.38379999999999997</v>
      </c>
      <c r="U426" s="5">
        <v>0.3654</v>
      </c>
      <c r="V426" s="4">
        <v>1</v>
      </c>
      <c r="W426" s="4">
        <v>1</v>
      </c>
      <c r="X426" s="5">
        <v>4.24</v>
      </c>
      <c r="Y426" s="5">
        <v>3.67</v>
      </c>
      <c r="Z426" s="6">
        <v>1000</v>
      </c>
      <c r="AA426" s="6">
        <v>1000</v>
      </c>
      <c r="AB426" s="4" t="s">
        <v>13</v>
      </c>
    </row>
    <row r="427" spans="1:28" s="18" customFormat="1">
      <c r="A427" s="3" t="s">
        <v>429</v>
      </c>
      <c r="B427" s="3" t="s">
        <v>1599</v>
      </c>
      <c r="C427" s="3" t="s">
        <v>1597</v>
      </c>
      <c r="D427" s="4">
        <v>263</v>
      </c>
      <c r="E427" s="3" t="s">
        <v>430</v>
      </c>
      <c r="F427" s="7" t="s">
        <v>1368</v>
      </c>
      <c r="G427" s="4">
        <v>86.8</v>
      </c>
      <c r="H427" s="3" t="s">
        <v>431</v>
      </c>
      <c r="I427" s="3" t="s">
        <v>433</v>
      </c>
      <c r="J427" s="4">
        <v>3</v>
      </c>
      <c r="K427" s="4">
        <v>1327.0359000000001</v>
      </c>
      <c r="L427" s="4" t="str">
        <f>HYPERLINK("http://ms.phosphosite.org:5080/cgi-bin/plot-msms.cgi?MassType=1&amp;NumAxis=1&amp;Mod1=147&amp;Mod32=184&amp;Pep=MSPNQLCSVPNSSLLGHPFPPSVPPVLSPLQRAQLLG&amp;Dta=/var/www/html/dta/yong/23616.28042.3.dta&amp;Global_Mod=CS57.0215", "28042")</f>
        <v>28042</v>
      </c>
      <c r="M427" s="4" t="str">
        <f>HYPERLINK("http://ms.phosphosite.org:5080/cgi-bin/plot-msms.cgi?MassType=1&amp;NumAxis=1&amp;Mod1=147&amp;Mod32=184&amp;Pep=MSPNQLCSVPNSSLLGHPFPPSVPPVLSPLQRAQLLG&amp;Dta=/var/www/html/dta/yong/23617.27917.3.dta&amp;Global_Mod=CS57.0215", "27917")</f>
        <v>27917</v>
      </c>
      <c r="N427" s="5">
        <v>125.5</v>
      </c>
      <c r="O427" s="5">
        <v>124.53</v>
      </c>
      <c r="P427" s="5">
        <v>4.1429999999999998</v>
      </c>
      <c r="Q427" s="5">
        <v>2.9929999999999999</v>
      </c>
      <c r="R427" s="5">
        <v>1.0748</v>
      </c>
      <c r="S427" s="5">
        <v>2.5118</v>
      </c>
      <c r="T427" s="5">
        <v>0.42809999999999998</v>
      </c>
      <c r="U427" s="5">
        <v>0.18290000000000001</v>
      </c>
      <c r="V427" s="4">
        <v>1</v>
      </c>
      <c r="W427" s="4">
        <v>1</v>
      </c>
      <c r="X427" s="5">
        <v>4.5</v>
      </c>
      <c r="Y427" s="5">
        <v>2.48</v>
      </c>
      <c r="Z427" s="6">
        <v>1000</v>
      </c>
      <c r="AA427" s="6">
        <v>1000</v>
      </c>
      <c r="AB427" s="4" t="s">
        <v>13</v>
      </c>
    </row>
    <row r="428" spans="1:28" s="18" customFormat="1">
      <c r="A428" s="3" t="s">
        <v>429</v>
      </c>
      <c r="B428" s="3" t="s">
        <v>1599</v>
      </c>
      <c r="C428" s="3" t="s">
        <v>1597</v>
      </c>
      <c r="D428" s="4">
        <v>263</v>
      </c>
      <c r="E428" s="3" t="s">
        <v>430</v>
      </c>
      <c r="F428" s="7" t="s">
        <v>1368</v>
      </c>
      <c r="G428" s="4">
        <v>86.8</v>
      </c>
      <c r="H428" s="3" t="s">
        <v>431</v>
      </c>
      <c r="I428" s="3" t="s">
        <v>433</v>
      </c>
      <c r="J428" s="4">
        <v>3</v>
      </c>
      <c r="K428" s="4">
        <v>1327.0359000000001</v>
      </c>
      <c r="L428" s="4" t="str">
        <f>HYPERLINK("http://ms.phosphosite.org:5080/cgi-bin/plot-msms.cgi?MassType=1&amp;NumAxis=1&amp;Mod1=147&amp;Mod32=184&amp;Pep=MSPNQLCSVPNSSLLGHPFPPSVPPVLSPLQRAQLLG&amp;Dta=/var/www/html/dta/yong/23616.28150.3.dta&amp;Global_Mod=CS57.0215", "28150")</f>
        <v>28150</v>
      </c>
      <c r="M428" s="4"/>
      <c r="N428" s="5">
        <v>125.98</v>
      </c>
      <c r="O428" s="5"/>
      <c r="P428" s="5">
        <v>4.2569999999999997</v>
      </c>
      <c r="Q428" s="5"/>
      <c r="R428" s="5">
        <v>2.3597999999999999</v>
      </c>
      <c r="S428" s="5"/>
      <c r="T428" s="5">
        <v>0.37669999999999998</v>
      </c>
      <c r="U428" s="5"/>
      <c r="V428" s="4">
        <v>1</v>
      </c>
      <c r="W428" s="4"/>
      <c r="X428" s="5">
        <v>4.18</v>
      </c>
      <c r="Y428" s="5"/>
      <c r="Z428" s="6">
        <v>1000</v>
      </c>
      <c r="AA428" s="6"/>
      <c r="AB428" s="4" t="s">
        <v>13</v>
      </c>
    </row>
    <row r="429" spans="1:28">
      <c r="A429" s="3" t="s">
        <v>429</v>
      </c>
      <c r="B429" s="3" t="s">
        <v>1599</v>
      </c>
      <c r="C429" s="3" t="s">
        <v>1597</v>
      </c>
      <c r="D429" s="4">
        <v>263</v>
      </c>
      <c r="E429" s="3" t="s">
        <v>430</v>
      </c>
      <c r="F429" s="7" t="s">
        <v>1368</v>
      </c>
      <c r="G429" s="4">
        <v>86.8</v>
      </c>
      <c r="H429" s="3" t="s">
        <v>431</v>
      </c>
      <c r="I429" s="3" t="s">
        <v>433</v>
      </c>
      <c r="J429" s="4">
        <v>3</v>
      </c>
      <c r="K429" s="4">
        <v>1327.0359000000001</v>
      </c>
      <c r="L429" s="4" t="str">
        <f>HYPERLINK("http://ms.phosphosite.org:5080/cgi-bin/plot-msms.cgi?MassType=1&amp;NumAxis=1&amp;Mod1=147&amp;Mod32=184&amp;Pep=MSPNQLCSVPNSSLLGHPFPPSVPPVLSPLQRAQLLG&amp;Dta=/var/www/html/dta/yong/23616.28256.3.dta&amp;Global_Mod=CS57.0215", "28256")</f>
        <v>28256</v>
      </c>
      <c r="M429" s="4" t="str">
        <f>HYPERLINK("http://ms.phosphosite.org:5080/cgi-bin/plot-msms.cgi?MassType=1&amp;NumAxis=1&amp;Mod1=147&amp;Mod32=184&amp;Pep=MSPNQLCSVPNSSLLGHPFPPSVPPVLSPLQRAQLLG&amp;Dta=/var/www/html/dta/yong/23617.28139.3.dta&amp;Global_Mod=CS57.0215", "28139")</f>
        <v>28139</v>
      </c>
      <c r="N429" s="5">
        <v>126.48</v>
      </c>
      <c r="O429" s="5">
        <v>125.54</v>
      </c>
      <c r="P429" s="5">
        <v>4.2969999999999997</v>
      </c>
      <c r="Q429" s="5">
        <v>4.3710000000000004</v>
      </c>
      <c r="R429" s="5">
        <v>1.3371999999999999</v>
      </c>
      <c r="S429" s="5">
        <v>2.0861000000000001</v>
      </c>
      <c r="T429" s="5">
        <v>0.36609999999999998</v>
      </c>
      <c r="U429" s="5">
        <v>0.40660000000000002</v>
      </c>
      <c r="V429" s="4">
        <v>1</v>
      </c>
      <c r="W429" s="4">
        <v>1</v>
      </c>
      <c r="X429" s="5">
        <v>4.18</v>
      </c>
      <c r="Y429" s="5">
        <v>4.18</v>
      </c>
      <c r="Z429" s="6">
        <v>1000</v>
      </c>
      <c r="AA429" s="6">
        <v>1000</v>
      </c>
      <c r="AB429" s="4" t="s">
        <v>13</v>
      </c>
    </row>
    <row r="430" spans="1:28" s="18" customFormat="1">
      <c r="A430" s="3" t="s">
        <v>429</v>
      </c>
      <c r="B430" s="3" t="s">
        <v>1599</v>
      </c>
      <c r="C430" s="3" t="s">
        <v>1597</v>
      </c>
      <c r="D430" s="4">
        <v>263</v>
      </c>
      <c r="E430" s="3" t="s">
        <v>430</v>
      </c>
      <c r="F430" s="7" t="s">
        <v>1368</v>
      </c>
      <c r="G430" s="4">
        <v>86.8</v>
      </c>
      <c r="H430" s="3" t="s">
        <v>431</v>
      </c>
      <c r="I430" s="3" t="s">
        <v>433</v>
      </c>
      <c r="J430" s="4">
        <v>3</v>
      </c>
      <c r="K430" s="4">
        <v>1327.0359000000001</v>
      </c>
      <c r="L430" s="4" t="str">
        <f>HYPERLINK("http://ms.phosphosite.org:5080/cgi-bin/plot-msms.cgi?MassType=1&amp;NumAxis=1&amp;Mod1=147&amp;Mod32=184&amp;Pep=MSPNQLCSVPNSSLLGHPFPPSVPPVLSPLQRAQLLG&amp;Dta=/var/www/html/dta/yong/23616.28291.3.dta&amp;Global_Mod=CS57.0215", "28291")</f>
        <v>28291</v>
      </c>
      <c r="M430" s="4" t="str">
        <f>HYPERLINK("http://ms.phosphosite.org:5080/cgi-bin/plot-msms.cgi?MassType=1&amp;NumAxis=1&amp;Mod1=147&amp;Mod32=184&amp;Pep=MSPNQLCSVPNSSLLGHPFPPSVPPVLSPLQRAQLLG&amp;Dta=/var/www/html/dta/yong/23617.27998.3.dta&amp;Global_Mod=CS57.0215", "27998")</f>
        <v>27998</v>
      </c>
      <c r="N430" s="5">
        <v>126.65</v>
      </c>
      <c r="O430" s="5">
        <v>124.9</v>
      </c>
      <c r="P430" s="5">
        <v>4.2409999999999997</v>
      </c>
      <c r="Q430" s="5">
        <v>4.3540000000000001</v>
      </c>
      <c r="R430" s="5">
        <v>1.5076000000000001</v>
      </c>
      <c r="S430" s="5">
        <v>-2.2357</v>
      </c>
      <c r="T430" s="5">
        <v>0.34300000000000003</v>
      </c>
      <c r="U430" s="5">
        <v>0.3921</v>
      </c>
      <c r="V430" s="4">
        <v>1</v>
      </c>
      <c r="W430" s="4">
        <v>1</v>
      </c>
      <c r="X430" s="5">
        <v>4.03</v>
      </c>
      <c r="Y430" s="5">
        <v>4.05</v>
      </c>
      <c r="Z430" s="6">
        <v>1000</v>
      </c>
      <c r="AA430" s="6">
        <v>1000</v>
      </c>
      <c r="AB430" s="4" t="s">
        <v>13</v>
      </c>
    </row>
    <row r="431" spans="1:28">
      <c r="A431" s="3" t="s">
        <v>429</v>
      </c>
      <c r="B431" s="3" t="s">
        <v>1599</v>
      </c>
      <c r="C431" s="3" t="s">
        <v>1597</v>
      </c>
      <c r="D431" s="4">
        <v>263</v>
      </c>
      <c r="E431" s="3" t="s">
        <v>430</v>
      </c>
      <c r="F431" s="7" t="s">
        <v>1368</v>
      </c>
      <c r="G431" s="4">
        <v>86.8</v>
      </c>
      <c r="H431" s="3" t="s">
        <v>431</v>
      </c>
      <c r="I431" s="3" t="s">
        <v>432</v>
      </c>
      <c r="J431" s="4">
        <v>4</v>
      </c>
      <c r="K431" s="4">
        <v>981.27340000000004</v>
      </c>
      <c r="L431" s="4" t="str">
        <f>HYPERLINK("http://ms.phosphosite.org:5080/cgi-bin/plot-msms.cgi?MassType=1&amp;NumAxis=1&amp;Mod1=147&amp;Mod32=184&amp;Pep=MSPNQLCSVPNSSLLGHPFPPSVPPVLSPLQRAQLL&amp;Dta=/var/www/html/dta/yong/23616.28618.4.dta&amp;Global_Mod=CS57.0215", "28618")</f>
        <v>28618</v>
      </c>
      <c r="M431" s="4"/>
      <c r="N431" s="5">
        <v>128.21</v>
      </c>
      <c r="O431" s="5"/>
      <c r="P431" s="5">
        <v>2.9289999999999998</v>
      </c>
      <c r="Q431" s="5"/>
      <c r="R431" s="5">
        <v>0.39879999999999999</v>
      </c>
      <c r="S431" s="5"/>
      <c r="T431" s="5">
        <v>0.1331</v>
      </c>
      <c r="U431" s="5"/>
      <c r="V431" s="4">
        <v>12</v>
      </c>
      <c r="W431" s="4"/>
      <c r="X431" s="5">
        <v>2.5299999999999998</v>
      </c>
      <c r="Y431" s="5"/>
      <c r="Z431" s="6">
        <v>1000</v>
      </c>
      <c r="AA431" s="6"/>
      <c r="AB431" s="4" t="s">
        <v>13</v>
      </c>
    </row>
    <row r="432" spans="1:28">
      <c r="A432" s="3" t="s">
        <v>429</v>
      </c>
      <c r="B432" s="3" t="s">
        <v>1599</v>
      </c>
      <c r="C432" s="3" t="s">
        <v>1597</v>
      </c>
      <c r="D432" s="4">
        <v>263</v>
      </c>
      <c r="E432" s="3" t="s">
        <v>430</v>
      </c>
      <c r="F432" s="7" t="s">
        <v>1368</v>
      </c>
      <c r="G432" s="4">
        <v>86.8</v>
      </c>
      <c r="H432" s="3" t="s">
        <v>431</v>
      </c>
      <c r="I432" s="3" t="s">
        <v>432</v>
      </c>
      <c r="J432" s="4">
        <v>4</v>
      </c>
      <c r="K432" s="4">
        <v>981.27340000000004</v>
      </c>
      <c r="L432" s="4" t="str">
        <f>HYPERLINK("http://ms.phosphosite.org:5080/cgi-bin/plot-msms.cgi?MassType=1&amp;NumAxis=1&amp;Mod1=147&amp;Mod32=184&amp;Pep=MSPNQLCSVPNSSLLGHPFPPSVPPVLSPLQRAQLL&amp;Dta=/var/www/html/dta/yong/23616.28925.4.dta&amp;Global_Mod=CS57.0215", "28925")</f>
        <v>28925</v>
      </c>
      <c r="M432" s="4"/>
      <c r="N432" s="5">
        <v>129.69999999999999</v>
      </c>
      <c r="O432" s="5"/>
      <c r="P432" s="5">
        <v>2.7240000000000002</v>
      </c>
      <c r="Q432" s="5"/>
      <c r="R432" s="5">
        <v>0.81930000000000003</v>
      </c>
      <c r="S432" s="5"/>
      <c r="T432" s="5">
        <v>2.3999999999999998E-3</v>
      </c>
      <c r="U432" s="5"/>
      <c r="V432" s="4">
        <v>171</v>
      </c>
      <c r="W432" s="4"/>
      <c r="X432" s="5">
        <v>1.66</v>
      </c>
      <c r="Y432" s="5"/>
      <c r="Z432" s="6">
        <v>1000</v>
      </c>
      <c r="AA432" s="6"/>
      <c r="AB432" s="4" t="s">
        <v>13</v>
      </c>
    </row>
    <row r="433" spans="1:28">
      <c r="A433" s="3" t="s">
        <v>429</v>
      </c>
      <c r="B433" s="3" t="s">
        <v>1599</v>
      </c>
      <c r="C433" s="3" t="s">
        <v>1597</v>
      </c>
      <c r="D433" s="4">
        <v>263</v>
      </c>
      <c r="E433" s="3" t="s">
        <v>430</v>
      </c>
      <c r="F433" s="7" t="s">
        <v>1368</v>
      </c>
      <c r="G433" s="4">
        <v>86.8</v>
      </c>
      <c r="H433" s="3" t="s">
        <v>431</v>
      </c>
      <c r="I433" s="3" t="s">
        <v>439</v>
      </c>
      <c r="J433" s="4">
        <v>3</v>
      </c>
      <c r="K433" s="4">
        <v>498.29509999999999</v>
      </c>
      <c r="L433" s="4" t="str">
        <f>HYPERLINK("http://ms.phosphosite.org:5080/cgi-bin/plot-msms.cgi?MassType=1&amp;NumAxis=1&amp;Mod1=184&amp;Pep=RAQLLGGAQLQPGR&amp;Dta=/var/www/html/dta/yong/23616.9622.3.dta&amp;Global_Mod=CS57.0215", "9622")</f>
        <v>9622</v>
      </c>
      <c r="M433" s="4"/>
      <c r="N433" s="5">
        <v>47.52</v>
      </c>
      <c r="O433" s="5"/>
      <c r="P433" s="5">
        <v>2.5910000000000002</v>
      </c>
      <c r="Q433" s="5"/>
      <c r="R433" s="5">
        <v>0.67610000000000003</v>
      </c>
      <c r="S433" s="5"/>
      <c r="T433" s="5">
        <v>9.9000000000000008E-3</v>
      </c>
      <c r="U433" s="5"/>
      <c r="V433" s="4">
        <v>32</v>
      </c>
      <c r="W433" s="4"/>
      <c r="X433" s="5">
        <v>1.91</v>
      </c>
      <c r="Y433" s="5"/>
      <c r="Z433" s="6">
        <v>1000</v>
      </c>
      <c r="AA433" s="6"/>
      <c r="AB433" s="4" t="s">
        <v>13</v>
      </c>
    </row>
    <row r="434" spans="1:28">
      <c r="A434" s="3" t="s">
        <v>429</v>
      </c>
      <c r="B434" s="3" t="s">
        <v>1599</v>
      </c>
      <c r="C434" s="3" t="s">
        <v>1597</v>
      </c>
      <c r="D434" s="4">
        <v>263</v>
      </c>
      <c r="E434" s="3" t="s">
        <v>430</v>
      </c>
      <c r="F434" s="7" t="s">
        <v>1368</v>
      </c>
      <c r="G434" s="4">
        <v>86.8</v>
      </c>
      <c r="H434" s="3" t="s">
        <v>431</v>
      </c>
      <c r="I434" s="3" t="s">
        <v>439</v>
      </c>
      <c r="J434" s="4">
        <v>3</v>
      </c>
      <c r="K434" s="4">
        <v>498.29509999999999</v>
      </c>
      <c r="L434" s="4" t="str">
        <f>HYPERLINK("http://ms.phosphosite.org:5080/cgi-bin/plot-msms.cgi?MassType=1&amp;NumAxis=1&amp;Mod1=184&amp;Pep=RAQLLGGAQLQPGR&amp;Dta=/var/www/html/dta/yong/23616.9651.3.dta&amp;Global_Mod=CS57.0215", "9651")</f>
        <v>9651</v>
      </c>
      <c r="M434" s="4" t="str">
        <f>HYPERLINK("http://ms.phosphosite.org:5080/cgi-bin/plot-msms.cgi?MassType=1&amp;NumAxis=1&amp;Mod1=184&amp;Pep=RAQLLGGAQLQPGR&amp;Dta=/var/www/html/dta/yong/23617.9744.3.dta&amp;Global_Mod=CS57.0215", "9744")</f>
        <v>9744</v>
      </c>
      <c r="N434" s="5">
        <v>47.64</v>
      </c>
      <c r="O434" s="5">
        <v>47.55</v>
      </c>
      <c r="P434" s="5">
        <v>3.0329999999999999</v>
      </c>
      <c r="Q434" s="5">
        <v>2.516</v>
      </c>
      <c r="R434" s="5">
        <v>0.67610000000000003</v>
      </c>
      <c r="S434" s="5">
        <v>-0.36649999999999999</v>
      </c>
      <c r="T434" s="5">
        <v>0.1244</v>
      </c>
      <c r="U434" s="5">
        <v>0.1084</v>
      </c>
      <c r="V434" s="4">
        <v>13</v>
      </c>
      <c r="W434" s="4">
        <v>52</v>
      </c>
      <c r="X434" s="5">
        <v>2.7</v>
      </c>
      <c r="Y434" s="5">
        <v>2.19</v>
      </c>
      <c r="Z434" s="6">
        <v>1000</v>
      </c>
      <c r="AA434" s="6">
        <v>1000</v>
      </c>
      <c r="AB434" s="4" t="s">
        <v>13</v>
      </c>
    </row>
    <row r="435" spans="1:28">
      <c r="A435" s="3" t="s">
        <v>429</v>
      </c>
      <c r="B435" s="3" t="s">
        <v>1599</v>
      </c>
      <c r="C435" s="3" t="s">
        <v>1597</v>
      </c>
      <c r="D435" s="4">
        <v>263</v>
      </c>
      <c r="E435" s="3" t="s">
        <v>430</v>
      </c>
      <c r="F435" s="7" t="s">
        <v>1368</v>
      </c>
      <c r="G435" s="4">
        <v>86.8</v>
      </c>
      <c r="H435" s="3" t="s">
        <v>431</v>
      </c>
      <c r="I435" s="3" t="s">
        <v>437</v>
      </c>
      <c r="J435" s="4">
        <v>3</v>
      </c>
      <c r="K435" s="4">
        <v>540.98130000000003</v>
      </c>
      <c r="L435" s="4" t="str">
        <f>HYPERLINK("http://ms.phosphosite.org:5080/cgi-bin/plot-msms.cgi?MassType=1&amp;NumAxis=1&amp;Mod2=184&amp;Pep=QRAQLLGGAQLQPGR&amp;Dta=/var/www/html/dta/yong/23616.9837.3.dta&amp;Global_Mod=CS57.0215", "9837")</f>
        <v>9837</v>
      </c>
      <c r="M435" s="4" t="str">
        <f>HYPERLINK("http://ms.phosphosite.org:5080/cgi-bin/plot-msms.cgi?MassType=1&amp;NumAxis=1&amp;Mod2=184&amp;Pep=QRAQLLGGAQLQPGR&amp;Dta=/var/www/html/dta/yong/23617.9976.3.dta&amp;Global_Mod=CS57.0215", "9976")</f>
        <v>9976</v>
      </c>
      <c r="N435" s="5">
        <v>48.46</v>
      </c>
      <c r="O435" s="5">
        <v>48.54</v>
      </c>
      <c r="P435" s="5">
        <v>4.0620000000000003</v>
      </c>
      <c r="Q435" s="5">
        <v>4.1760000000000002</v>
      </c>
      <c r="R435" s="5">
        <v>0.39579999999999999</v>
      </c>
      <c r="S435" s="5">
        <v>0.16600000000000001</v>
      </c>
      <c r="T435" s="5">
        <v>0.311</v>
      </c>
      <c r="U435" s="5">
        <v>0.33889999999999998</v>
      </c>
      <c r="V435" s="4">
        <v>1</v>
      </c>
      <c r="W435" s="4">
        <v>1</v>
      </c>
      <c r="X435" s="5">
        <v>4.05</v>
      </c>
      <c r="Y435" s="5">
        <v>4.04</v>
      </c>
      <c r="Z435" s="6">
        <v>1000</v>
      </c>
      <c r="AA435" s="6">
        <v>1000</v>
      </c>
      <c r="AB435" s="4" t="s">
        <v>13</v>
      </c>
    </row>
    <row r="436" spans="1:28">
      <c r="A436" s="3" t="s">
        <v>429</v>
      </c>
      <c r="B436" s="3" t="s">
        <v>1599</v>
      </c>
      <c r="C436" s="3" t="s">
        <v>1597</v>
      </c>
      <c r="D436" s="4">
        <v>263</v>
      </c>
      <c r="E436" s="3" t="s">
        <v>430</v>
      </c>
      <c r="F436" s="7" t="s">
        <v>1368</v>
      </c>
      <c r="G436" s="4">
        <v>86.8</v>
      </c>
      <c r="H436" s="3" t="s">
        <v>431</v>
      </c>
      <c r="I436" s="3" t="s">
        <v>437</v>
      </c>
      <c r="J436" s="4">
        <v>2</v>
      </c>
      <c r="K436" s="4">
        <v>810.9683</v>
      </c>
      <c r="L436" s="4" t="str">
        <f>HYPERLINK("http://ms.phosphosite.org:5080/cgi-bin/plot-msms.cgi?MassType=1&amp;NumAxis=1&amp;Mod2=184&amp;Pep=QRAQLLGGAQLQPGR&amp;Dta=/var/www/html/dta/yong/23616.9880.2.dta&amp;Global_Mod=CS57.0215", "9880")</f>
        <v>9880</v>
      </c>
      <c r="M436" s="4"/>
      <c r="N436" s="5">
        <v>48.65</v>
      </c>
      <c r="O436" s="5"/>
      <c r="P436" s="5">
        <v>2.734</v>
      </c>
      <c r="Q436" s="5"/>
      <c r="R436" s="5">
        <v>0.74309999999999998</v>
      </c>
      <c r="S436" s="5"/>
      <c r="T436" s="5">
        <v>0.1114</v>
      </c>
      <c r="U436" s="5"/>
      <c r="V436" s="4">
        <v>29</v>
      </c>
      <c r="W436" s="4"/>
      <c r="X436" s="5">
        <v>2.5</v>
      </c>
      <c r="Y436" s="5"/>
      <c r="Z436" s="6">
        <v>1000</v>
      </c>
      <c r="AA436" s="6"/>
      <c r="AB436" s="4" t="s">
        <v>13</v>
      </c>
    </row>
    <row r="437" spans="1:28">
      <c r="A437" s="3" t="s">
        <v>429</v>
      </c>
      <c r="B437" s="3" t="s">
        <v>1599</v>
      </c>
      <c r="C437" s="3" t="s">
        <v>1597</v>
      </c>
      <c r="D437" s="4">
        <v>263</v>
      </c>
      <c r="E437" s="3" t="s">
        <v>430</v>
      </c>
      <c r="F437" s="7" t="s">
        <v>1368</v>
      </c>
      <c r="G437" s="4">
        <v>86.8</v>
      </c>
      <c r="H437" s="3" t="s">
        <v>431</v>
      </c>
      <c r="I437" s="3" t="s">
        <v>440</v>
      </c>
      <c r="J437" s="4">
        <v>4</v>
      </c>
      <c r="K437" s="4">
        <v>886.50440000000003</v>
      </c>
      <c r="L437" s="4"/>
      <c r="M437" s="4" t="str">
        <f>HYPERLINK("http://ms.phosphosite.org:5080/cgi-bin/plot-msms.cgi?MassType=1&amp;NumAxis=1&amp;Mod21=184&amp;Pep=SSLLGHPFPPSVPPVLSPLQRAQLLGGAQLQPGR&amp;Dta=/var/www/html/dta/yong/23617.25386.4.dta&amp;Global_Mod=CS57.0215", "25386")</f>
        <v>25386</v>
      </c>
      <c r="N437" s="5"/>
      <c r="O437" s="5">
        <v>113.21</v>
      </c>
      <c r="P437" s="5"/>
      <c r="Q437" s="5">
        <v>4.5960000000000001</v>
      </c>
      <c r="R437" s="5"/>
      <c r="S437" s="5">
        <v>1.5350999999999999</v>
      </c>
      <c r="T437" s="5"/>
      <c r="U437" s="5">
        <v>0.38690000000000002</v>
      </c>
      <c r="V437" s="4"/>
      <c r="W437" s="4">
        <v>1</v>
      </c>
      <c r="X437" s="5"/>
      <c r="Y437" s="5">
        <v>4.21</v>
      </c>
      <c r="Z437" s="6"/>
      <c r="AA437" s="6">
        <v>1000</v>
      </c>
      <c r="AB437" s="4" t="s">
        <v>13</v>
      </c>
    </row>
    <row r="438" spans="1:28">
      <c r="A438" s="3" t="s">
        <v>429</v>
      </c>
      <c r="B438" s="3" t="s">
        <v>1599</v>
      </c>
      <c r="C438" s="3" t="s">
        <v>1597</v>
      </c>
      <c r="D438" s="4">
        <v>263</v>
      </c>
      <c r="E438" s="3" t="s">
        <v>430</v>
      </c>
      <c r="F438" s="7" t="s">
        <v>1368</v>
      </c>
      <c r="G438" s="4">
        <v>86.8</v>
      </c>
      <c r="H438" s="3" t="s">
        <v>431</v>
      </c>
      <c r="I438" s="3" t="s">
        <v>440</v>
      </c>
      <c r="J438" s="4">
        <v>4</v>
      </c>
      <c r="K438" s="4">
        <v>886.50440000000003</v>
      </c>
      <c r="L438" s="4"/>
      <c r="M438" s="4" t="str">
        <f>HYPERLINK("http://ms.phosphosite.org:5080/cgi-bin/plot-msms.cgi?MassType=1&amp;NumAxis=1&amp;Mod21=184&amp;Pep=SSLLGHPFPPSVPPVLSPLQRAQLLGGAQLQPGR&amp;Dta=/var/www/html/dta/yong/23617.25775.4.dta&amp;Global_Mod=CS57.0215", "25775")</f>
        <v>25775</v>
      </c>
      <c r="N438" s="5"/>
      <c r="O438" s="5">
        <v>114.83</v>
      </c>
      <c r="P438" s="5"/>
      <c r="Q438" s="5">
        <v>3.4039999999999999</v>
      </c>
      <c r="R438" s="5"/>
      <c r="S438" s="5">
        <v>1.9165000000000001</v>
      </c>
      <c r="T438" s="5"/>
      <c r="U438" s="5">
        <v>0.30740000000000001</v>
      </c>
      <c r="V438" s="4"/>
      <c r="W438" s="4">
        <v>1</v>
      </c>
      <c r="X438" s="5"/>
      <c r="Y438" s="5">
        <v>3.38</v>
      </c>
      <c r="Z438" s="6"/>
      <c r="AA438" s="6">
        <v>1000</v>
      </c>
      <c r="AB438" s="4" t="s">
        <v>13</v>
      </c>
    </row>
    <row r="439" spans="1:28">
      <c r="A439" s="18" t="s">
        <v>429</v>
      </c>
      <c r="B439" s="18" t="s">
        <v>1595</v>
      </c>
      <c r="C439" s="18" t="s">
        <v>1596</v>
      </c>
      <c r="D439" s="19">
        <v>263</v>
      </c>
      <c r="E439" s="18" t="s">
        <v>430</v>
      </c>
      <c r="F439" s="15" t="s">
        <v>1368</v>
      </c>
      <c r="G439" s="19">
        <v>86.8</v>
      </c>
      <c r="H439" s="18" t="s">
        <v>431</v>
      </c>
      <c r="I439" s="18" t="s">
        <v>443</v>
      </c>
      <c r="J439" s="19">
        <v>5</v>
      </c>
      <c r="K439" s="19">
        <v>791.64729999999997</v>
      </c>
      <c r="L439" s="19"/>
      <c r="M439" s="19" t="str">
        <f>HYPERLINK("http://ms.phosphosite.org:5080/cgi-bin/plot-msms.cgi?MassType=1&amp;NumAxis=1&amp;Mod25=184&amp;Mod38=170&amp;Pep=SVPNSSLLGHPFPPSVPPVLSPLQRAQLLGGAQLQPGR&amp;Dta=/var/www/html/dta/yong/23617.25870.5.dta&amp;Global_Mod=CS57.0215", "25870")</f>
        <v>25870</v>
      </c>
      <c r="N439" s="20"/>
      <c r="O439" s="20">
        <v>115.26</v>
      </c>
      <c r="P439" s="20"/>
      <c r="Q439" s="20">
        <v>2.4</v>
      </c>
      <c r="R439" s="20"/>
      <c r="S439" s="20">
        <v>-8.8200000000000001E-2</v>
      </c>
      <c r="T439" s="20"/>
      <c r="U439" s="20">
        <v>4.2000000000000003E-2</v>
      </c>
      <c r="V439" s="19"/>
      <c r="W439" s="19">
        <v>392</v>
      </c>
      <c r="X439" s="20"/>
      <c r="Y439" s="20">
        <v>1.4</v>
      </c>
      <c r="Z439" s="21"/>
      <c r="AA439" s="21" t="s">
        <v>1306</v>
      </c>
      <c r="AB439" s="19" t="s">
        <v>13</v>
      </c>
    </row>
    <row r="440" spans="1:28">
      <c r="A440" s="3" t="s">
        <v>429</v>
      </c>
      <c r="B440" s="3" t="s">
        <v>1599</v>
      </c>
      <c r="C440" s="3" t="s">
        <v>1597</v>
      </c>
      <c r="D440" s="4">
        <v>263</v>
      </c>
      <c r="E440" s="3" t="s">
        <v>430</v>
      </c>
      <c r="F440" s="7" t="s">
        <v>1368</v>
      </c>
      <c r="G440" s="4">
        <v>86.8</v>
      </c>
      <c r="H440" s="3" t="s">
        <v>431</v>
      </c>
      <c r="I440" s="3" t="s">
        <v>440</v>
      </c>
      <c r="J440" s="4">
        <v>4</v>
      </c>
      <c r="K440" s="4">
        <v>886.50440000000003</v>
      </c>
      <c r="L440" s="4"/>
      <c r="M440" s="4" t="str">
        <f>HYPERLINK("http://ms.phosphosite.org:5080/cgi-bin/plot-msms.cgi?MassType=1&amp;NumAxis=1&amp;Mod21=184&amp;Pep=SSLLGHPFPPSVPPVLSPLQRAQLLGGAQLQPGR&amp;Dta=/var/www/html/dta/yong/23617.26054.4.dta&amp;Global_Mod=CS57.0215", "26054")</f>
        <v>26054</v>
      </c>
      <c r="N440" s="5"/>
      <c r="O440" s="5">
        <v>116.08</v>
      </c>
      <c r="P440" s="5"/>
      <c r="Q440" s="5">
        <v>2.21</v>
      </c>
      <c r="R440" s="5"/>
      <c r="S440" s="5">
        <v>1.9220999999999999</v>
      </c>
      <c r="T440" s="5"/>
      <c r="U440" s="5">
        <v>0.21240000000000001</v>
      </c>
      <c r="V440" s="4"/>
      <c r="W440" s="4">
        <v>1</v>
      </c>
      <c r="X440" s="5"/>
      <c r="Y440" s="5">
        <v>2.4700000000000002</v>
      </c>
      <c r="Z440" s="6"/>
      <c r="AA440" s="6">
        <v>1000</v>
      </c>
      <c r="AB440" s="4" t="s">
        <v>13</v>
      </c>
    </row>
    <row r="441" spans="1:28">
      <c r="A441" s="3" t="s">
        <v>429</v>
      </c>
      <c r="B441" s="3" t="s">
        <v>1599</v>
      </c>
      <c r="C441" s="3" t="s">
        <v>1597</v>
      </c>
      <c r="D441" s="4">
        <v>263</v>
      </c>
      <c r="E441" s="3" t="s">
        <v>430</v>
      </c>
      <c r="F441" s="7" t="s">
        <v>1368</v>
      </c>
      <c r="G441" s="4">
        <v>86.8</v>
      </c>
      <c r="H441" s="3" t="s">
        <v>431</v>
      </c>
      <c r="I441" s="3" t="s">
        <v>435</v>
      </c>
      <c r="J441" s="4">
        <v>4</v>
      </c>
      <c r="K441" s="4">
        <v>1193.3887999999999</v>
      </c>
      <c r="L441" s="4"/>
      <c r="M441" s="4" t="str">
        <f>HYPERLINK("http://ms.phosphosite.org:5080/cgi-bin/plot-msms.cgi?MassType=1&amp;NumAxis=1&amp;Mod32=184&amp;Pep=MSPNQLCSVPNSSLLGHPFPPSVPPVLSPLQRAQLLGGAQLQPGR&amp;Dta=/var/www/html/dta/yong/23617.26827.4.dta&amp;Global_Mod=CS57.0215", "26827")</f>
        <v>26827</v>
      </c>
      <c r="N441" s="5"/>
      <c r="O441" s="5">
        <v>119.44</v>
      </c>
      <c r="P441" s="5"/>
      <c r="Q441" s="5">
        <v>4.141</v>
      </c>
      <c r="R441" s="5"/>
      <c r="S441" s="5">
        <v>-2.5700000000000001E-2</v>
      </c>
      <c r="T441" s="5"/>
      <c r="U441" s="5">
        <v>0.24479999999999999</v>
      </c>
      <c r="V441" s="4"/>
      <c r="W441" s="4">
        <v>2</v>
      </c>
      <c r="X441" s="5"/>
      <c r="Y441" s="5">
        <v>3.19</v>
      </c>
      <c r="Z441" s="6"/>
      <c r="AA441" s="6">
        <v>1000</v>
      </c>
      <c r="AB441" s="4" t="s">
        <v>13</v>
      </c>
    </row>
    <row r="442" spans="1:28">
      <c r="A442" s="3" t="s">
        <v>429</v>
      </c>
      <c r="B442" s="3" t="s">
        <v>1599</v>
      </c>
      <c r="C442" s="3" t="s">
        <v>1597</v>
      </c>
      <c r="D442" s="4">
        <v>263</v>
      </c>
      <c r="E442" s="3" t="s">
        <v>430</v>
      </c>
      <c r="F442" s="7" t="s">
        <v>1368</v>
      </c>
      <c r="G442" s="4">
        <v>86.8</v>
      </c>
      <c r="H442" s="3" t="s">
        <v>431</v>
      </c>
      <c r="I442" s="3" t="s">
        <v>434</v>
      </c>
      <c r="J442" s="4">
        <v>5</v>
      </c>
      <c r="K442" s="4">
        <v>958.11149999999998</v>
      </c>
      <c r="L442" s="4"/>
      <c r="M442" s="4" t="str">
        <f>HYPERLINK("http://ms.phosphosite.org:5080/cgi-bin/plot-msms.cgi?MassType=1&amp;NumAxis=1&amp;Mod1=147&amp;Mod32=184&amp;Pep=MSPNQLCSVPNSSLLGHPFPPSVPPVLSPLQRAQLLGGAQLQPGR&amp;Dta=/var/www/html/dta/yong/23617.27056.5.dta&amp;Global_Mod=CS57.0215", "27056")</f>
        <v>27056</v>
      </c>
      <c r="N442" s="5"/>
      <c r="O442" s="5">
        <v>120.48</v>
      </c>
      <c r="P442" s="5"/>
      <c r="Q442" s="5">
        <v>3.3050000000000002</v>
      </c>
      <c r="R442" s="5"/>
      <c r="S442" s="5">
        <v>1.0541</v>
      </c>
      <c r="T442" s="5"/>
      <c r="U442" s="5">
        <v>6.7900000000000002E-2</v>
      </c>
      <c r="V442" s="4"/>
      <c r="W442" s="4">
        <v>7</v>
      </c>
      <c r="X442" s="5"/>
      <c r="Y442" s="5">
        <v>1.93</v>
      </c>
      <c r="Z442" s="6"/>
      <c r="AA442" s="6">
        <v>1000</v>
      </c>
      <c r="AB442" s="4" t="s">
        <v>13</v>
      </c>
    </row>
    <row r="443" spans="1:28">
      <c r="A443" s="3" t="s">
        <v>429</v>
      </c>
      <c r="B443" s="3" t="s">
        <v>1599</v>
      </c>
      <c r="C443" s="3" t="s">
        <v>1597</v>
      </c>
      <c r="D443" s="4">
        <v>263</v>
      </c>
      <c r="E443" s="3" t="s">
        <v>430</v>
      </c>
      <c r="F443" s="7" t="s">
        <v>1368</v>
      </c>
      <c r="G443" s="4">
        <v>86.8</v>
      </c>
      <c r="H443" s="3" t="s">
        <v>431</v>
      </c>
      <c r="I443" s="3" t="s">
        <v>432</v>
      </c>
      <c r="J443" s="4">
        <v>3</v>
      </c>
      <c r="K443" s="4">
        <v>1308.0288</v>
      </c>
      <c r="L443" s="4"/>
      <c r="M443" s="4" t="str">
        <f>HYPERLINK("http://ms.phosphosite.org:5080/cgi-bin/plot-msms.cgi?MassType=1&amp;NumAxis=1&amp;Mod1=147&amp;Mod32=184&amp;Pep=MSPNQLCSVPNSSLLGHPFPPSVPPVLSPLQRAQLL&amp;Dta=/var/www/html/dta/yong/23617.28797.3.dta&amp;Global_Mod=CS57.0215", "28797")</f>
        <v>28797</v>
      </c>
      <c r="N443" s="5"/>
      <c r="O443" s="5">
        <v>128.71</v>
      </c>
      <c r="P443" s="5"/>
      <c r="Q443" s="5">
        <v>3.649</v>
      </c>
      <c r="R443" s="5"/>
      <c r="S443" s="5">
        <v>-1.4652000000000001</v>
      </c>
      <c r="T443" s="5"/>
      <c r="U443" s="5">
        <v>0.2465</v>
      </c>
      <c r="V443" s="4"/>
      <c r="W443" s="4">
        <v>4</v>
      </c>
      <c r="X443" s="5"/>
      <c r="Y443" s="5">
        <v>3.06</v>
      </c>
      <c r="Z443" s="6"/>
      <c r="AA443" s="6">
        <v>1000</v>
      </c>
      <c r="AB443" s="4" t="s">
        <v>13</v>
      </c>
    </row>
    <row r="444" spans="1:28">
      <c r="A444" s="9" t="s">
        <v>429</v>
      </c>
      <c r="B444" s="3" t="s">
        <v>1599</v>
      </c>
      <c r="C444" s="3" t="s">
        <v>1597</v>
      </c>
      <c r="D444" s="7">
        <v>276</v>
      </c>
      <c r="E444" s="9" t="s">
        <v>430</v>
      </c>
      <c r="F444" s="7" t="s">
        <v>1368</v>
      </c>
      <c r="G444" s="7">
        <v>86.8</v>
      </c>
      <c r="H444" s="9" t="s">
        <v>431</v>
      </c>
      <c r="I444" s="9" t="s">
        <v>444</v>
      </c>
      <c r="J444" s="7">
        <v>4</v>
      </c>
      <c r="K444" s="7">
        <v>1197.3876</v>
      </c>
      <c r="L444" s="7" t="str">
        <f>HYPERLINK("http://ms.phosphosite.org:5080/cgi-bin/plot-msms.cgi?MassType=1&amp;NumAxis=1&amp;Mod1=147&amp;Mod45=184&amp;Pep=MSPNQLCSVPNSSLLGHPFPPSVPPVLSPLQRAQLLGGAQLQPGR&amp;Dta=/var/www/html/dta/yong/23616.26195.4.dta&amp;Global_Mod=CS57.0215", "26195")</f>
        <v>26195</v>
      </c>
      <c r="M444" s="7" t="str">
        <f>HYPERLINK("http://ms.phosphosite.org:5080/cgi-bin/plot-msms.cgi?MassType=1&amp;NumAxis=1&amp;Mod1=147&amp;Mod45=184&amp;Pep=MSPNQLCSVPNSSLLGHPFPPSVPPVLSPLQRAQLLGGAQLQPGR&amp;Dta=/var/www/html/dta/yong/23617.26818.4.dta&amp;Global_Mod=CS57.0215", "26818")</f>
        <v>26818</v>
      </c>
      <c r="N444" s="10">
        <v>117.18</v>
      </c>
      <c r="O444" s="10">
        <v>119.41</v>
      </c>
      <c r="P444" s="10">
        <v>3.13</v>
      </c>
      <c r="Q444" s="10">
        <v>3.347</v>
      </c>
      <c r="R444" s="10">
        <v>1.5474000000000001</v>
      </c>
      <c r="S444" s="10">
        <v>1.3938999999999999</v>
      </c>
      <c r="T444" s="10">
        <v>0.21859999999999999</v>
      </c>
      <c r="U444" s="10">
        <v>0.18509999999999999</v>
      </c>
      <c r="V444" s="7">
        <v>1</v>
      </c>
      <c r="W444" s="7">
        <v>2</v>
      </c>
      <c r="X444" s="10">
        <v>2.94</v>
      </c>
      <c r="Y444" s="10">
        <v>2.58</v>
      </c>
      <c r="Z444" s="11">
        <v>1000</v>
      </c>
      <c r="AA444" s="11">
        <v>1000</v>
      </c>
      <c r="AB444" s="7" t="s">
        <v>13</v>
      </c>
    </row>
    <row r="445" spans="1:28">
      <c r="A445" s="9" t="s">
        <v>429</v>
      </c>
      <c r="B445" s="3" t="s">
        <v>1599</v>
      </c>
      <c r="C445" s="3" t="s">
        <v>1597</v>
      </c>
      <c r="D445" s="7">
        <v>276</v>
      </c>
      <c r="E445" s="9" t="s">
        <v>430</v>
      </c>
      <c r="F445" s="7" t="s">
        <v>1368</v>
      </c>
      <c r="G445" s="7">
        <v>86.8</v>
      </c>
      <c r="H445" s="9" t="s">
        <v>431</v>
      </c>
      <c r="I445" s="9" t="s">
        <v>447</v>
      </c>
      <c r="J445" s="7">
        <v>4</v>
      </c>
      <c r="K445" s="7">
        <v>1086.0968</v>
      </c>
      <c r="L445" s="7" t="str">
        <f>HYPERLINK("http://ms.phosphosite.org:5080/cgi-bin/plot-msms.cgi?MassType=1&amp;NumAxis=1&amp;Mod41=184&amp;Pep=QLCSVPNSSLLGHPFPPSVPPVLSPLQRAQLLGGAQLQPGR&amp;Dta=/var/www/html/dta/yong/23616.26205.4.dta&amp;Global_Mod=CS57.0215", "26205")</f>
        <v>26205</v>
      </c>
      <c r="M445" s="7" t="str">
        <f>HYPERLINK("http://ms.phosphosite.org:5080/cgi-bin/plot-msms.cgi?MassType=1&amp;NumAxis=1&amp;Mod41=184&amp;Pep=QLCSVPNSSLLGHPFPPSVPPVLSPLQRAQLLGGAQLQPGR&amp;Dta=/var/www/html/dta/yong/23617.27157.4.dta&amp;Global_Mod=CS57.0215", "27157")</f>
        <v>27157</v>
      </c>
      <c r="N445" s="10">
        <v>117.22</v>
      </c>
      <c r="O445" s="10">
        <v>120.96</v>
      </c>
      <c r="P445" s="10">
        <v>3.262</v>
      </c>
      <c r="Q445" s="10">
        <v>3.1930000000000001</v>
      </c>
      <c r="R445" s="10">
        <v>1.0235000000000001</v>
      </c>
      <c r="S445" s="10">
        <v>-0.111</v>
      </c>
      <c r="T445" s="10">
        <v>0.1656</v>
      </c>
      <c r="U445" s="10">
        <v>0.248</v>
      </c>
      <c r="V445" s="7">
        <v>1</v>
      </c>
      <c r="W445" s="7">
        <v>2</v>
      </c>
      <c r="X445" s="10">
        <v>2.74</v>
      </c>
      <c r="Y445" s="10">
        <v>2.96</v>
      </c>
      <c r="Z445" s="11">
        <v>1000</v>
      </c>
      <c r="AA445" s="11">
        <v>1000</v>
      </c>
      <c r="AB445" s="7" t="s">
        <v>13</v>
      </c>
    </row>
    <row r="446" spans="1:28">
      <c r="A446" s="9" t="s">
        <v>429</v>
      </c>
      <c r="B446" s="3" t="s">
        <v>1599</v>
      </c>
      <c r="C446" s="3" t="s">
        <v>1597</v>
      </c>
      <c r="D446" s="7">
        <v>276</v>
      </c>
      <c r="E446" s="9" t="s">
        <v>430</v>
      </c>
      <c r="F446" s="7" t="s">
        <v>1368</v>
      </c>
      <c r="G446" s="7">
        <v>86.8</v>
      </c>
      <c r="H446" s="9" t="s">
        <v>431</v>
      </c>
      <c r="I446" s="9" t="s">
        <v>447</v>
      </c>
      <c r="J446" s="7">
        <v>4</v>
      </c>
      <c r="K446" s="7">
        <v>1086.0968</v>
      </c>
      <c r="L446" s="7" t="str">
        <f>HYPERLINK("http://ms.phosphosite.org:5080/cgi-bin/plot-msms.cgi?MassType=1&amp;NumAxis=1&amp;Mod41=184&amp;Pep=QLCSVPNSSLLGHPFPPSVPPVLSPLQRAQLLGGAQLQPGR&amp;Dta=/var/www/html/dta/yong/23616.26494.4.dta&amp;Global_Mod=CS57.0215", "26494")</f>
        <v>26494</v>
      </c>
      <c r="M446" s="7" t="str">
        <f>HYPERLINK("http://ms.phosphosite.org:5080/cgi-bin/plot-msms.cgi?MassType=1&amp;NumAxis=1&amp;Mod41=184&amp;Pep=QLCSVPNSSLLGHPFPPSVPPVLSPLQRAQLLGGAQLQPGR&amp;Dta=/var/www/html/dta/yong/23617.26884.4.dta&amp;Global_Mod=CS57.0215", "26884")</f>
        <v>26884</v>
      </c>
      <c r="N446" s="10">
        <v>118.49</v>
      </c>
      <c r="O446" s="10">
        <v>119.69</v>
      </c>
      <c r="P446" s="10">
        <v>3.2330000000000001</v>
      </c>
      <c r="Q446" s="10">
        <v>3.4039999999999999</v>
      </c>
      <c r="R446" s="10">
        <v>0.80169999999999997</v>
      </c>
      <c r="S446" s="10">
        <v>0.35389999999999999</v>
      </c>
      <c r="T446" s="10">
        <v>0.22370000000000001</v>
      </c>
      <c r="U446" s="10">
        <v>0.27329999999999999</v>
      </c>
      <c r="V446" s="7">
        <v>1</v>
      </c>
      <c r="W446" s="7">
        <v>1</v>
      </c>
      <c r="X446" s="10">
        <v>3.07</v>
      </c>
      <c r="Y446" s="10">
        <v>3.19</v>
      </c>
      <c r="Z446" s="11">
        <v>1000</v>
      </c>
      <c r="AA446" s="11">
        <v>1000</v>
      </c>
      <c r="AB446" s="7" t="s">
        <v>13</v>
      </c>
    </row>
    <row r="447" spans="1:28">
      <c r="A447" s="9" t="s">
        <v>429</v>
      </c>
      <c r="B447" s="3" t="s">
        <v>1599</v>
      </c>
      <c r="C447" s="3" t="s">
        <v>1597</v>
      </c>
      <c r="D447" s="7">
        <v>276</v>
      </c>
      <c r="E447" s="9" t="s">
        <v>430</v>
      </c>
      <c r="F447" s="7" t="s">
        <v>1368</v>
      </c>
      <c r="G447" s="7">
        <v>86.8</v>
      </c>
      <c r="H447" s="9" t="s">
        <v>445</v>
      </c>
      <c r="I447" s="9" t="s">
        <v>446</v>
      </c>
      <c r="J447" s="7">
        <v>4</v>
      </c>
      <c r="K447" s="7">
        <v>1089.6007</v>
      </c>
      <c r="L447" s="7" t="str">
        <f>HYPERLINK("http://ms.phosphosite.org:5080/cgi-bin/plot-msms.cgi?MassType=1&amp;NumAxis=1&amp;Mod28=170&amp;Mod41=184&amp;Pep=QLCSVPNSSLLGHPFPPSVPPVLSPLQRAQLLGGAQLQPGR&amp;Dta=/var/www/html/dta/yong/23616.26751.4.dta&amp;Global_Mod=CS57.0215", "26751")</f>
        <v>26751</v>
      </c>
      <c r="M447" s="7"/>
      <c r="N447" s="10">
        <v>119.58</v>
      </c>
      <c r="O447" s="10"/>
      <c r="P447" s="10">
        <v>2.7490000000000001</v>
      </c>
      <c r="Q447" s="10"/>
      <c r="R447" s="10">
        <v>1.2523</v>
      </c>
      <c r="S447" s="10"/>
      <c r="T447" s="10">
        <v>4.5499999999999999E-2</v>
      </c>
      <c r="U447" s="10"/>
      <c r="V447" s="7">
        <v>2</v>
      </c>
      <c r="W447" s="7"/>
      <c r="X447" s="10">
        <v>1.9</v>
      </c>
      <c r="Y447" s="10"/>
      <c r="Z447" s="11" t="s">
        <v>1306</v>
      </c>
      <c r="AA447" s="11"/>
      <c r="AB447" s="7" t="s">
        <v>13</v>
      </c>
    </row>
    <row r="448" spans="1:28">
      <c r="A448" s="9" t="s">
        <v>429</v>
      </c>
      <c r="B448" s="3" t="s">
        <v>1599</v>
      </c>
      <c r="C448" s="3" t="s">
        <v>1597</v>
      </c>
      <c r="D448" s="7">
        <v>276</v>
      </c>
      <c r="E448" s="9" t="s">
        <v>430</v>
      </c>
      <c r="F448" s="7" t="s">
        <v>1368</v>
      </c>
      <c r="G448" s="7">
        <v>86.8</v>
      </c>
      <c r="H448" s="9" t="s">
        <v>431</v>
      </c>
      <c r="I448" s="9" t="s">
        <v>447</v>
      </c>
      <c r="J448" s="7">
        <v>4</v>
      </c>
      <c r="K448" s="7">
        <v>1086.0968</v>
      </c>
      <c r="L448" s="7" t="str">
        <f>HYPERLINK("http://ms.phosphosite.org:5080/cgi-bin/plot-msms.cgi?MassType=1&amp;NumAxis=1&amp;Mod41=184&amp;Pep=QLCSVPNSSLLGHPFPPSVPPVLSPLQRAQLLGGAQLQPGR&amp;Dta=/var/www/html/dta/yong/23616.26782.4.dta&amp;Global_Mod=CS57.0215", "26782")</f>
        <v>26782</v>
      </c>
      <c r="M448" s="7"/>
      <c r="N448" s="10">
        <v>119.71</v>
      </c>
      <c r="O448" s="10"/>
      <c r="P448" s="10">
        <v>3.008</v>
      </c>
      <c r="Q448" s="10"/>
      <c r="R448" s="10">
        <v>0.94550000000000001</v>
      </c>
      <c r="S448" s="10"/>
      <c r="T448" s="10">
        <v>0.17949999999999999</v>
      </c>
      <c r="U448" s="10"/>
      <c r="V448" s="7">
        <v>2</v>
      </c>
      <c r="W448" s="7"/>
      <c r="X448" s="10">
        <v>2.75</v>
      </c>
      <c r="Y448" s="10"/>
      <c r="Z448" s="11">
        <v>1000</v>
      </c>
      <c r="AA448" s="11"/>
      <c r="AB448" s="7" t="s">
        <v>13</v>
      </c>
    </row>
    <row r="449" spans="1:28">
      <c r="A449" s="9" t="s">
        <v>429</v>
      </c>
      <c r="B449" s="3" t="s">
        <v>1599</v>
      </c>
      <c r="C449" s="3" t="s">
        <v>1597</v>
      </c>
      <c r="D449" s="7">
        <v>276</v>
      </c>
      <c r="E449" s="9" t="s">
        <v>430</v>
      </c>
      <c r="F449" s="7" t="s">
        <v>1368</v>
      </c>
      <c r="G449" s="7">
        <v>86.8</v>
      </c>
      <c r="H449" s="9" t="s">
        <v>431</v>
      </c>
      <c r="I449" s="9" t="s">
        <v>447</v>
      </c>
      <c r="J449" s="7">
        <v>4</v>
      </c>
      <c r="K449" s="7">
        <v>1086.0968</v>
      </c>
      <c r="L449" s="7" t="str">
        <f>HYPERLINK("http://ms.phosphosite.org:5080/cgi-bin/plot-msms.cgi?MassType=1&amp;NumAxis=1&amp;Mod41=184&amp;Pep=QLCSVPNSSLLGHPFPPSVPPVLSPLQRAQLLGGAQLQPGR&amp;Dta=/var/www/html/dta/yong/23616.26841.4.dta&amp;Global_Mod=CS57.0215", "26841")</f>
        <v>26841</v>
      </c>
      <c r="M449" s="7"/>
      <c r="N449" s="10">
        <v>119.97</v>
      </c>
      <c r="O449" s="10"/>
      <c r="P449" s="10">
        <v>3.1070000000000002</v>
      </c>
      <c r="Q449" s="10"/>
      <c r="R449" s="10">
        <v>0.24030000000000001</v>
      </c>
      <c r="S449" s="10"/>
      <c r="T449" s="10">
        <v>0.27539999999999998</v>
      </c>
      <c r="U449" s="10"/>
      <c r="V449" s="7">
        <v>1</v>
      </c>
      <c r="W449" s="7"/>
      <c r="X449" s="10">
        <v>3.34</v>
      </c>
      <c r="Y449" s="10"/>
      <c r="Z449" s="11">
        <v>1000</v>
      </c>
      <c r="AA449" s="11"/>
      <c r="AB449" s="7" t="s">
        <v>13</v>
      </c>
    </row>
    <row r="450" spans="1:28">
      <c r="A450" s="9" t="s">
        <v>429</v>
      </c>
      <c r="B450" s="3" t="s">
        <v>1599</v>
      </c>
      <c r="C450" s="3" t="s">
        <v>1597</v>
      </c>
      <c r="D450" s="7">
        <v>276</v>
      </c>
      <c r="E450" s="9" t="s">
        <v>430</v>
      </c>
      <c r="F450" s="7" t="s">
        <v>1368</v>
      </c>
      <c r="G450" s="7">
        <v>86.8</v>
      </c>
      <c r="H450" s="9" t="s">
        <v>431</v>
      </c>
      <c r="I450" s="9" t="s">
        <v>447</v>
      </c>
      <c r="J450" s="7">
        <v>4</v>
      </c>
      <c r="K450" s="7">
        <v>1086.0968</v>
      </c>
      <c r="L450" s="7" t="str">
        <f>HYPERLINK("http://ms.phosphosite.org:5080/cgi-bin/plot-msms.cgi?MassType=1&amp;NumAxis=1&amp;Mod41=184&amp;Pep=QLCSVPNSSLLGHPFPPSVPPVLSPLQRAQLLGGAQLQPGR&amp;Dta=/var/www/html/dta/yong/23616.26924.4.dta&amp;Global_Mod=CS57.0215", "26924")</f>
        <v>26924</v>
      </c>
      <c r="M450" s="7" t="str">
        <f>HYPERLINK("http://ms.phosphosite.org:5080/cgi-bin/plot-msms.cgi?MassType=1&amp;NumAxis=1&amp;Mod41=184&amp;Pep=QLCSVPNSSLLGHPFPPSVPPVLSPLQRAQLLGGAQLQPGR&amp;Dta=/var/www/html/dta/yong/23617.26738.4.dta&amp;Global_Mod=CS57.0215", "26738")</f>
        <v>26738</v>
      </c>
      <c r="N450" s="10">
        <v>120.33</v>
      </c>
      <c r="O450" s="10">
        <v>119.05</v>
      </c>
      <c r="P450" s="10">
        <v>3.05</v>
      </c>
      <c r="Q450" s="10">
        <v>2.948</v>
      </c>
      <c r="R450" s="10">
        <v>0.76290000000000002</v>
      </c>
      <c r="S450" s="10">
        <v>1.1820999999999999</v>
      </c>
      <c r="T450" s="10">
        <v>0.14169999999999999</v>
      </c>
      <c r="U450" s="10">
        <v>0.19059999999999999</v>
      </c>
      <c r="V450" s="7">
        <v>1</v>
      </c>
      <c r="W450" s="7">
        <v>2</v>
      </c>
      <c r="X450" s="10">
        <v>2.56</v>
      </c>
      <c r="Y450" s="10">
        <v>2.54</v>
      </c>
      <c r="Z450" s="11">
        <v>1000</v>
      </c>
      <c r="AA450" s="11">
        <v>1000</v>
      </c>
      <c r="AB450" s="7" t="s">
        <v>13</v>
      </c>
    </row>
    <row r="451" spans="1:28">
      <c r="A451" s="18" t="s">
        <v>429</v>
      </c>
      <c r="B451" s="18" t="s">
        <v>1595</v>
      </c>
      <c r="C451" s="18" t="s">
        <v>1596</v>
      </c>
      <c r="D451" s="19"/>
      <c r="E451" s="18" t="s">
        <v>430</v>
      </c>
      <c r="F451" s="15" t="s">
        <v>1368</v>
      </c>
      <c r="G451" s="19">
        <v>86.8</v>
      </c>
      <c r="H451" s="18"/>
      <c r="I451" s="18" t="s">
        <v>448</v>
      </c>
      <c r="J451" s="19">
        <v>2</v>
      </c>
      <c r="K451" s="19">
        <v>505.79070000000002</v>
      </c>
      <c r="L451" s="19" t="str">
        <f>HYPERLINK("http://ms.phosphosite.org:5080/cgi-bin/plot-msms.cgi?MassType=1&amp;NumAxis=1&amp;Mod10=170&amp;Pep=LGGAQLQPGR&amp;Dta=/var/www/html/dta/yong/23616.5679.2.dta&amp;Global_Mod=CS57.0215", "5679")</f>
        <v>5679</v>
      </c>
      <c r="M451" s="19"/>
      <c r="N451" s="20">
        <v>30.99</v>
      </c>
      <c r="O451" s="20"/>
      <c r="P451" s="20">
        <v>2.9249999999999998</v>
      </c>
      <c r="Q451" s="20"/>
      <c r="R451" s="20">
        <v>0.4773</v>
      </c>
      <c r="S451" s="20"/>
      <c r="T451" s="20">
        <v>0.2326</v>
      </c>
      <c r="U451" s="20"/>
      <c r="V451" s="19">
        <v>1</v>
      </c>
      <c r="W451" s="19"/>
      <c r="X451" s="20">
        <v>3.49</v>
      </c>
      <c r="Y451" s="20"/>
      <c r="Z451" s="21">
        <v>1000</v>
      </c>
      <c r="AA451" s="21"/>
      <c r="AB451" s="19" t="s">
        <v>13</v>
      </c>
    </row>
    <row r="452" spans="1:28">
      <c r="A452" s="18" t="s">
        <v>429</v>
      </c>
      <c r="B452" s="18" t="s">
        <v>1595</v>
      </c>
      <c r="C452" s="18" t="s">
        <v>1596</v>
      </c>
      <c r="D452" s="19"/>
      <c r="E452" s="18" t="s">
        <v>430</v>
      </c>
      <c r="F452" s="15" t="s">
        <v>1368</v>
      </c>
      <c r="G452" s="19">
        <v>86.8</v>
      </c>
      <c r="H452" s="18"/>
      <c r="I452" s="18" t="s">
        <v>449</v>
      </c>
      <c r="J452" s="19">
        <v>2</v>
      </c>
      <c r="K452" s="19">
        <v>562.33280000000002</v>
      </c>
      <c r="L452" s="19" t="str">
        <f>HYPERLINK("http://ms.phosphosite.org:5080/cgi-bin/plot-msms.cgi?MassType=1&amp;NumAxis=1&amp;Mod11=170&amp;Pep=LLGGAQLQPGR&amp;Dta=/var/www/html/dta/yong/23616.9724.2.dta&amp;Global_Mod=CS57.0215", "9724")</f>
        <v>9724</v>
      </c>
      <c r="M452" s="19"/>
      <c r="N452" s="20">
        <v>47.97</v>
      </c>
      <c r="O452" s="20"/>
      <c r="P452" s="20">
        <v>3</v>
      </c>
      <c r="Q452" s="20"/>
      <c r="R452" s="20">
        <v>0.24929999999999999</v>
      </c>
      <c r="S452" s="20"/>
      <c r="T452" s="20">
        <v>0.2344</v>
      </c>
      <c r="U452" s="20"/>
      <c r="V452" s="19">
        <v>1</v>
      </c>
      <c r="W452" s="19"/>
      <c r="X452" s="20">
        <v>3.51</v>
      </c>
      <c r="Y452" s="20"/>
      <c r="Z452" s="21">
        <v>1000</v>
      </c>
      <c r="AA452" s="21"/>
      <c r="AB452" s="19" t="s">
        <v>13</v>
      </c>
    </row>
    <row r="453" spans="1:28">
      <c r="A453" s="18" t="s">
        <v>429</v>
      </c>
      <c r="B453" s="18" t="s">
        <v>1595</v>
      </c>
      <c r="C453" s="18" t="s">
        <v>1596</v>
      </c>
      <c r="D453" s="19"/>
      <c r="E453" s="18" t="s">
        <v>430</v>
      </c>
      <c r="F453" s="15" t="s">
        <v>1368</v>
      </c>
      <c r="G453" s="19">
        <v>86.8</v>
      </c>
      <c r="H453" s="18"/>
      <c r="I453" s="18" t="s">
        <v>451</v>
      </c>
      <c r="J453" s="19">
        <v>4</v>
      </c>
      <c r="K453" s="19">
        <v>985.80340000000001</v>
      </c>
      <c r="L453" s="19"/>
      <c r="M453" s="19" t="str">
        <f>HYPERLINK("http://ms.phosphosite.org:5080/cgi-bin/plot-msms.cgi?MassType=1&amp;NumAxis=1&amp;Mod25=170&amp;Mod38=170&amp;Pep=SVPNSSLLGHPFPPSVPPVLSPLQRAQLLGGAQLQPGR&amp;Dta=/var/www/html/dta/yong/23617.25558.4.dta&amp;Global_Mod=CS57.0215", "25558")</f>
        <v>25558</v>
      </c>
      <c r="N453" s="20"/>
      <c r="O453" s="20">
        <v>113.93</v>
      </c>
      <c r="P453" s="20"/>
      <c r="Q453" s="20">
        <v>2.5009999999999999</v>
      </c>
      <c r="R453" s="20"/>
      <c r="S453" s="20">
        <v>0.62280000000000002</v>
      </c>
      <c r="T453" s="20"/>
      <c r="U453" s="20">
        <v>9.4399999999999998E-2</v>
      </c>
      <c r="V453" s="19"/>
      <c r="W453" s="19">
        <v>16</v>
      </c>
      <c r="X453" s="20"/>
      <c r="Y453" s="20">
        <v>1.91</v>
      </c>
      <c r="Z453" s="21"/>
      <c r="AA453" s="21" t="s">
        <v>1306</v>
      </c>
      <c r="AB453" s="19" t="s">
        <v>13</v>
      </c>
    </row>
    <row r="454" spans="1:28">
      <c r="A454" s="18" t="s">
        <v>429</v>
      </c>
      <c r="B454" s="18" t="s">
        <v>1595</v>
      </c>
      <c r="C454" s="18" t="s">
        <v>1596</v>
      </c>
      <c r="D454" s="19"/>
      <c r="E454" s="18" t="s">
        <v>430</v>
      </c>
      <c r="F454" s="15" t="s">
        <v>1368</v>
      </c>
      <c r="G454" s="19">
        <v>86.8</v>
      </c>
      <c r="H454" s="18"/>
      <c r="I454" s="18" t="s">
        <v>450</v>
      </c>
      <c r="J454" s="19">
        <v>4</v>
      </c>
      <c r="K454" s="19">
        <v>1197.3876</v>
      </c>
      <c r="L454" s="19"/>
      <c r="M454" s="19" t="str">
        <f>HYPERLINK("http://ms.phosphosite.org:5080/cgi-bin/plot-msms.cgi?MassType=1&amp;NumAxis=1&amp;Mod1=147&amp;Mod32=170&amp;Mod45=170&amp;Pep=MSPNQLCSVPNSSLLGHPFPPSVPPVLSPLQRAQLLGGAQLQPGR&amp;Dta=/var/www/html/dta/yong/23617.27445.4.dta&amp;Global_Mod=CS57.0215", "27445")</f>
        <v>27445</v>
      </c>
      <c r="N454" s="20"/>
      <c r="O454" s="20">
        <v>122.32</v>
      </c>
      <c r="P454" s="20"/>
      <c r="Q454" s="20">
        <v>3.2269999999999999</v>
      </c>
      <c r="R454" s="20"/>
      <c r="S454" s="20">
        <v>2.1597</v>
      </c>
      <c r="T454" s="20"/>
      <c r="U454" s="20">
        <v>0.1114</v>
      </c>
      <c r="V454" s="19"/>
      <c r="W454" s="19">
        <v>21</v>
      </c>
      <c r="X454" s="20"/>
      <c r="Y454" s="20">
        <v>2.08</v>
      </c>
      <c r="Z454" s="21"/>
      <c r="AA454" s="21" t="s">
        <v>1306</v>
      </c>
      <c r="AB454" s="19" t="s">
        <v>13</v>
      </c>
    </row>
    <row r="455" spans="1:28" s="18" customFormat="1">
      <c r="A455" s="3" t="s">
        <v>429</v>
      </c>
      <c r="B455" s="3" t="s">
        <v>1599</v>
      </c>
      <c r="C455" s="3" t="s">
        <v>1597</v>
      </c>
      <c r="D455" s="4" t="s">
        <v>1780</v>
      </c>
      <c r="E455" s="3" t="s">
        <v>430</v>
      </c>
      <c r="F455" s="7" t="s">
        <v>1368</v>
      </c>
      <c r="G455" s="4">
        <v>86.8</v>
      </c>
      <c r="H455" s="3" t="s">
        <v>458</v>
      </c>
      <c r="I455" s="3" t="s">
        <v>459</v>
      </c>
      <c r="J455" s="4">
        <v>4</v>
      </c>
      <c r="K455" s="4">
        <v>523.77819999999997</v>
      </c>
      <c r="L455" s="4" t="str">
        <f>HYPERLINK("http://ms.phosphosite.org:5080/cgi-bin/plot-msms.cgi?MassType=1&amp;NumAxis=1&amp;Mod3=184&amp;Mod6=147&amp;Mod9=184&amp;Pep=HVRPPMPPRYPAPYGER&amp;Dta=/var/www/html/dta/yong/23616.7823.4.dta&amp;Global_Mod=CS57.0215", "7823")</f>
        <v>7823</v>
      </c>
      <c r="M455" s="4"/>
      <c r="N455" s="5">
        <v>39.96</v>
      </c>
      <c r="O455" s="5"/>
      <c r="P455" s="5">
        <v>2.6150000000000002</v>
      </c>
      <c r="Q455" s="5"/>
      <c r="R455" s="5">
        <v>0.41839999999999999</v>
      </c>
      <c r="S455" s="5"/>
      <c r="T455" s="5">
        <v>0.12820000000000001</v>
      </c>
      <c r="U455" s="5"/>
      <c r="V455" s="4">
        <v>222</v>
      </c>
      <c r="W455" s="4"/>
      <c r="X455" s="5">
        <v>2.52</v>
      </c>
      <c r="Y455" s="5"/>
      <c r="Z455" s="6" t="s">
        <v>1306</v>
      </c>
      <c r="AA455" s="6"/>
      <c r="AB455" s="4" t="s">
        <v>13</v>
      </c>
    </row>
    <row r="456" spans="1:28">
      <c r="A456" s="3" t="s">
        <v>429</v>
      </c>
      <c r="B456" s="3" t="s">
        <v>1599</v>
      </c>
      <c r="C456" s="3" t="s">
        <v>1597</v>
      </c>
      <c r="D456" s="4" t="s">
        <v>1780</v>
      </c>
      <c r="E456" s="3" t="s">
        <v>430</v>
      </c>
      <c r="F456" s="7" t="s">
        <v>1368</v>
      </c>
      <c r="G456" s="4">
        <v>86.8</v>
      </c>
      <c r="H456" s="3" t="s">
        <v>458</v>
      </c>
      <c r="I456" s="3" t="s">
        <v>460</v>
      </c>
      <c r="J456" s="4">
        <v>4</v>
      </c>
      <c r="K456" s="4">
        <v>572.80849999999998</v>
      </c>
      <c r="L456" s="4"/>
      <c r="M456" s="4" t="str">
        <f>HYPERLINK("http://ms.phosphosite.org:5080/cgi-bin/plot-msms.cgi?MassType=1&amp;NumAxis=1&amp;Mod5=184&amp;Mod8=147&amp;Mod11=184&amp;Pep=PVHVRPPMPPRYPAPYGER&amp;Dta=/var/www/html/dta/yong/23617.9609.4.dta&amp;Global_Mod=CS57.0215", "9609")</f>
        <v>9609</v>
      </c>
      <c r="N456" s="5"/>
      <c r="O456" s="5">
        <v>47.02</v>
      </c>
      <c r="P456" s="5"/>
      <c r="Q456" s="5">
        <v>2.1850000000000001</v>
      </c>
      <c r="R456" s="5"/>
      <c r="S456" s="5">
        <v>0.24560000000000001</v>
      </c>
      <c r="T456" s="5"/>
      <c r="U456" s="5">
        <v>0.20469999999999999</v>
      </c>
      <c r="V456" s="4"/>
      <c r="W456" s="4">
        <v>80</v>
      </c>
      <c r="X456" s="5"/>
      <c r="Y456" s="5">
        <v>2.61</v>
      </c>
      <c r="Z456" s="6"/>
      <c r="AA456" s="6" t="s">
        <v>1306</v>
      </c>
      <c r="AB456" s="4" t="s">
        <v>13</v>
      </c>
    </row>
    <row r="457" spans="1:28">
      <c r="A457" s="9" t="s">
        <v>429</v>
      </c>
      <c r="B457" s="3" t="s">
        <v>1599</v>
      </c>
      <c r="C457" s="3" t="s">
        <v>1597</v>
      </c>
      <c r="D457" s="7">
        <v>284</v>
      </c>
      <c r="E457" s="9" t="s">
        <v>430</v>
      </c>
      <c r="F457" s="7" t="s">
        <v>1368</v>
      </c>
      <c r="G457" s="7">
        <v>86.8</v>
      </c>
      <c r="H457" s="9" t="s">
        <v>452</v>
      </c>
      <c r="I457" s="9" t="s">
        <v>453</v>
      </c>
      <c r="J457" s="7">
        <v>3</v>
      </c>
      <c r="K457" s="7">
        <v>585.99069999999995</v>
      </c>
      <c r="L457" s="7" t="str">
        <f>HYPERLINK("http://ms.phosphosite.org:5080/cgi-bin/plot-msms.cgi?MassType=1&amp;NumAxis=1&amp;Mod2=184&amp;Mod14=147&amp;Pep=ARVPGFVGSPLAAMNPK&amp;Dta=/var/www/html/dta/yong/23616.12834.3.dta&amp;Global_Mod=CS57.0215", "12834")</f>
        <v>12834</v>
      </c>
      <c r="M457" s="7" t="str">
        <f>HYPERLINK("http://ms.phosphosite.org:5080/cgi-bin/plot-msms.cgi?MassType=1&amp;NumAxis=1&amp;Mod2=184&amp;Mod14=147&amp;Pep=ARVPGFVGSPLAAMNPK&amp;Dta=/var/www/html/dta/yong/23617.12973.3.dta&amp;Global_Mod=CS57.0215", "12973")</f>
        <v>12973</v>
      </c>
      <c r="N457" s="10">
        <v>61.22</v>
      </c>
      <c r="O457" s="10">
        <v>61.19</v>
      </c>
      <c r="P457" s="10">
        <v>3.6520000000000001</v>
      </c>
      <c r="Q457" s="10">
        <v>3.2890000000000001</v>
      </c>
      <c r="R457" s="10">
        <v>0.56599999999999995</v>
      </c>
      <c r="S457" s="10">
        <v>0.53239999999999998</v>
      </c>
      <c r="T457" s="10">
        <v>0.21590000000000001</v>
      </c>
      <c r="U457" s="10">
        <v>0.19600000000000001</v>
      </c>
      <c r="V457" s="7">
        <v>1</v>
      </c>
      <c r="W457" s="7">
        <v>1</v>
      </c>
      <c r="X457" s="10">
        <v>3.37</v>
      </c>
      <c r="Y457" s="10">
        <v>2.94</v>
      </c>
      <c r="Z457" s="11">
        <v>1000</v>
      </c>
      <c r="AA457" s="11">
        <v>1000</v>
      </c>
      <c r="AB457" s="7" t="s">
        <v>13</v>
      </c>
    </row>
    <row r="458" spans="1:28">
      <c r="A458" s="9" t="s">
        <v>429</v>
      </c>
      <c r="B458" s="3" t="s">
        <v>1599</v>
      </c>
      <c r="C458" s="3" t="s">
        <v>1597</v>
      </c>
      <c r="D458" s="7">
        <v>284</v>
      </c>
      <c r="E458" s="9" t="s">
        <v>430</v>
      </c>
      <c r="F458" s="7" t="s">
        <v>1368</v>
      </c>
      <c r="G458" s="7">
        <v>86.8</v>
      </c>
      <c r="H458" s="9" t="s">
        <v>452</v>
      </c>
      <c r="I458" s="9" t="s">
        <v>453</v>
      </c>
      <c r="J458" s="7">
        <v>3</v>
      </c>
      <c r="K458" s="7">
        <v>585.99069999999995</v>
      </c>
      <c r="L458" s="7" t="str">
        <f>HYPERLINK("http://ms.phosphosite.org:5080/cgi-bin/plot-msms.cgi?MassType=1&amp;NumAxis=1&amp;Mod2=184&amp;Mod14=147&amp;Pep=ARVPGFVGSPLAAMNPK&amp;Dta=/var/www/html/dta/yong/23616.12999.3.dta&amp;Global_Mod=CS57.0215", "12999")</f>
        <v>12999</v>
      </c>
      <c r="M458" s="7"/>
      <c r="N458" s="10">
        <v>61.95</v>
      </c>
      <c r="O458" s="10"/>
      <c r="P458" s="10">
        <v>2.4009999999999998</v>
      </c>
      <c r="Q458" s="10"/>
      <c r="R458" s="10">
        <v>0.56130000000000002</v>
      </c>
      <c r="S458" s="10"/>
      <c r="T458" s="10">
        <v>4.8599999999999997E-2</v>
      </c>
      <c r="U458" s="10"/>
      <c r="V458" s="7">
        <v>6</v>
      </c>
      <c r="W458" s="7"/>
      <c r="X458" s="10">
        <v>2.06</v>
      </c>
      <c r="Y458" s="10"/>
      <c r="Z458" s="11">
        <v>1000</v>
      </c>
      <c r="AA458" s="11"/>
      <c r="AB458" s="7" t="s">
        <v>13</v>
      </c>
    </row>
    <row r="459" spans="1:28">
      <c r="A459" s="9" t="s">
        <v>429</v>
      </c>
      <c r="B459" s="3" t="s">
        <v>1599</v>
      </c>
      <c r="C459" s="3" t="s">
        <v>1597</v>
      </c>
      <c r="D459" s="7">
        <v>284</v>
      </c>
      <c r="E459" s="9" t="s">
        <v>430</v>
      </c>
      <c r="F459" s="7" t="s">
        <v>1368</v>
      </c>
      <c r="G459" s="7">
        <v>86.8</v>
      </c>
      <c r="H459" s="9" t="s">
        <v>452</v>
      </c>
      <c r="I459" s="9" t="s">
        <v>455</v>
      </c>
      <c r="J459" s="7">
        <v>2</v>
      </c>
      <c r="K459" s="7">
        <v>762.38739999999996</v>
      </c>
      <c r="L459" s="7" t="str">
        <f>HYPERLINK("http://ms.phosphosite.org:5080/cgi-bin/plot-msms.cgi?MassType=1&amp;NumAxis=1&amp;Mod1=147&amp;Mod8=184&amp;Pep=MSPSQFARVPGFVG&amp;Dta=/var/www/html/dta/yong/23616.17122.2.dta&amp;Global_Mod=CS57.0215", "17122")</f>
        <v>17122</v>
      </c>
      <c r="M459" s="7"/>
      <c r="N459" s="10">
        <v>79.69</v>
      </c>
      <c r="O459" s="10"/>
      <c r="P459" s="10">
        <v>1.956</v>
      </c>
      <c r="Q459" s="10"/>
      <c r="R459" s="10">
        <v>1.5031000000000001</v>
      </c>
      <c r="S459" s="10"/>
      <c r="T459" s="10">
        <v>1.37E-2</v>
      </c>
      <c r="U459" s="10"/>
      <c r="V459" s="7">
        <v>31</v>
      </c>
      <c r="W459" s="7"/>
      <c r="X459" s="10">
        <v>1.69</v>
      </c>
      <c r="Y459" s="10"/>
      <c r="Z459" s="11">
        <v>1000</v>
      </c>
      <c r="AA459" s="11"/>
      <c r="AB459" s="7" t="s">
        <v>13</v>
      </c>
    </row>
    <row r="460" spans="1:28" s="18" customFormat="1">
      <c r="A460" s="9" t="s">
        <v>429</v>
      </c>
      <c r="B460" s="3" t="s">
        <v>1599</v>
      </c>
      <c r="C460" s="3" t="s">
        <v>1597</v>
      </c>
      <c r="D460" s="7">
        <v>284</v>
      </c>
      <c r="E460" s="9" t="s">
        <v>430</v>
      </c>
      <c r="F460" s="7" t="s">
        <v>1368</v>
      </c>
      <c r="G460" s="7">
        <v>86.8</v>
      </c>
      <c r="H460" s="9" t="s">
        <v>452</v>
      </c>
      <c r="I460" s="9" t="s">
        <v>457</v>
      </c>
      <c r="J460" s="7">
        <v>2</v>
      </c>
      <c r="K460" s="7">
        <v>982.00890000000004</v>
      </c>
      <c r="L460" s="7" t="str">
        <f>HYPERLINK("http://ms.phosphosite.org:5080/cgi-bin/plot-msms.cgi?MassType=1&amp;NumAxis=1&amp;Mod1=147&amp;Mod8=184&amp;Pep=MSPSQFARVPGFVGSPLAA&amp;Dta=/var/www/html/dta/yong/23616.21288.2.dta&amp;Global_Mod=CS57.0215", "21288")</f>
        <v>21288</v>
      </c>
      <c r="M460" s="7" t="str">
        <f>HYPERLINK("http://ms.phosphosite.org:5080/cgi-bin/plot-msms.cgi?MassType=1&amp;NumAxis=1&amp;Mod1=147&amp;Mod8=184&amp;Pep=MSPSQFARVPGFVGSPLAA&amp;Dta=/var/www/html/dta/yong/23617.21444.2.dta&amp;Global_Mod=CS57.0215", "21444")</f>
        <v>21444</v>
      </c>
      <c r="N460" s="10">
        <v>97.25</v>
      </c>
      <c r="O460" s="10">
        <v>97.21</v>
      </c>
      <c r="P460" s="10">
        <v>3.3849999999999998</v>
      </c>
      <c r="Q460" s="10">
        <v>4.0010000000000003</v>
      </c>
      <c r="R460" s="10">
        <v>1.2388999999999999</v>
      </c>
      <c r="S460" s="10">
        <v>1.0779000000000001</v>
      </c>
      <c r="T460" s="10">
        <v>0.36480000000000001</v>
      </c>
      <c r="U460" s="10">
        <v>0.44209999999999999</v>
      </c>
      <c r="V460" s="7">
        <v>1</v>
      </c>
      <c r="W460" s="7">
        <v>1</v>
      </c>
      <c r="X460" s="10">
        <v>4.07</v>
      </c>
      <c r="Y460" s="10">
        <v>4.49</v>
      </c>
      <c r="Z460" s="11">
        <v>1000</v>
      </c>
      <c r="AA460" s="11">
        <v>1000</v>
      </c>
      <c r="AB460" s="7" t="s">
        <v>13</v>
      </c>
    </row>
    <row r="461" spans="1:28" s="18" customFormat="1">
      <c r="A461" s="9" t="s">
        <v>429</v>
      </c>
      <c r="B461" s="3" t="s">
        <v>1599</v>
      </c>
      <c r="C461" s="3" t="s">
        <v>1597</v>
      </c>
      <c r="D461" s="7">
        <v>284</v>
      </c>
      <c r="E461" s="9" t="s">
        <v>430</v>
      </c>
      <c r="F461" s="7" t="s">
        <v>1368</v>
      </c>
      <c r="G461" s="7">
        <v>86.8</v>
      </c>
      <c r="H461" s="9" t="s">
        <v>452</v>
      </c>
      <c r="I461" s="9" t="s">
        <v>456</v>
      </c>
      <c r="J461" s="7">
        <v>2</v>
      </c>
      <c r="K461" s="7">
        <v>910.97180000000003</v>
      </c>
      <c r="L461" s="7" t="str">
        <f>HYPERLINK("http://ms.phosphosite.org:5080/cgi-bin/plot-msms.cgi?MassType=1&amp;NumAxis=1&amp;Mod1=147&amp;Mod8=184&amp;Pep=MSPSQFARVPGFVGSPL&amp;Dta=/var/www/html/dta/yong/23616.21563.2.dta&amp;Global_Mod=CS57.0215", "21563")</f>
        <v>21563</v>
      </c>
      <c r="M461" s="7" t="str">
        <f>HYPERLINK("http://ms.phosphosite.org:5080/cgi-bin/plot-msms.cgi?MassType=1&amp;NumAxis=1&amp;Mod1=147&amp;Mod8=184&amp;Pep=MSPSQFARVPGFVGSPL&amp;Dta=/var/www/html/dta/yong/23617.21695.2.dta&amp;Global_Mod=CS57.0215", "21695")</f>
        <v>21695</v>
      </c>
      <c r="N461" s="10">
        <v>98.34</v>
      </c>
      <c r="O461" s="10">
        <v>98.24</v>
      </c>
      <c r="P461" s="10">
        <v>3.7240000000000002</v>
      </c>
      <c r="Q461" s="10">
        <v>3.3359999999999999</v>
      </c>
      <c r="R461" s="10">
        <v>1.0552999999999999</v>
      </c>
      <c r="S461" s="10">
        <v>0.7036</v>
      </c>
      <c r="T461" s="10">
        <v>0.40210000000000001</v>
      </c>
      <c r="U461" s="10">
        <v>0.41310000000000002</v>
      </c>
      <c r="V461" s="7">
        <v>1</v>
      </c>
      <c r="W461" s="7">
        <v>1</v>
      </c>
      <c r="X461" s="10">
        <v>4.41</v>
      </c>
      <c r="Y461" s="10">
        <v>4.16</v>
      </c>
      <c r="Z461" s="11">
        <v>1000</v>
      </c>
      <c r="AA461" s="11">
        <v>1000</v>
      </c>
      <c r="AB461" s="7" t="s">
        <v>13</v>
      </c>
    </row>
    <row r="462" spans="1:28" s="18" customFormat="1">
      <c r="A462" s="9" t="s">
        <v>429</v>
      </c>
      <c r="B462" s="3" t="s">
        <v>1599</v>
      </c>
      <c r="C462" s="3" t="s">
        <v>1597</v>
      </c>
      <c r="D462" s="7">
        <v>284</v>
      </c>
      <c r="E462" s="9" t="s">
        <v>430</v>
      </c>
      <c r="F462" s="7" t="s">
        <v>1368</v>
      </c>
      <c r="G462" s="7">
        <v>86.8</v>
      </c>
      <c r="H462" s="9" t="s">
        <v>452</v>
      </c>
      <c r="I462" s="9" t="s">
        <v>456</v>
      </c>
      <c r="J462" s="7">
        <v>3</v>
      </c>
      <c r="K462" s="7">
        <v>607.65030000000002</v>
      </c>
      <c r="L462" s="7" t="str">
        <f>HYPERLINK("http://ms.phosphosite.org:5080/cgi-bin/plot-msms.cgi?MassType=1&amp;NumAxis=1&amp;Mod1=147&amp;Mod8=184&amp;Pep=MSPSQFARVPGFVGSPL&amp;Dta=/var/www/html/dta/yong/23616.21600.3.dta&amp;Global_Mod=CS57.0215", "21600")</f>
        <v>21600</v>
      </c>
      <c r="M462" s="7" t="str">
        <f>HYPERLINK("http://ms.phosphosite.org:5080/cgi-bin/plot-msms.cgi?MassType=1&amp;NumAxis=1&amp;Mod1=147&amp;Mod8=184&amp;Pep=MSPSQFARVPGFVGSPL&amp;Dta=/var/www/html/dta/yong/23617.21722.3.dta&amp;Global_Mod=CS57.0215", "21722")</f>
        <v>21722</v>
      </c>
      <c r="N462" s="10">
        <v>98.49</v>
      </c>
      <c r="O462" s="10">
        <v>98.34</v>
      </c>
      <c r="P462" s="10">
        <v>1.964</v>
      </c>
      <c r="Q462" s="10">
        <v>1.6779999999999999</v>
      </c>
      <c r="R462" s="10">
        <v>0.78669999999999995</v>
      </c>
      <c r="S462" s="10">
        <v>0.54139999999999999</v>
      </c>
      <c r="T462" s="10">
        <v>7.4200000000000002E-2</v>
      </c>
      <c r="U462" s="10">
        <v>5.74E-2</v>
      </c>
      <c r="V462" s="7">
        <v>48</v>
      </c>
      <c r="W462" s="7">
        <v>373</v>
      </c>
      <c r="X462" s="10">
        <v>2.06</v>
      </c>
      <c r="Y462" s="10">
        <v>1.48</v>
      </c>
      <c r="Z462" s="11">
        <v>1000</v>
      </c>
      <c r="AA462" s="11">
        <v>1000</v>
      </c>
      <c r="AB462" s="7" t="s">
        <v>13</v>
      </c>
    </row>
    <row r="463" spans="1:28" s="18" customFormat="1">
      <c r="A463" s="9" t="s">
        <v>429</v>
      </c>
      <c r="B463" s="3" t="s">
        <v>1599</v>
      </c>
      <c r="C463" s="3" t="s">
        <v>1597</v>
      </c>
      <c r="D463" s="7">
        <v>284</v>
      </c>
      <c r="E463" s="9" t="s">
        <v>430</v>
      </c>
      <c r="F463" s="7" t="s">
        <v>1368</v>
      </c>
      <c r="G463" s="7">
        <v>86.8</v>
      </c>
      <c r="H463" s="9" t="s">
        <v>452</v>
      </c>
      <c r="I463" s="9" t="s">
        <v>454</v>
      </c>
      <c r="J463" s="7">
        <v>3</v>
      </c>
      <c r="K463" s="7">
        <v>580.65899999999999</v>
      </c>
      <c r="L463" s="7"/>
      <c r="M463" s="7" t="str">
        <f>HYPERLINK("http://ms.phosphosite.org:5080/cgi-bin/plot-msms.cgi?MassType=1&amp;NumAxis=1&amp;Mod2=184&amp;Pep=ARVPGFVGSPLAAMNPK&amp;Dta=/var/www/html/dta/yong/23617.17136.3.dta&amp;Global_Mod=CS57.0215", "17136")</f>
        <v>17136</v>
      </c>
      <c r="N463" s="10"/>
      <c r="O463" s="10">
        <v>78.95</v>
      </c>
      <c r="P463" s="10"/>
      <c r="Q463" s="10">
        <v>2.7040000000000002</v>
      </c>
      <c r="R463" s="10"/>
      <c r="S463" s="10">
        <v>0.53869999999999996</v>
      </c>
      <c r="T463" s="10"/>
      <c r="U463" s="10">
        <v>0.1482</v>
      </c>
      <c r="V463" s="7"/>
      <c r="W463" s="7">
        <v>103</v>
      </c>
      <c r="X463" s="10"/>
      <c r="Y463" s="10">
        <v>2.44</v>
      </c>
      <c r="Z463" s="11"/>
      <c r="AA463" s="11">
        <v>1000</v>
      </c>
      <c r="AB463" s="7" t="s">
        <v>13</v>
      </c>
    </row>
    <row r="464" spans="1:28">
      <c r="A464" s="9" t="s">
        <v>429</v>
      </c>
      <c r="B464" s="3" t="s">
        <v>1599</v>
      </c>
      <c r="C464" s="3" t="s">
        <v>1597</v>
      </c>
      <c r="D464" s="7" t="s">
        <v>1781</v>
      </c>
      <c r="E464" s="9" t="s">
        <v>430</v>
      </c>
      <c r="F464" s="7" t="s">
        <v>1368</v>
      </c>
      <c r="G464" s="7">
        <v>86.8</v>
      </c>
      <c r="H464" s="9" t="s">
        <v>461</v>
      </c>
      <c r="I464" s="9" t="s">
        <v>462</v>
      </c>
      <c r="J464" s="7">
        <v>3</v>
      </c>
      <c r="K464" s="7">
        <v>709.73469999999998</v>
      </c>
      <c r="L464" s="7" t="str">
        <f>HYPERLINK("http://ms.phosphosite.org:5080/cgi-bin/plot-msms.cgi?MassType=1&amp;NumAxis=1&amp;Mod5=184&amp;Mod9=147&amp;Mod17=184&amp;Pep=LLQGRVGQMLPPAPGFRAF&amp;Dta=/var/www/html/dta/yong/23616.19037.3.dta&amp;Global_Mod=CS57.0215", "19037")</f>
        <v>19037</v>
      </c>
      <c r="M464" s="7"/>
      <c r="N464" s="10">
        <v>87.86</v>
      </c>
      <c r="O464" s="10"/>
      <c r="P464" s="10">
        <v>2.681</v>
      </c>
      <c r="Q464" s="10"/>
      <c r="R464" s="10">
        <v>1.4289000000000001</v>
      </c>
      <c r="S464" s="10"/>
      <c r="T464" s="10">
        <v>0.1045</v>
      </c>
      <c r="U464" s="10"/>
      <c r="V464" s="7">
        <v>35</v>
      </c>
      <c r="W464" s="7"/>
      <c r="X464" s="10">
        <v>2.21</v>
      </c>
      <c r="Y464" s="10"/>
      <c r="Z464" s="11" t="s">
        <v>1306</v>
      </c>
      <c r="AA464" s="11"/>
      <c r="AB464" s="7" t="s">
        <v>13</v>
      </c>
    </row>
    <row r="465" spans="1:28">
      <c r="A465" s="3" t="s">
        <v>429</v>
      </c>
      <c r="B465" s="3" t="s">
        <v>1599</v>
      </c>
      <c r="C465" s="3" t="s">
        <v>1597</v>
      </c>
      <c r="D465" s="4">
        <v>316</v>
      </c>
      <c r="E465" s="3" t="s">
        <v>430</v>
      </c>
      <c r="F465" s="7" t="s">
        <v>1368</v>
      </c>
      <c r="G465" s="4">
        <v>86.8</v>
      </c>
      <c r="H465" s="3" t="s">
        <v>463</v>
      </c>
      <c r="I465" s="3" t="s">
        <v>464</v>
      </c>
      <c r="J465" s="4">
        <v>2</v>
      </c>
      <c r="K465" s="4">
        <v>766.40809999999999</v>
      </c>
      <c r="L465" s="4" t="str">
        <f>HYPERLINK("http://ms.phosphosite.org:5080/cgi-bin/plot-msms.cgi?MassType=1&amp;NumAxis=1&amp;Mod4=147&amp;Mod12=184&amp;Pep=VGQMLPPAPGFRAF&amp;Dta=/var/www/html/dta/yong/23616.18428.2.dta&amp;Global_Mod=CS57.0215", "18428")</f>
        <v>18428</v>
      </c>
      <c r="M465" s="4"/>
      <c r="N465" s="5">
        <v>85.17</v>
      </c>
      <c r="O465" s="5"/>
      <c r="P465" s="5">
        <v>2.964</v>
      </c>
      <c r="Q465" s="5"/>
      <c r="R465" s="5">
        <v>0.82179999999999997</v>
      </c>
      <c r="S465" s="5"/>
      <c r="T465" s="5">
        <v>0.33589999999999998</v>
      </c>
      <c r="U465" s="5"/>
      <c r="V465" s="4">
        <v>2</v>
      </c>
      <c r="W465" s="4"/>
      <c r="X465" s="5">
        <v>3.85</v>
      </c>
      <c r="Y465" s="5"/>
      <c r="Z465" s="6">
        <v>1000</v>
      </c>
      <c r="AA465" s="6"/>
      <c r="AB465" s="4" t="s">
        <v>13</v>
      </c>
    </row>
    <row r="466" spans="1:28">
      <c r="A466" s="3" t="s">
        <v>429</v>
      </c>
      <c r="B466" s="3" t="s">
        <v>1599</v>
      </c>
      <c r="C466" s="3" t="s">
        <v>1597</v>
      </c>
      <c r="D466" s="4">
        <v>316</v>
      </c>
      <c r="E466" s="3" t="s">
        <v>430</v>
      </c>
      <c r="F466" s="7" t="s">
        <v>1368</v>
      </c>
      <c r="G466" s="4">
        <v>86.8</v>
      </c>
      <c r="H466" s="3" t="s">
        <v>463</v>
      </c>
      <c r="I466" s="3" t="s">
        <v>464</v>
      </c>
      <c r="J466" s="4">
        <v>3</v>
      </c>
      <c r="K466" s="4">
        <v>511.27449999999999</v>
      </c>
      <c r="L466" s="4" t="str">
        <f>HYPERLINK("http://ms.phosphosite.org:5080/cgi-bin/plot-msms.cgi?MassType=1&amp;NumAxis=1&amp;Mod4=147&amp;Mod12=184&amp;Pep=VGQMLPPAPGFRAF&amp;Dta=/var/www/html/dta/yong/23616.18444.3.dta&amp;Global_Mod=CS57.0215", "18444")</f>
        <v>18444</v>
      </c>
      <c r="M466" s="4" t="str">
        <f>HYPERLINK("http://ms.phosphosite.org:5080/cgi-bin/plot-msms.cgi?MassType=1&amp;NumAxis=1&amp;Mod4=147&amp;Mod12=184&amp;Pep=VGQMLPPAPGFRAF&amp;Dta=/var/www/html/dta/yong/23617.18775.3.dta&amp;Global_Mod=CS57.0215", "18775")</f>
        <v>18775</v>
      </c>
      <c r="N466" s="5">
        <v>85.24</v>
      </c>
      <c r="O466" s="5">
        <v>85.91</v>
      </c>
      <c r="P466" s="5">
        <v>2.1859999999999999</v>
      </c>
      <c r="Q466" s="5">
        <v>2.8180000000000001</v>
      </c>
      <c r="R466" s="5">
        <v>0.55830000000000002</v>
      </c>
      <c r="S466" s="5">
        <v>0.1757</v>
      </c>
      <c r="T466" s="5">
        <v>8.0299999999999996E-2</v>
      </c>
      <c r="U466" s="5">
        <v>0.27710000000000001</v>
      </c>
      <c r="V466" s="4">
        <v>59</v>
      </c>
      <c r="W466" s="4">
        <v>3</v>
      </c>
      <c r="X466" s="5">
        <v>2.19</v>
      </c>
      <c r="Y466" s="5">
        <v>3.29</v>
      </c>
      <c r="Z466" s="6">
        <v>1000</v>
      </c>
      <c r="AA466" s="6">
        <v>1000</v>
      </c>
      <c r="AB466" s="4" t="s">
        <v>13</v>
      </c>
    </row>
    <row r="467" spans="1:28">
      <c r="A467" s="3" t="s">
        <v>429</v>
      </c>
      <c r="B467" s="3" t="s">
        <v>1599</v>
      </c>
      <c r="C467" s="3" t="s">
        <v>1597</v>
      </c>
      <c r="D467" s="4">
        <v>316</v>
      </c>
      <c r="E467" s="3" t="s">
        <v>430</v>
      </c>
      <c r="F467" s="7" t="s">
        <v>1368</v>
      </c>
      <c r="G467" s="4">
        <v>86.8</v>
      </c>
      <c r="H467" s="3" t="s">
        <v>463</v>
      </c>
      <c r="I467" s="3" t="s">
        <v>464</v>
      </c>
      <c r="J467" s="4">
        <v>3</v>
      </c>
      <c r="K467" s="4">
        <v>511.27449999999999</v>
      </c>
      <c r="L467" s="4" t="str">
        <f>HYPERLINK("http://ms.phosphosite.org:5080/cgi-bin/plot-msms.cgi?MassType=1&amp;NumAxis=1&amp;Mod4=147&amp;Mod12=184&amp;Pep=VGQMLPPAPGFRAF&amp;Dta=/var/www/html/dta/yong/23616.18504.3.dta&amp;Global_Mod=CS57.0215", "18504")</f>
        <v>18504</v>
      </c>
      <c r="M467" s="4" t="str">
        <f>HYPERLINK("http://ms.phosphosite.org:5080/cgi-bin/plot-msms.cgi?MassType=1&amp;NumAxis=1&amp;Mod4=147&amp;Mod12=184&amp;Pep=VGQMLPPAPGFRAF&amp;Dta=/var/www/html/dta/yong/23617.18766.3.dta&amp;Global_Mod=CS57.0215", "18766")</f>
        <v>18766</v>
      </c>
      <c r="N467" s="5">
        <v>85.5</v>
      </c>
      <c r="O467" s="5">
        <v>85.87</v>
      </c>
      <c r="P467" s="5">
        <v>2.69</v>
      </c>
      <c r="Q467" s="5">
        <v>2.734</v>
      </c>
      <c r="R467" s="5">
        <v>0.47370000000000001</v>
      </c>
      <c r="S467" s="5">
        <v>0.21560000000000001</v>
      </c>
      <c r="T467" s="5">
        <v>0.28649999999999998</v>
      </c>
      <c r="U467" s="5">
        <v>0.1837</v>
      </c>
      <c r="V467" s="4">
        <v>1</v>
      </c>
      <c r="W467" s="4">
        <v>2</v>
      </c>
      <c r="X467" s="5">
        <v>3.53</v>
      </c>
      <c r="Y467" s="5">
        <v>2.74</v>
      </c>
      <c r="Z467" s="6">
        <v>1000</v>
      </c>
      <c r="AA467" s="6">
        <v>1000</v>
      </c>
      <c r="AB467" s="4" t="s">
        <v>13</v>
      </c>
    </row>
    <row r="468" spans="1:28">
      <c r="A468" s="3" t="s">
        <v>429</v>
      </c>
      <c r="B468" s="3" t="s">
        <v>1599</v>
      </c>
      <c r="C468" s="3" t="s">
        <v>1597</v>
      </c>
      <c r="D468" s="4">
        <v>316</v>
      </c>
      <c r="E468" s="3" t="s">
        <v>430</v>
      </c>
      <c r="F468" s="7" t="s">
        <v>1368</v>
      </c>
      <c r="G468" s="4">
        <v>86.8</v>
      </c>
      <c r="H468" s="3" t="s">
        <v>463</v>
      </c>
      <c r="I468" s="3" t="s">
        <v>464</v>
      </c>
      <c r="J468" s="4">
        <v>2</v>
      </c>
      <c r="K468" s="4">
        <v>766.40809999999999</v>
      </c>
      <c r="L468" s="4" t="str">
        <f>HYPERLINK("http://ms.phosphosite.org:5080/cgi-bin/plot-msms.cgi?MassType=1&amp;NumAxis=1&amp;Mod4=147&amp;Mod12=184&amp;Pep=VGQMLPPAPGFRAF&amp;Dta=/var/www/html/dta/yong/23616.18592.2.dta&amp;Global_Mod=CS57.0215", "18592")</f>
        <v>18592</v>
      </c>
      <c r="M468" s="4" t="str">
        <f>HYPERLINK("http://ms.phosphosite.org:5080/cgi-bin/plot-msms.cgi?MassType=1&amp;NumAxis=1&amp;Mod4=147&amp;Mod12=184&amp;Pep=VGQMLPPAPGFRAF&amp;Dta=/var/www/html/dta/yong/23617.18580.2.dta&amp;Global_Mod=CS57.0215", "18580")</f>
        <v>18580</v>
      </c>
      <c r="N468" s="5">
        <v>85.89</v>
      </c>
      <c r="O468" s="5">
        <v>85.04</v>
      </c>
      <c r="P468" s="5">
        <v>2.952</v>
      </c>
      <c r="Q468" s="5">
        <v>3.2090000000000001</v>
      </c>
      <c r="R468" s="5">
        <v>0.92759999999999998</v>
      </c>
      <c r="S468" s="5">
        <v>0.67900000000000005</v>
      </c>
      <c r="T468" s="5">
        <v>0.28970000000000001</v>
      </c>
      <c r="U468" s="5">
        <v>0.32119999999999999</v>
      </c>
      <c r="V468" s="4">
        <v>2</v>
      </c>
      <c r="W468" s="4">
        <v>1</v>
      </c>
      <c r="X468" s="5">
        <v>3.58</v>
      </c>
      <c r="Y468" s="5">
        <v>3.64</v>
      </c>
      <c r="Z468" s="6">
        <v>1000</v>
      </c>
      <c r="AA468" s="6">
        <v>1000</v>
      </c>
      <c r="AB468" s="4" t="s">
        <v>13</v>
      </c>
    </row>
    <row r="469" spans="1:28">
      <c r="A469" s="3" t="s">
        <v>429</v>
      </c>
      <c r="B469" s="3" t="s">
        <v>1599</v>
      </c>
      <c r="C469" s="3" t="s">
        <v>1597</v>
      </c>
      <c r="D469" s="4">
        <v>316</v>
      </c>
      <c r="E469" s="3" t="s">
        <v>430</v>
      </c>
      <c r="F469" s="7" t="s">
        <v>1368</v>
      </c>
      <c r="G469" s="4">
        <v>86.8</v>
      </c>
      <c r="H469" s="3" t="s">
        <v>463</v>
      </c>
      <c r="I469" s="3" t="s">
        <v>464</v>
      </c>
      <c r="J469" s="4">
        <v>3</v>
      </c>
      <c r="K469" s="4">
        <v>511.27449999999999</v>
      </c>
      <c r="L469" s="4" t="str">
        <f>HYPERLINK("http://ms.phosphosite.org:5080/cgi-bin/plot-msms.cgi?MassType=1&amp;NumAxis=1&amp;Mod4=147&amp;Mod12=184&amp;Pep=VGQMLPPAPGFRAF&amp;Dta=/var/www/html/dta/yong/23616.18607.3.dta&amp;Global_Mod=CS57.0215", "18607")</f>
        <v>18607</v>
      </c>
      <c r="M469" s="4" t="str">
        <f>HYPERLINK("http://ms.phosphosite.org:5080/cgi-bin/plot-msms.cgi?MassType=1&amp;NumAxis=1&amp;Mod4=147&amp;Mod12=184&amp;Pep=VGQMLPPAPGFRAF&amp;Dta=/var/www/html/dta/yong/23617.18605.3.dta&amp;Global_Mod=CS57.0215", "18605")</f>
        <v>18605</v>
      </c>
      <c r="N469" s="5">
        <v>85.95</v>
      </c>
      <c r="O469" s="5">
        <v>85.15</v>
      </c>
      <c r="P469" s="5">
        <v>2.6</v>
      </c>
      <c r="Q469" s="5">
        <v>2.3759999999999999</v>
      </c>
      <c r="R469" s="5">
        <v>0.32729999999999998</v>
      </c>
      <c r="S469" s="5">
        <v>0.3538</v>
      </c>
      <c r="T469" s="5">
        <v>0.19989999999999999</v>
      </c>
      <c r="U469" s="5">
        <v>4.7199999999999999E-2</v>
      </c>
      <c r="V469" s="4">
        <v>1</v>
      </c>
      <c r="W469" s="4">
        <v>5</v>
      </c>
      <c r="X469" s="5">
        <v>3.01</v>
      </c>
      <c r="Y469" s="5">
        <v>1.86</v>
      </c>
      <c r="Z469" s="6">
        <v>1000</v>
      </c>
      <c r="AA469" s="6">
        <v>1000</v>
      </c>
      <c r="AB469" s="4" t="s">
        <v>13</v>
      </c>
    </row>
    <row r="470" spans="1:28">
      <c r="A470" s="13" t="s">
        <v>429</v>
      </c>
      <c r="B470" s="13" t="s">
        <v>465</v>
      </c>
      <c r="C470" s="13" t="s">
        <v>465</v>
      </c>
      <c r="D470" s="15"/>
      <c r="E470" s="13" t="s">
        <v>466</v>
      </c>
      <c r="F470" s="15" t="s">
        <v>1369</v>
      </c>
      <c r="G470" s="15">
        <v>75</v>
      </c>
      <c r="H470" s="13"/>
      <c r="I470" s="13" t="s">
        <v>467</v>
      </c>
      <c r="J470" s="15">
        <v>3</v>
      </c>
      <c r="K470" s="15">
        <v>598.63909999999998</v>
      </c>
      <c r="L470" s="15"/>
      <c r="M470" s="15" t="str">
        <f>HYPERLINK("http://ms.phosphosite.org:5080/cgi-bin/plot-msms.cgi?MassType=1&amp;NumAxis=1&amp;Mod3=170&amp;Pep=DGRISHLNDLSIPVDE&amp;Dta=/var/www/html/dta/yong/23617.18960.3.dta&amp;Global_Mod=CS57.0215", "18960")</f>
        <v>18960</v>
      </c>
      <c r="N470" s="16"/>
      <c r="O470" s="16">
        <v>86.74</v>
      </c>
      <c r="P470" s="16"/>
      <c r="Q470" s="16">
        <v>2.6619999999999999</v>
      </c>
      <c r="R470" s="16"/>
      <c r="S470" s="16">
        <v>-3.6714000000000002</v>
      </c>
      <c r="T470" s="16"/>
      <c r="U470" s="16">
        <v>0.16789999999999999</v>
      </c>
      <c r="V470" s="15"/>
      <c r="W470" s="15">
        <v>1</v>
      </c>
      <c r="X470" s="16"/>
      <c r="Y470" s="16">
        <v>1.27</v>
      </c>
      <c r="Z470" s="17"/>
      <c r="AA470" s="17">
        <v>1000</v>
      </c>
      <c r="AB470" s="15" t="s">
        <v>13</v>
      </c>
    </row>
    <row r="471" spans="1:28" s="13" customFormat="1">
      <c r="A471" s="13" t="s">
        <v>468</v>
      </c>
      <c r="B471" s="13" t="s">
        <v>469</v>
      </c>
      <c r="C471" s="13" t="s">
        <v>470</v>
      </c>
      <c r="D471" s="15"/>
      <c r="E471" s="13" t="s">
        <v>471</v>
      </c>
      <c r="F471" s="15" t="s">
        <v>1370</v>
      </c>
      <c r="G471" s="15">
        <v>72.3</v>
      </c>
      <c r="I471" s="13" t="s">
        <v>472</v>
      </c>
      <c r="J471" s="15">
        <v>4</v>
      </c>
      <c r="K471" s="15">
        <v>1099.7761</v>
      </c>
      <c r="L471" s="15" t="str">
        <f>HYPERLINK("http://ms.phosphosite.org:5080/cgi-bin/plot-msms.cgi?MassType=1&amp;NumAxis=1&amp;Mod32=147&amp;Mod36=170&amp;Pep=SQHQARIEIESFYEGEDFSETLTRAKFEELNMDLFR&amp;Dta=/var/www/html/dta/yong/23616.31587.4.dta&amp;Global_Mod=CS57.0215", "31587")</f>
        <v>31587</v>
      </c>
      <c r="M471" s="15"/>
      <c r="N471" s="16">
        <v>142.21</v>
      </c>
      <c r="O471" s="16"/>
      <c r="P471" s="16">
        <v>3.335</v>
      </c>
      <c r="Q471" s="16"/>
      <c r="R471" s="16">
        <v>1.6711</v>
      </c>
      <c r="S471" s="16"/>
      <c r="T471" s="16">
        <v>0.15659999999999999</v>
      </c>
      <c r="U471" s="16"/>
      <c r="V471" s="15">
        <v>39</v>
      </c>
      <c r="W471" s="15"/>
      <c r="X471" s="16">
        <v>1.27</v>
      </c>
      <c r="Y471" s="16"/>
      <c r="Z471" s="17">
        <v>15</v>
      </c>
      <c r="AA471" s="17"/>
      <c r="AB471" s="15" t="s">
        <v>13</v>
      </c>
    </row>
    <row r="472" spans="1:28" s="12" customFormat="1">
      <c r="A472" s="18" t="s">
        <v>468</v>
      </c>
      <c r="B472" s="18" t="s">
        <v>1600</v>
      </c>
      <c r="C472" s="18" t="s">
        <v>1601</v>
      </c>
      <c r="D472" s="19"/>
      <c r="E472" s="18" t="s">
        <v>473</v>
      </c>
      <c r="F472" s="15" t="s">
        <v>1371</v>
      </c>
      <c r="G472" s="19">
        <v>76.5</v>
      </c>
      <c r="H472" s="18"/>
      <c r="I472" s="18" t="s">
        <v>474</v>
      </c>
      <c r="J472" s="19">
        <v>3</v>
      </c>
      <c r="K472" s="19">
        <v>752.05010000000004</v>
      </c>
      <c r="L472" s="19"/>
      <c r="M472" s="19" t="str">
        <f>HYPERLINK("http://ms.phosphosite.org:5080/cgi-bin/plot-msms.cgi?MassType=1&amp;NumAxis=1&amp;Mod21=170&amp;Pep=SRFAGSSPSQSSMVARTQTVR&amp;Dta=/var/www/html/dta/yong/23617.26006.3.dta&amp;Global_Mod=CS57.0215", "26006")</f>
        <v>26006</v>
      </c>
      <c r="N472" s="20"/>
      <c r="O472" s="20">
        <v>115.87</v>
      </c>
      <c r="P472" s="20"/>
      <c r="Q472" s="20">
        <v>2.9039999999999999</v>
      </c>
      <c r="R472" s="20"/>
      <c r="S472" s="20">
        <v>-2.8580000000000001</v>
      </c>
      <c r="T472" s="20"/>
      <c r="U472" s="20">
        <v>0.1462</v>
      </c>
      <c r="V472" s="19"/>
      <c r="W472" s="19">
        <v>1</v>
      </c>
      <c r="X472" s="20"/>
      <c r="Y472" s="20">
        <v>1.18</v>
      </c>
      <c r="Z472" s="21"/>
      <c r="AA472" s="21">
        <v>24</v>
      </c>
      <c r="AB472" s="19" t="s">
        <v>13</v>
      </c>
    </row>
    <row r="473" spans="1:28" s="13" customFormat="1">
      <c r="A473" s="18" t="s">
        <v>468</v>
      </c>
      <c r="B473" s="18" t="s">
        <v>1600</v>
      </c>
      <c r="C473" s="18" t="s">
        <v>1601</v>
      </c>
      <c r="D473" s="19"/>
      <c r="E473" s="18" t="s">
        <v>473</v>
      </c>
      <c r="F473" s="15" t="s">
        <v>1371</v>
      </c>
      <c r="G473" s="19">
        <v>76.5</v>
      </c>
      <c r="H473" s="18"/>
      <c r="I473" s="18" t="s">
        <v>474</v>
      </c>
      <c r="J473" s="19">
        <v>3</v>
      </c>
      <c r="K473" s="19">
        <v>752.05010000000004</v>
      </c>
      <c r="L473" s="19"/>
      <c r="M473" s="19" t="str">
        <f>HYPERLINK("http://ms.phosphosite.org:5080/cgi-bin/plot-msms.cgi?MassType=1&amp;NumAxis=1&amp;Mod21=170&amp;Pep=SRFAGSSPSQSSMVARTQTVR&amp;Dta=/var/www/html/dta/yong/23617.31711.3.dta&amp;Global_Mod=CS57.0215", "31711")</f>
        <v>31711</v>
      </c>
      <c r="N473" s="20"/>
      <c r="O473" s="20">
        <v>142.65</v>
      </c>
      <c r="P473" s="20"/>
      <c r="Q473" s="20">
        <v>2.976</v>
      </c>
      <c r="R473" s="20"/>
      <c r="S473" s="20">
        <v>-2.9584999999999999</v>
      </c>
      <c r="T473" s="20"/>
      <c r="U473" s="20">
        <v>0.1389</v>
      </c>
      <c r="V473" s="19"/>
      <c r="W473" s="19">
        <v>138</v>
      </c>
      <c r="X473" s="20"/>
      <c r="Y473" s="20">
        <v>1.0900000000000001</v>
      </c>
      <c r="Z473" s="21"/>
      <c r="AA473" s="21">
        <v>49</v>
      </c>
      <c r="AB473" s="19" t="s">
        <v>13</v>
      </c>
    </row>
    <row r="474" spans="1:28" s="12" customFormat="1">
      <c r="A474" s="9" t="s">
        <v>468</v>
      </c>
      <c r="B474" s="9" t="s">
        <v>1602</v>
      </c>
      <c r="C474" s="9" t="s">
        <v>1603</v>
      </c>
      <c r="D474" s="7">
        <v>58</v>
      </c>
      <c r="E474" s="9" t="s">
        <v>475</v>
      </c>
      <c r="F474" s="7" t="s">
        <v>1372</v>
      </c>
      <c r="G474" s="7">
        <v>44.3</v>
      </c>
      <c r="H474" s="9" t="s">
        <v>476</v>
      </c>
      <c r="I474" s="9" t="s">
        <v>477</v>
      </c>
      <c r="J474" s="7">
        <v>3</v>
      </c>
      <c r="K474" s="7">
        <v>793.08389999999997</v>
      </c>
      <c r="L474" s="7" t="str">
        <f>HYPERLINK("http://ms.phosphosite.org:5080/cgi-bin/plot-msms.cgi?MassType=1&amp;NumAxis=1&amp;Mod4=184&amp;Pep=STARFTLNPNPTGVQNPHIER&amp;Dta=/var/www/html/dta/yong/23616.11817.3.dta&amp;Global_Mod=CS57.0215", "11817")</f>
        <v>11817</v>
      </c>
      <c r="M474" s="7"/>
      <c r="N474" s="10">
        <v>56.83</v>
      </c>
      <c r="O474" s="10"/>
      <c r="P474" s="10">
        <v>4.0359999999999996</v>
      </c>
      <c r="Q474" s="10"/>
      <c r="R474" s="10">
        <v>0.41880000000000001</v>
      </c>
      <c r="S474" s="10"/>
      <c r="T474" s="10">
        <v>0.28899999999999998</v>
      </c>
      <c r="U474" s="10"/>
      <c r="V474" s="7">
        <v>1</v>
      </c>
      <c r="W474" s="7"/>
      <c r="X474" s="10">
        <v>2.5099999999999998</v>
      </c>
      <c r="Y474" s="10"/>
      <c r="Z474" s="11">
        <v>1000</v>
      </c>
      <c r="AA474" s="11"/>
      <c r="AB474" s="7" t="s">
        <v>13</v>
      </c>
    </row>
    <row r="475" spans="1:28" s="13" customFormat="1">
      <c r="A475" s="18" t="s">
        <v>468</v>
      </c>
      <c r="B475" s="18" t="s">
        <v>1604</v>
      </c>
      <c r="C475" s="18" t="s">
        <v>1603</v>
      </c>
      <c r="D475" s="19"/>
      <c r="E475" s="18" t="s">
        <v>475</v>
      </c>
      <c r="F475" s="15" t="s">
        <v>1372</v>
      </c>
      <c r="G475" s="19">
        <v>44.3</v>
      </c>
      <c r="H475" s="18"/>
      <c r="I475" s="18" t="s">
        <v>478</v>
      </c>
      <c r="J475" s="19">
        <v>3</v>
      </c>
      <c r="K475" s="19">
        <v>788.41200000000003</v>
      </c>
      <c r="L475" s="19" t="str">
        <f>HYPERLINK("http://ms.phosphosite.org:5080/cgi-bin/plot-msms.cgi?MassType=1&amp;NumAxis=1&amp;Mod4=170&amp;Pep=STARFTLNPNPTGVQNPHIER&amp;Dta=/var/www/html/dta/yong/23616.11711.3.dta&amp;Global_Mod=CS57.0215", "11711")</f>
        <v>11711</v>
      </c>
      <c r="M475" s="19"/>
      <c r="N475" s="20">
        <v>56.35</v>
      </c>
      <c r="O475" s="20"/>
      <c r="P475" s="20">
        <v>3.9260000000000002</v>
      </c>
      <c r="Q475" s="20"/>
      <c r="R475" s="20">
        <v>1.0434000000000001</v>
      </c>
      <c r="S475" s="20"/>
      <c r="T475" s="20">
        <v>0.31940000000000002</v>
      </c>
      <c r="U475" s="20"/>
      <c r="V475" s="19">
        <v>1</v>
      </c>
      <c r="W475" s="19"/>
      <c r="X475" s="20">
        <v>2.62</v>
      </c>
      <c r="Y475" s="20"/>
      <c r="Z475" s="21">
        <v>1000</v>
      </c>
      <c r="AA475" s="21"/>
      <c r="AB475" s="19" t="s">
        <v>13</v>
      </c>
    </row>
    <row r="476" spans="1:28" s="13" customFormat="1">
      <c r="A476" s="18" t="s">
        <v>468</v>
      </c>
      <c r="B476" s="18" t="s">
        <v>1604</v>
      </c>
      <c r="C476" s="18" t="s">
        <v>1603</v>
      </c>
      <c r="D476" s="19"/>
      <c r="E476" s="18" t="s">
        <v>475</v>
      </c>
      <c r="F476" s="15" t="s">
        <v>1372</v>
      </c>
      <c r="G476" s="19">
        <v>44.3</v>
      </c>
      <c r="H476" s="18"/>
      <c r="I476" s="18" t="s">
        <v>478</v>
      </c>
      <c r="J476" s="19">
        <v>4</v>
      </c>
      <c r="K476" s="19">
        <v>591.56079999999997</v>
      </c>
      <c r="L476" s="19"/>
      <c r="M476" s="19" t="str">
        <f>HYPERLINK("http://ms.phosphosite.org:5080/cgi-bin/plot-msms.cgi?MassType=1&amp;NumAxis=1&amp;Mod4=170&amp;Pep=STARFTLNPNPTGVQNPHIER&amp;Dta=/var/www/html/dta/yong/23617.11780.4.dta&amp;Global_Mod=CS57.0215", "11780")</f>
        <v>11780</v>
      </c>
      <c r="N476" s="20"/>
      <c r="O476" s="20">
        <v>56.08</v>
      </c>
      <c r="P476" s="20"/>
      <c r="Q476" s="20">
        <v>3.22</v>
      </c>
      <c r="R476" s="20"/>
      <c r="S476" s="20">
        <v>0.57830000000000004</v>
      </c>
      <c r="T476" s="20"/>
      <c r="U476" s="20">
        <v>0.1794</v>
      </c>
      <c r="V476" s="19"/>
      <c r="W476" s="19">
        <v>25</v>
      </c>
      <c r="X476" s="20"/>
      <c r="Y476" s="20">
        <v>1.67</v>
      </c>
      <c r="Z476" s="21"/>
      <c r="AA476" s="21">
        <v>1000</v>
      </c>
      <c r="AB476" s="19" t="s">
        <v>13</v>
      </c>
    </row>
    <row r="477" spans="1:28" s="18" customFormat="1">
      <c r="A477" s="18" t="s">
        <v>468</v>
      </c>
      <c r="B477" s="18" t="s">
        <v>1605</v>
      </c>
      <c r="C477" s="18" t="s">
        <v>1606</v>
      </c>
      <c r="D477" s="19"/>
      <c r="E477" s="18" t="s">
        <v>479</v>
      </c>
      <c r="F477" s="15" t="s">
        <v>1373</v>
      </c>
      <c r="G477" s="19">
        <v>34.5</v>
      </c>
      <c r="I477" s="18" t="s">
        <v>480</v>
      </c>
      <c r="J477" s="19">
        <v>3</v>
      </c>
      <c r="K477" s="19">
        <v>1015.1405</v>
      </c>
      <c r="L477" s="19" t="str">
        <f>HYPERLINK("http://ms.phosphosite.org:5080/cgi-bin/plot-msms.cgi?MassType=1&amp;NumAxis=1&amp;Mod1=147&amp;Mod23=170&amp;Mod26=147&amp;Pep=MDEQSQGMQGPPVPQFQPQKALRPDMG&amp;Dta=/var/www/html/dta/yong/23616.26900.3.dta&amp;Global_Mod=CS57.0215", "26900")</f>
        <v>26900</v>
      </c>
      <c r="M477" s="19"/>
      <c r="N477" s="20">
        <v>120.22</v>
      </c>
      <c r="O477" s="20"/>
      <c r="P477" s="20">
        <v>3.0430000000000001</v>
      </c>
      <c r="Q477" s="20"/>
      <c r="R477" s="20">
        <v>-13.0162</v>
      </c>
      <c r="S477" s="20"/>
      <c r="T477" s="20">
        <v>0.23669999999999999</v>
      </c>
      <c r="U477" s="20"/>
      <c r="V477" s="19">
        <v>47</v>
      </c>
      <c r="W477" s="19"/>
      <c r="X477" s="20">
        <v>1.1599999999999999</v>
      </c>
      <c r="Y477" s="20"/>
      <c r="Z477" s="21">
        <v>1000</v>
      </c>
      <c r="AA477" s="21"/>
      <c r="AB477" s="19" t="s">
        <v>13</v>
      </c>
    </row>
    <row r="478" spans="1:28" s="18" customFormat="1">
      <c r="A478" s="13" t="s">
        <v>468</v>
      </c>
      <c r="B478" s="13" t="s">
        <v>481</v>
      </c>
      <c r="C478" s="13" t="s">
        <v>482</v>
      </c>
      <c r="D478" s="15"/>
      <c r="E478" s="13" t="s">
        <v>483</v>
      </c>
      <c r="F478" s="15" t="s">
        <v>1502</v>
      </c>
      <c r="G478" s="15">
        <v>124.2</v>
      </c>
      <c r="H478" s="13"/>
      <c r="I478" s="13" t="s">
        <v>484</v>
      </c>
      <c r="J478" s="15">
        <v>3</v>
      </c>
      <c r="K478" s="15">
        <v>972.50789999999995</v>
      </c>
      <c r="L478" s="15"/>
      <c r="M478" s="15" t="str">
        <f>HYPERLINK("http://ms.phosphosite.org:5080/cgi-bin/plot-msms.cgi?MassType=1&amp;NumAxis=1&amp;Mod1=147&amp;Mod19=170&amp;Pep=MPPRPSSGELWGIHLMPPRILVECL&amp;Dta=/var/www/html/dta/yong/23617.32342.3.dta&amp;Global_Mod=CS57.0215", "32342")</f>
        <v>32342</v>
      </c>
      <c r="N478" s="16"/>
      <c r="O478" s="16">
        <v>145.84</v>
      </c>
      <c r="P478" s="16"/>
      <c r="Q478" s="16">
        <v>2.79</v>
      </c>
      <c r="R478" s="16"/>
      <c r="S478" s="16">
        <v>-4.3483000000000001</v>
      </c>
      <c r="T478" s="16"/>
      <c r="U478" s="16">
        <v>0.1993</v>
      </c>
      <c r="V478" s="15"/>
      <c r="W478" s="15">
        <v>462</v>
      </c>
      <c r="X478" s="16"/>
      <c r="Y478" s="16">
        <v>1.17</v>
      </c>
      <c r="Z478" s="17"/>
      <c r="AA478" s="17">
        <v>14</v>
      </c>
      <c r="AB478" s="15" t="s">
        <v>13</v>
      </c>
    </row>
    <row r="479" spans="1:28" s="18" customFormat="1">
      <c r="A479" s="9" t="s">
        <v>468</v>
      </c>
      <c r="B479" s="9" t="s">
        <v>1607</v>
      </c>
      <c r="C479" s="9" t="s">
        <v>1608</v>
      </c>
      <c r="D479" s="7">
        <v>515</v>
      </c>
      <c r="E479" s="9" t="s">
        <v>485</v>
      </c>
      <c r="F479" s="7" t="s">
        <v>1374</v>
      </c>
      <c r="G479" s="7">
        <v>122.5</v>
      </c>
      <c r="H479" s="9" t="s">
        <v>486</v>
      </c>
      <c r="I479" s="9" t="s">
        <v>487</v>
      </c>
      <c r="J479" s="7">
        <v>3</v>
      </c>
      <c r="K479" s="7">
        <v>539.64589999999998</v>
      </c>
      <c r="L479" s="7" t="str">
        <f>HYPERLINK("http://ms.phosphosite.org:5080/cgi-bin/plot-msms.cgi?MassType=1&amp;NumAxis=1&amp;Mod11=184&amp;Pep=TPGQINLAQLRLQH&amp;Dta=/var/www/html/dta/yong/23616.15636.3.dta&amp;Global_Mod=CS57.0215", "15636")</f>
        <v>15636</v>
      </c>
      <c r="M479" s="7" t="str">
        <f>HYPERLINK("http://ms.phosphosite.org:5080/cgi-bin/plot-msms.cgi?MassType=1&amp;NumAxis=1&amp;Mod11=184&amp;Pep=TPGQINLAQLRLQH&amp;Dta=/var/www/html/dta/yong/23617.15792.3.dta&amp;Global_Mod=CS57.0215", "15792")</f>
        <v>15792</v>
      </c>
      <c r="N479" s="10">
        <v>73.39</v>
      </c>
      <c r="O479" s="10">
        <v>73.22</v>
      </c>
      <c r="P479" s="10">
        <v>2.5739999999999998</v>
      </c>
      <c r="Q479" s="10">
        <v>2.355</v>
      </c>
      <c r="R479" s="10">
        <v>0.59370000000000001</v>
      </c>
      <c r="S479" s="10">
        <v>9.3899999999999997E-2</v>
      </c>
      <c r="T479" s="10">
        <v>0.2374</v>
      </c>
      <c r="U479" s="10">
        <v>0.1154</v>
      </c>
      <c r="V479" s="7">
        <v>2</v>
      </c>
      <c r="W479" s="7">
        <v>12</v>
      </c>
      <c r="X479" s="10">
        <v>1.84</v>
      </c>
      <c r="Y479" s="10">
        <v>1.1100000000000001</v>
      </c>
      <c r="Z479" s="11">
        <v>1000</v>
      </c>
      <c r="AA479" s="11">
        <v>1000</v>
      </c>
      <c r="AB479" s="7" t="s">
        <v>13</v>
      </c>
    </row>
    <row r="480" spans="1:28" s="18" customFormat="1">
      <c r="A480" s="3" t="s">
        <v>468</v>
      </c>
      <c r="B480" s="9" t="s">
        <v>1607</v>
      </c>
      <c r="C480" s="9" t="s">
        <v>1608</v>
      </c>
      <c r="D480" s="4">
        <v>577</v>
      </c>
      <c r="E480" s="3" t="s">
        <v>485</v>
      </c>
      <c r="F480" s="7" t="s">
        <v>1374</v>
      </c>
      <c r="G480" s="4">
        <v>122.5</v>
      </c>
      <c r="H480" s="3" t="s">
        <v>488</v>
      </c>
      <c r="I480" s="3" t="s">
        <v>489</v>
      </c>
      <c r="J480" s="4">
        <v>3</v>
      </c>
      <c r="K480" s="4">
        <v>655.95780000000002</v>
      </c>
      <c r="L480" s="4"/>
      <c r="M480" s="4" t="str">
        <f>HYPERLINK("http://ms.phosphosite.org:5080/cgi-bin/plot-msms.cgi?MassType=1&amp;NumAxis=1&amp;Mod2=184&amp;Mod5=147&amp;Mod15=147&amp;Pep=QRGNMNCGAFQAHQMR&amp;Dta=/var/www/html/dta/yong/23617.2335.3.dta&amp;Global_Mod=CS57.0215", "2335")</f>
        <v>2335</v>
      </c>
      <c r="N480" s="5"/>
      <c r="O480" s="5">
        <v>16.64</v>
      </c>
      <c r="P480" s="5"/>
      <c r="Q480" s="5">
        <v>3.2589999999999999</v>
      </c>
      <c r="R480" s="5"/>
      <c r="S480" s="5">
        <v>2.4169</v>
      </c>
      <c r="T480" s="5"/>
      <c r="U480" s="5">
        <v>0.21510000000000001</v>
      </c>
      <c r="V480" s="4"/>
      <c r="W480" s="4">
        <v>21</v>
      </c>
      <c r="X480" s="5"/>
      <c r="Y480" s="5">
        <v>1.84</v>
      </c>
      <c r="Z480" s="6"/>
      <c r="AA480" s="6">
        <v>1000</v>
      </c>
      <c r="AB480" s="4" t="s">
        <v>13</v>
      </c>
    </row>
    <row r="481" spans="1:28" s="18" customFormat="1">
      <c r="A481" s="3" t="s">
        <v>468</v>
      </c>
      <c r="B481" s="9" t="s">
        <v>1607</v>
      </c>
      <c r="C481" s="9" t="s">
        <v>1608</v>
      </c>
      <c r="D481" s="4">
        <v>577</v>
      </c>
      <c r="E481" s="3" t="s">
        <v>485</v>
      </c>
      <c r="F481" s="7" t="s">
        <v>1374</v>
      </c>
      <c r="G481" s="4">
        <v>122.5</v>
      </c>
      <c r="H481" s="3" t="s">
        <v>488</v>
      </c>
      <c r="I481" s="3" t="s">
        <v>489</v>
      </c>
      <c r="J481" s="4">
        <v>3</v>
      </c>
      <c r="K481" s="4">
        <v>655.95780000000002</v>
      </c>
      <c r="L481" s="4"/>
      <c r="M481" s="4" t="str">
        <f>HYPERLINK("http://ms.phosphosite.org:5080/cgi-bin/plot-msms.cgi?MassType=1&amp;NumAxis=1&amp;Mod2=184&amp;Mod5=147&amp;Mod15=147&amp;Pep=QRGNMNCGAFQAHQMR&amp;Dta=/var/www/html/dta/yong/23617.2344.3.dta&amp;Global_Mod=CS57.0215", "2344")</f>
        <v>2344</v>
      </c>
      <c r="N481" s="5"/>
      <c r="O481" s="5">
        <v>16.68</v>
      </c>
      <c r="P481" s="5"/>
      <c r="Q481" s="5">
        <v>3.2210000000000001</v>
      </c>
      <c r="R481" s="5"/>
      <c r="S481" s="5">
        <v>2.4169</v>
      </c>
      <c r="T481" s="5"/>
      <c r="U481" s="5">
        <v>0.2059</v>
      </c>
      <c r="V481" s="4"/>
      <c r="W481" s="4">
        <v>16</v>
      </c>
      <c r="X481" s="5"/>
      <c r="Y481" s="5">
        <v>1.78</v>
      </c>
      <c r="Z481" s="6"/>
      <c r="AA481" s="6">
        <v>1000</v>
      </c>
      <c r="AB481" s="4" t="s">
        <v>13</v>
      </c>
    </row>
    <row r="482" spans="1:28">
      <c r="A482" s="13" t="s">
        <v>468</v>
      </c>
      <c r="B482" s="13" t="s">
        <v>1609</v>
      </c>
      <c r="C482" s="13" t="s">
        <v>1610</v>
      </c>
      <c r="D482" s="15">
        <v>2393</v>
      </c>
      <c r="E482" s="13" t="s">
        <v>490</v>
      </c>
      <c r="F482" s="15" t="s">
        <v>1375</v>
      </c>
      <c r="G482" s="15">
        <v>346.7</v>
      </c>
      <c r="H482" s="13" t="s">
        <v>491</v>
      </c>
      <c r="I482" s="13" t="s">
        <v>492</v>
      </c>
      <c r="J482" s="15">
        <v>4</v>
      </c>
      <c r="K482" s="15">
        <v>778.13969999999995</v>
      </c>
      <c r="L482" s="15"/>
      <c r="M482" s="15" t="str">
        <f>HYPERLINK("http://ms.phosphosite.org:5080/cgi-bin/plot-msms.cgi?MassType=1&amp;NumAxis=1&amp;Mod27=170&amp;Mod28=184&amp;Pep=MSGTSTPGPSLPPPGAAPEAGPSAPSRRPPGAD&amp;Dta=/var/www/html/dta/yong/23617.18892.4.dta&amp;Global_Mod=CS57.0215", "18892")</f>
        <v>18892</v>
      </c>
      <c r="N482" s="16"/>
      <c r="O482" s="16">
        <v>86.45</v>
      </c>
      <c r="P482" s="16"/>
      <c r="Q482" s="16">
        <v>2.6259999999999999</v>
      </c>
      <c r="R482" s="16"/>
      <c r="S482" s="16">
        <v>-0.3125</v>
      </c>
      <c r="T482" s="16"/>
      <c r="U482" s="16">
        <v>0.19989999999999999</v>
      </c>
      <c r="V482" s="15"/>
      <c r="W482" s="15">
        <v>74</v>
      </c>
      <c r="X482" s="16"/>
      <c r="Y482" s="16">
        <v>1.42</v>
      </c>
      <c r="Z482" s="17"/>
      <c r="AA482" s="17" t="s">
        <v>1306</v>
      </c>
      <c r="AB482" s="15" t="s">
        <v>13</v>
      </c>
    </row>
    <row r="483" spans="1:28">
      <c r="A483" s="18" t="s">
        <v>468</v>
      </c>
      <c r="B483" s="18" t="s">
        <v>1611</v>
      </c>
      <c r="C483" s="18" t="s">
        <v>1612</v>
      </c>
      <c r="D483" s="19"/>
      <c r="E483" s="18" t="s">
        <v>493</v>
      </c>
      <c r="F483" s="15" t="s">
        <v>1376</v>
      </c>
      <c r="G483" s="19">
        <v>3813.7</v>
      </c>
      <c r="H483" s="18"/>
      <c r="I483" s="18" t="s">
        <v>494</v>
      </c>
      <c r="J483" s="19">
        <v>2</v>
      </c>
      <c r="K483" s="19">
        <v>1283.018</v>
      </c>
      <c r="L483" s="19" t="str">
        <f>HYPERLINK("http://ms.phosphosite.org:5080/cgi-bin/plot-msms.cgi?MassType=1&amp;NumAxis=1&amp;Mod23=170&amp;Pep=PSDTGEYQCIVSNEGGSCSCSTR&amp;Dta=/var/www/html/dta/yong/23616.34959.2.dta&amp;Global_Mod=CS57.0215", "34959")</f>
        <v>34959</v>
      </c>
      <c r="M483" s="19"/>
      <c r="N483" s="20">
        <v>159.31</v>
      </c>
      <c r="O483" s="20"/>
      <c r="P483" s="20">
        <v>1.5760000000000001</v>
      </c>
      <c r="Q483" s="20"/>
      <c r="R483" s="20">
        <v>-4.7698999999999998</v>
      </c>
      <c r="S483" s="20"/>
      <c r="T483" s="20">
        <v>0.2051</v>
      </c>
      <c r="U483" s="20"/>
      <c r="V483" s="19">
        <v>1</v>
      </c>
      <c r="W483" s="19"/>
      <c r="X483" s="20">
        <v>1.29</v>
      </c>
      <c r="Y483" s="20"/>
      <c r="Z483" s="21">
        <v>1000</v>
      </c>
      <c r="AA483" s="21"/>
      <c r="AB483" s="19" t="s">
        <v>13</v>
      </c>
    </row>
    <row r="484" spans="1:28" s="18" customFormat="1">
      <c r="A484" s="13" t="s">
        <v>468</v>
      </c>
      <c r="B484" s="13" t="s">
        <v>495</v>
      </c>
      <c r="C484" s="13" t="s">
        <v>496</v>
      </c>
      <c r="D484" s="15"/>
      <c r="E484" s="13" t="s">
        <v>497</v>
      </c>
      <c r="F484" s="15" t="s">
        <v>1501</v>
      </c>
      <c r="G484" s="15">
        <v>96.8</v>
      </c>
      <c r="H484" s="13"/>
      <c r="I484" s="13" t="s">
        <v>498</v>
      </c>
      <c r="J484" s="15">
        <v>3</v>
      </c>
      <c r="K484" s="15">
        <v>746.7174</v>
      </c>
      <c r="L484" s="15"/>
      <c r="M484" s="15" t="str">
        <f>HYPERLINK("http://ms.phosphosite.org:5080/cgi-bin/plot-msms.cgi?MassType=1&amp;NumAxis=1&amp;Mod19=170&amp;Pep=QLSCEAVGPPEPVTIVWWR&amp;Dta=/var/www/html/dta/yong/23617.20280.3.dta&amp;Global_Mod=CS57.0215", "20280")</f>
        <v>20280</v>
      </c>
      <c r="N484" s="16"/>
      <c r="O484" s="16">
        <v>92.33</v>
      </c>
      <c r="P484" s="16"/>
      <c r="Q484" s="16">
        <v>3.0230000000000001</v>
      </c>
      <c r="R484" s="16"/>
      <c r="S484" s="16">
        <v>-1.3431999999999999</v>
      </c>
      <c r="T484" s="16"/>
      <c r="U484" s="16">
        <v>7.4499999999999997E-2</v>
      </c>
      <c r="V484" s="15"/>
      <c r="W484" s="15">
        <v>11</v>
      </c>
      <c r="X484" s="16"/>
      <c r="Y484" s="16">
        <v>1.1299999999999999</v>
      </c>
      <c r="Z484" s="17"/>
      <c r="AA484" s="17">
        <v>1000</v>
      </c>
      <c r="AB484" s="15" t="s">
        <v>13</v>
      </c>
    </row>
    <row r="485" spans="1:28">
      <c r="A485" s="3" t="s">
        <v>499</v>
      </c>
      <c r="B485" s="3" t="s">
        <v>1613</v>
      </c>
      <c r="C485" s="3" t="s">
        <v>1614</v>
      </c>
      <c r="D485" s="4">
        <v>9</v>
      </c>
      <c r="E485" s="3" t="s">
        <v>500</v>
      </c>
      <c r="F485" s="7" t="s">
        <v>1377</v>
      </c>
      <c r="G485" s="4">
        <v>49.4</v>
      </c>
      <c r="H485" s="3" t="s">
        <v>501</v>
      </c>
      <c r="I485" s="3" t="s">
        <v>502</v>
      </c>
      <c r="J485" s="4">
        <v>3</v>
      </c>
      <c r="K485" s="4">
        <v>459.62939999999998</v>
      </c>
      <c r="L485" s="4"/>
      <c r="M485" s="4" t="str">
        <f>HYPERLINK("http://ms.phosphosite.org:5080/cgi-bin/plot-msms.cgi?MassType=1&amp;NumAxis=1&amp;Mod3=184&amp;Pep=LLRGPLSGPLLGR&amp;Dta=/var/www/html/dta/yong/23617.16260.3.dta&amp;Global_Mod=CS57.0215", "16260")</f>
        <v>16260</v>
      </c>
      <c r="N485" s="5"/>
      <c r="O485" s="5">
        <v>75.16</v>
      </c>
      <c r="P485" s="5"/>
      <c r="Q485" s="5">
        <v>2.5110000000000001</v>
      </c>
      <c r="R485" s="5"/>
      <c r="S485" s="5">
        <v>0.70109999999999995</v>
      </c>
      <c r="T485" s="5"/>
      <c r="U485" s="5">
        <v>0.1454</v>
      </c>
      <c r="V485" s="4"/>
      <c r="W485" s="4">
        <v>4</v>
      </c>
      <c r="X485" s="5"/>
      <c r="Y485" s="5">
        <v>1.31</v>
      </c>
      <c r="Z485" s="6"/>
      <c r="AA485" s="6">
        <v>1000</v>
      </c>
      <c r="AB485" s="4" t="s">
        <v>13</v>
      </c>
    </row>
    <row r="486" spans="1:28" s="12" customFormat="1">
      <c r="A486" s="9" t="s">
        <v>503</v>
      </c>
      <c r="B486" s="9" t="s">
        <v>1615</v>
      </c>
      <c r="C486" s="9" t="s">
        <v>1616</v>
      </c>
      <c r="D486" s="7">
        <v>475</v>
      </c>
      <c r="E486" s="9" t="s">
        <v>504</v>
      </c>
      <c r="F486" s="7" t="s">
        <v>1378</v>
      </c>
      <c r="G486" s="7">
        <v>63.5</v>
      </c>
      <c r="H486" s="9" t="s">
        <v>505</v>
      </c>
      <c r="I486" s="9" t="s">
        <v>506</v>
      </c>
      <c r="J486" s="7">
        <v>4</v>
      </c>
      <c r="K486" s="7">
        <v>938.72370000000001</v>
      </c>
      <c r="L486" s="7" t="str">
        <f>HYPERLINK("http://ms.phosphosite.org:5080/cgi-bin/plot-msms.cgi?MassType=1&amp;NumAxis=1&amp;Mod28=184&amp;Pep=GPGSGFLHPAAATNANSLNSTFSVLPQRFPQFQQH&amp;Dta=/var/www/html/dta/yong/23616.23258.4.dta&amp;Global_Mod=CS57.0215", "23258")</f>
        <v>23258</v>
      </c>
      <c r="M486" s="7" t="str">
        <f>HYPERLINK("http://ms.phosphosite.org:5080/cgi-bin/plot-msms.cgi?MassType=1&amp;NumAxis=1&amp;Mod28=184&amp;Pep=GPGSGFLHPAAATNANSLNSTFSVLPQRFPQFQQH&amp;Dta=/var/www/html/dta/yong/23617.23474.4.dta&amp;Global_Mod=CS57.0215", "23474")</f>
        <v>23474</v>
      </c>
      <c r="N486" s="10">
        <v>105.15</v>
      </c>
      <c r="O486" s="10">
        <v>105.43</v>
      </c>
      <c r="P486" s="10">
        <v>3.8940000000000001</v>
      </c>
      <c r="Q486" s="10">
        <v>3.88</v>
      </c>
      <c r="R486" s="10">
        <v>1.7645</v>
      </c>
      <c r="S486" s="10">
        <v>1.6495</v>
      </c>
      <c r="T486" s="10">
        <v>0.154</v>
      </c>
      <c r="U486" s="10">
        <v>9.7000000000000003E-2</v>
      </c>
      <c r="V486" s="7">
        <v>3</v>
      </c>
      <c r="W486" s="7">
        <v>1</v>
      </c>
      <c r="X486" s="10">
        <v>1.65</v>
      </c>
      <c r="Y486" s="10">
        <v>1.31</v>
      </c>
      <c r="Z486" s="11">
        <v>1000</v>
      </c>
      <c r="AA486" s="11">
        <v>1000</v>
      </c>
      <c r="AB486" s="7" t="s">
        <v>13</v>
      </c>
    </row>
    <row r="487" spans="1:28" s="12" customFormat="1">
      <c r="A487" s="9" t="s">
        <v>503</v>
      </c>
      <c r="B487" s="9" t="s">
        <v>1615</v>
      </c>
      <c r="C487" s="9" t="s">
        <v>1616</v>
      </c>
      <c r="D487" s="7">
        <v>475</v>
      </c>
      <c r="E487" s="9" t="s">
        <v>504</v>
      </c>
      <c r="F487" s="7" t="s">
        <v>1378</v>
      </c>
      <c r="G487" s="7">
        <v>63.5</v>
      </c>
      <c r="H487" s="9" t="s">
        <v>505</v>
      </c>
      <c r="I487" s="9" t="s">
        <v>506</v>
      </c>
      <c r="J487" s="7">
        <v>4</v>
      </c>
      <c r="K487" s="7">
        <v>938.72370000000001</v>
      </c>
      <c r="L487" s="7" t="str">
        <f>HYPERLINK("http://ms.phosphosite.org:5080/cgi-bin/plot-msms.cgi?MassType=1&amp;NumAxis=1&amp;Mod28=184&amp;Pep=GPGSGFLHPAAATNANSLNSTFSVLPQRFPQFQQH&amp;Dta=/var/www/html/dta/yong/23616.23277.4.dta&amp;Global_Mod=CS57.0215", "23277")</f>
        <v>23277</v>
      </c>
      <c r="M487" s="7" t="str">
        <f>HYPERLINK("http://ms.phosphosite.org:5080/cgi-bin/plot-msms.cgi?MassType=1&amp;NumAxis=1&amp;Mod28=184&amp;Pep=GPGSGFLHPAAATNANSLNSTFSVLPQRFPQFQQH&amp;Dta=/var/www/html/dta/yong/23617.23393.4.dta&amp;Global_Mod=CS57.0215", "23393")</f>
        <v>23393</v>
      </c>
      <c r="N487" s="10">
        <v>105.23</v>
      </c>
      <c r="O487" s="10">
        <v>105.1</v>
      </c>
      <c r="P487" s="10">
        <v>4.2830000000000004</v>
      </c>
      <c r="Q487" s="10">
        <v>3.54</v>
      </c>
      <c r="R487" s="10">
        <v>1.7645</v>
      </c>
      <c r="S487" s="10">
        <v>1.7869999999999999</v>
      </c>
      <c r="T487" s="10">
        <v>0.1555</v>
      </c>
      <c r="U487" s="10">
        <v>9.9099999999999994E-2</v>
      </c>
      <c r="V487" s="7">
        <v>1</v>
      </c>
      <c r="W487" s="7">
        <v>1</v>
      </c>
      <c r="X487" s="10">
        <v>1.78</v>
      </c>
      <c r="Y487" s="10">
        <v>1.21</v>
      </c>
      <c r="Z487" s="11">
        <v>1000</v>
      </c>
      <c r="AA487" s="11">
        <v>1000</v>
      </c>
      <c r="AB487" s="7" t="s">
        <v>13</v>
      </c>
    </row>
    <row r="488" spans="1:28" s="12" customFormat="1">
      <c r="A488" s="9" t="s">
        <v>503</v>
      </c>
      <c r="B488" s="9" t="s">
        <v>1615</v>
      </c>
      <c r="C488" s="9" t="s">
        <v>1616</v>
      </c>
      <c r="D488" s="7">
        <v>475</v>
      </c>
      <c r="E488" s="9" t="s">
        <v>504</v>
      </c>
      <c r="F488" s="7" t="s">
        <v>1378</v>
      </c>
      <c r="G488" s="7">
        <v>63.5</v>
      </c>
      <c r="H488" s="9" t="s">
        <v>505</v>
      </c>
      <c r="I488" s="9" t="s">
        <v>506</v>
      </c>
      <c r="J488" s="7">
        <v>4</v>
      </c>
      <c r="K488" s="7">
        <v>938.72370000000001</v>
      </c>
      <c r="L488" s="7" t="str">
        <f>HYPERLINK("http://ms.phosphosite.org:5080/cgi-bin/plot-msms.cgi?MassType=1&amp;NumAxis=1&amp;Mod28=184&amp;Pep=GPGSGFLHPAAATNANSLNSTFSVLPQRFPQFQQH&amp;Dta=/var/www/html/dta/yong/23616.23294.4.dta&amp;Global_Mod=CS57.0215", "23294")</f>
        <v>23294</v>
      </c>
      <c r="M488" s="7" t="str">
        <f>HYPERLINK("http://ms.phosphosite.org:5080/cgi-bin/plot-msms.cgi?MassType=1&amp;NumAxis=1&amp;Mod28=184&amp;Pep=GPGSGFLHPAAATNANSLNSTFSVLPQRFPQFQQH&amp;Dta=/var/www/html/dta/yong/23617.23413.4.dta&amp;Global_Mod=CS57.0215", "23413")</f>
        <v>23413</v>
      </c>
      <c r="N488" s="10">
        <v>105.3</v>
      </c>
      <c r="O488" s="10">
        <v>105.19</v>
      </c>
      <c r="P488" s="10">
        <v>4.4180000000000001</v>
      </c>
      <c r="Q488" s="10">
        <v>4.2560000000000002</v>
      </c>
      <c r="R488" s="10">
        <v>1.7645</v>
      </c>
      <c r="S488" s="10">
        <v>1.7869999999999999</v>
      </c>
      <c r="T488" s="10">
        <v>0.13189999999999999</v>
      </c>
      <c r="U488" s="10">
        <v>7.7499999999999999E-2</v>
      </c>
      <c r="V488" s="7">
        <v>1</v>
      </c>
      <c r="W488" s="7">
        <v>1</v>
      </c>
      <c r="X488" s="10">
        <v>1.68</v>
      </c>
      <c r="Y488" s="10">
        <v>1.31</v>
      </c>
      <c r="Z488" s="11">
        <v>1000</v>
      </c>
      <c r="AA488" s="11">
        <v>1000</v>
      </c>
      <c r="AB488" s="7" t="s">
        <v>13</v>
      </c>
    </row>
    <row r="489" spans="1:28">
      <c r="A489" s="3" t="s">
        <v>503</v>
      </c>
      <c r="B489" s="3" t="s">
        <v>1617</v>
      </c>
      <c r="C489" s="3" t="s">
        <v>1617</v>
      </c>
      <c r="D489" s="4" t="s">
        <v>1782</v>
      </c>
      <c r="E489" s="3" t="s">
        <v>507</v>
      </c>
      <c r="F489" s="7" t="s">
        <v>1379</v>
      </c>
      <c r="G489" s="4">
        <v>67.2</v>
      </c>
      <c r="H489" s="3" t="s">
        <v>508</v>
      </c>
      <c r="I489" s="3" t="s">
        <v>509</v>
      </c>
      <c r="J489" s="4">
        <v>4</v>
      </c>
      <c r="K489" s="4">
        <v>798.91920000000005</v>
      </c>
      <c r="L489" s="4" t="str">
        <f>HYPERLINK("http://ms.phosphosite.org:5080/cgi-bin/plot-msms.cgi?MassType=1&amp;NumAxis=1&amp;Mod4=184&amp;Mod25=184&amp;Pep=SAPRLNTTNAWGAAPPSLGSQPLYRSSLSH&amp;Dta=/var/www/html/dta/yong/23616.17350.4.dta&amp;Global_Mod=CS57.0215", "17350")</f>
        <v>17350</v>
      </c>
      <c r="M489" s="4"/>
      <c r="N489" s="5">
        <v>80.61</v>
      </c>
      <c r="O489" s="5"/>
      <c r="P489" s="5">
        <v>3.1720000000000002</v>
      </c>
      <c r="Q489" s="5"/>
      <c r="R489" s="5">
        <v>0.9335</v>
      </c>
      <c r="S489" s="5"/>
      <c r="T489" s="5">
        <v>0.1482</v>
      </c>
      <c r="U489" s="5"/>
      <c r="V489" s="4">
        <v>1</v>
      </c>
      <c r="W489" s="4"/>
      <c r="X489" s="5">
        <v>1.19</v>
      </c>
      <c r="Y489" s="5"/>
      <c r="Z489" s="6" t="s">
        <v>1306</v>
      </c>
      <c r="AA489" s="6"/>
      <c r="AB489" s="4" t="s">
        <v>13</v>
      </c>
    </row>
    <row r="490" spans="1:28">
      <c r="A490" s="3" t="s">
        <v>503</v>
      </c>
      <c r="B490" s="3" t="s">
        <v>510</v>
      </c>
      <c r="C490" s="3" t="s">
        <v>510</v>
      </c>
      <c r="D490" s="4" t="s">
        <v>511</v>
      </c>
      <c r="E490" s="3" t="s">
        <v>512</v>
      </c>
      <c r="F490" s="7" t="s">
        <v>1380</v>
      </c>
      <c r="G490" s="4">
        <v>138.5</v>
      </c>
      <c r="H490" s="3" t="s">
        <v>513</v>
      </c>
      <c r="I490" s="3" t="s">
        <v>514</v>
      </c>
      <c r="J490" s="4">
        <v>4</v>
      </c>
      <c r="K490" s="4">
        <v>954.00300000000004</v>
      </c>
      <c r="L490" s="4"/>
      <c r="M490" s="4" t="str">
        <f>HYPERLINK("http://ms.phosphosite.org:5080/cgi-bin/plot-msms.cgi?MassType=1&amp;NumAxis=1&amp;Mod5=184&amp;Mod13=147&amp;Mod28=184&amp;Mod32=147&amp;Pep=ESFFRPILTVPQMPAVCPGVVSATGQPRAPLMTGI&amp;Dta=/var/www/html/dta/yong/23617.25186.4.dta&amp;Global_Mod=CS57.0215", "25186")</f>
        <v>25186</v>
      </c>
      <c r="N490" s="5"/>
      <c r="O490" s="5">
        <v>112.34</v>
      </c>
      <c r="P490" s="5"/>
      <c r="Q490" s="5">
        <v>3.93</v>
      </c>
      <c r="R490" s="5"/>
      <c r="S490" s="5">
        <v>0.44469999999999998</v>
      </c>
      <c r="T490" s="5"/>
      <c r="U490" s="5">
        <v>0.28810000000000002</v>
      </c>
      <c r="V490" s="4"/>
      <c r="W490" s="4">
        <v>108</v>
      </c>
      <c r="X490" s="5"/>
      <c r="Y490" s="5">
        <v>2.29</v>
      </c>
      <c r="Z490" s="6"/>
      <c r="AA490" s="6" t="s">
        <v>1306</v>
      </c>
      <c r="AB490" s="4" t="s">
        <v>13</v>
      </c>
    </row>
    <row r="491" spans="1:28">
      <c r="A491" s="3" t="s">
        <v>503</v>
      </c>
      <c r="B491" s="3" t="s">
        <v>1618</v>
      </c>
      <c r="C491" s="3" t="s">
        <v>1619</v>
      </c>
      <c r="D491" s="4">
        <v>683</v>
      </c>
      <c r="E491" s="3" t="s">
        <v>515</v>
      </c>
      <c r="F491" s="7" t="s">
        <v>1381</v>
      </c>
      <c r="G491" s="4">
        <v>148.4</v>
      </c>
      <c r="H491" s="3" t="s">
        <v>516</v>
      </c>
      <c r="I491" s="3" t="s">
        <v>517</v>
      </c>
      <c r="J491" s="4">
        <v>2</v>
      </c>
      <c r="K491" s="4">
        <v>539.30619999999999</v>
      </c>
      <c r="L491" s="4"/>
      <c r="M491" s="4" t="str">
        <f>HYPERLINK("http://ms.phosphosite.org:5080/cgi-bin/plot-msms.cgi?MassType=1&amp;NumAxis=1&amp;Mod3=184&amp;Pep=ANRFLSTAAV&amp;Dta=/var/www/html/dta/yong/23617.12505.2.dta&amp;Global_Mod=CS57.0215", "12505")</f>
        <v>12505</v>
      </c>
      <c r="N491" s="5"/>
      <c r="O491" s="5">
        <v>59.27</v>
      </c>
      <c r="P491" s="5"/>
      <c r="Q491" s="5">
        <v>2.319</v>
      </c>
      <c r="R491" s="5"/>
      <c r="S491" s="5">
        <v>7.7600000000000002E-2</v>
      </c>
      <c r="T491" s="5"/>
      <c r="U491" s="5">
        <v>0.15260000000000001</v>
      </c>
      <c r="V491" s="4"/>
      <c r="W491" s="4">
        <v>9</v>
      </c>
      <c r="X491" s="5"/>
      <c r="Y491" s="5">
        <v>1.36</v>
      </c>
      <c r="Z491" s="6"/>
      <c r="AA491" s="6">
        <v>1000</v>
      </c>
      <c r="AB491" s="4" t="s">
        <v>13</v>
      </c>
    </row>
    <row r="492" spans="1:28" s="13" customFormat="1">
      <c r="A492" s="13" t="s">
        <v>518</v>
      </c>
      <c r="B492" s="13" t="s">
        <v>519</v>
      </c>
      <c r="C492" s="13" t="s">
        <v>520</v>
      </c>
      <c r="D492" s="15"/>
      <c r="E492" s="13" t="s">
        <v>521</v>
      </c>
      <c r="F492" s="15" t="s">
        <v>520</v>
      </c>
      <c r="G492" s="15">
        <v>13.4</v>
      </c>
      <c r="I492" s="13" t="s">
        <v>522</v>
      </c>
      <c r="J492" s="15">
        <v>4</v>
      </c>
      <c r="K492" s="15">
        <v>850.90570000000002</v>
      </c>
      <c r="L492" s="15" t="str">
        <f>HYPERLINK("http://ms.phosphosite.org:5080/cgi-bin/plot-msms.cgi?MassType=1&amp;NumAxis=1&amp;Mod12=170&amp;Pep=DADDQLPCGEGRPGWVRGELLGSQGVCKDSK&amp;Dta=/var/www/html/dta/yong/23616.24817.4.dta&amp;Global_Mod=CS57.0215", "24817")</f>
        <v>24817</v>
      </c>
      <c r="M492" s="15"/>
      <c r="N492" s="16">
        <v>111.42</v>
      </c>
      <c r="O492" s="16"/>
      <c r="P492" s="16">
        <v>3.375</v>
      </c>
      <c r="Q492" s="16"/>
      <c r="R492" s="16">
        <v>-1.3263</v>
      </c>
      <c r="S492" s="16"/>
      <c r="T492" s="16">
        <v>0.1605</v>
      </c>
      <c r="U492" s="16"/>
      <c r="V492" s="15">
        <v>311</v>
      </c>
      <c r="W492" s="15"/>
      <c r="X492" s="16">
        <v>1.1100000000000001</v>
      </c>
      <c r="Y492" s="16"/>
      <c r="Z492" s="17">
        <v>10</v>
      </c>
      <c r="AA492" s="17"/>
      <c r="AB492" s="15" t="s">
        <v>13</v>
      </c>
    </row>
    <row r="493" spans="1:28" s="12" customFormat="1">
      <c r="A493" s="9" t="s">
        <v>518</v>
      </c>
      <c r="B493" s="9" t="s">
        <v>1620</v>
      </c>
      <c r="C493" s="9" t="s">
        <v>1621</v>
      </c>
      <c r="D493" s="7" t="s">
        <v>1783</v>
      </c>
      <c r="E493" s="9" t="s">
        <v>523</v>
      </c>
      <c r="F493" s="7" t="s">
        <v>1382</v>
      </c>
      <c r="G493" s="7">
        <v>90.9</v>
      </c>
      <c r="H493" s="9" t="s">
        <v>524</v>
      </c>
      <c r="I493" s="9" t="s">
        <v>525</v>
      </c>
      <c r="J493" s="7">
        <v>4</v>
      </c>
      <c r="K493" s="7">
        <v>1285.1622</v>
      </c>
      <c r="L493" s="7" t="str">
        <f>HYPERLINK("http://ms.phosphosite.org:5080/cgi-bin/plot-msms.cgi?MassType=1&amp;NumAxis=1&amp;Mod37=184&amp;Mod46=184&amp;Pep=NDTKDDLGNLNVPDSSLPAENEATGPGFVPPPLAPIRGPLFPVDARGPF&amp;Dta=/var/www/html/dta/yong/23616.29138.4.dta&amp;Global_Mod=CS57.0215", "29138")</f>
        <v>29138</v>
      </c>
      <c r="M493" s="7" t="str">
        <f>HYPERLINK("http://ms.phosphosite.org:5080/cgi-bin/plot-msms.cgi?MassType=1&amp;NumAxis=1&amp;Mod37=184&amp;Mod46=184&amp;Pep=NDTKDDLGNLNVPDSSLPAENEATGPGFVPPPLAPIRGPLFPVDARGPF&amp;Dta=/var/www/html/dta/yong/23617.29163.4.dta&amp;Global_Mod=CS57.0215", "29163")</f>
        <v>29163</v>
      </c>
      <c r="N493" s="10">
        <v>130.63999999999999</v>
      </c>
      <c r="O493" s="10">
        <v>130.4</v>
      </c>
      <c r="P493" s="10">
        <v>3.734</v>
      </c>
      <c r="Q493" s="10">
        <v>4.4130000000000003</v>
      </c>
      <c r="R493" s="10">
        <v>1.3531</v>
      </c>
      <c r="S493" s="10">
        <v>3.6438999999999999</v>
      </c>
      <c r="T493" s="10">
        <v>0.14910000000000001</v>
      </c>
      <c r="U493" s="10">
        <v>0.29089999999999999</v>
      </c>
      <c r="V493" s="7">
        <v>1</v>
      </c>
      <c r="W493" s="7">
        <v>1</v>
      </c>
      <c r="X493" s="10">
        <v>1.1599999999999999</v>
      </c>
      <c r="Y493" s="10">
        <v>2.1</v>
      </c>
      <c r="Z493" s="11" t="s">
        <v>1306</v>
      </c>
      <c r="AA493" s="11" t="s">
        <v>1306</v>
      </c>
      <c r="AB493" s="7" t="s">
        <v>13</v>
      </c>
    </row>
    <row r="494" spans="1:28" s="12" customFormat="1">
      <c r="A494" s="9" t="s">
        <v>518</v>
      </c>
      <c r="B494" s="9" t="s">
        <v>1620</v>
      </c>
      <c r="C494" s="9" t="s">
        <v>1621</v>
      </c>
      <c r="D494" s="7" t="s">
        <v>1783</v>
      </c>
      <c r="E494" s="9" t="s">
        <v>523</v>
      </c>
      <c r="F494" s="7" t="s">
        <v>1382</v>
      </c>
      <c r="G494" s="7">
        <v>90.9</v>
      </c>
      <c r="H494" s="9" t="s">
        <v>524</v>
      </c>
      <c r="I494" s="9" t="s">
        <v>525</v>
      </c>
      <c r="J494" s="7">
        <v>4</v>
      </c>
      <c r="K494" s="7">
        <v>1285.1622</v>
      </c>
      <c r="L494" s="7"/>
      <c r="M494" s="7" t="str">
        <f>HYPERLINK("http://ms.phosphosite.org:5080/cgi-bin/plot-msms.cgi?MassType=1&amp;NumAxis=1&amp;Mod37=184&amp;Mod46=184&amp;Pep=NDTKDDLGNLNVPDSSLPAENEATGPGFVPPPLAPIRGPLFPVDARGPF&amp;Dta=/var/www/html/dta/yong/23617.29196.4.dta&amp;Global_Mod=CS57.0215", "29196")</f>
        <v>29196</v>
      </c>
      <c r="N494" s="10"/>
      <c r="O494" s="10">
        <v>130.54</v>
      </c>
      <c r="P494" s="10"/>
      <c r="Q494" s="10">
        <v>3.8090000000000002</v>
      </c>
      <c r="R494" s="10"/>
      <c r="S494" s="10">
        <v>3.7389999999999999</v>
      </c>
      <c r="T494" s="10"/>
      <c r="U494" s="10">
        <v>0.1472</v>
      </c>
      <c r="V494" s="7"/>
      <c r="W494" s="7">
        <v>1</v>
      </c>
      <c r="X494" s="10"/>
      <c r="Y494" s="10">
        <v>1.1000000000000001</v>
      </c>
      <c r="Z494" s="11"/>
      <c r="AA494" s="11" t="s">
        <v>1306</v>
      </c>
      <c r="AB494" s="7" t="s">
        <v>13</v>
      </c>
    </row>
    <row r="495" spans="1:28" s="13" customFormat="1">
      <c r="A495" s="3" t="s">
        <v>518</v>
      </c>
      <c r="B495" s="9" t="s">
        <v>1620</v>
      </c>
      <c r="C495" s="9" t="s">
        <v>1621</v>
      </c>
      <c r="D495" s="4" t="s">
        <v>1784</v>
      </c>
      <c r="E495" s="3" t="s">
        <v>523</v>
      </c>
      <c r="F495" s="7" t="s">
        <v>1382</v>
      </c>
      <c r="G495" s="4">
        <v>90.9</v>
      </c>
      <c r="H495" s="3" t="s">
        <v>524</v>
      </c>
      <c r="I495" s="3" t="s">
        <v>526</v>
      </c>
      <c r="J495" s="4">
        <v>5</v>
      </c>
      <c r="K495" s="4">
        <v>1082.1682000000001</v>
      </c>
      <c r="L495" s="4" t="str">
        <f>HYPERLINK("http://ms.phosphosite.org:5080/cgi-bin/plot-msms.cgi?MassType=1&amp;NumAxis=1&amp;Mod37=184&amp;Mod51=184&amp;Pep=NDTKDDLGNLNVPDSSLPAENEATGPGFVPPPLAPIRGPLFPVDARGPFLR&amp;Dta=/var/www/html/dta/yong/23616.27678.5.dta&amp;Global_Mod=CS57.0215", "27678")</f>
        <v>27678</v>
      </c>
      <c r="M495" s="4"/>
      <c r="N495" s="5">
        <v>123.86</v>
      </c>
      <c r="O495" s="5"/>
      <c r="P495" s="5">
        <v>3.4049999999999998</v>
      </c>
      <c r="Q495" s="5"/>
      <c r="R495" s="5">
        <v>2.2357</v>
      </c>
      <c r="S495" s="5"/>
      <c r="T495" s="5">
        <v>0.18920000000000001</v>
      </c>
      <c r="U495" s="5"/>
      <c r="V495" s="4">
        <v>1</v>
      </c>
      <c r="W495" s="4"/>
      <c r="X495" s="5">
        <v>1.25</v>
      </c>
      <c r="Y495" s="5"/>
      <c r="Z495" s="6" t="s">
        <v>1306</v>
      </c>
      <c r="AA495" s="6"/>
      <c r="AB495" s="4" t="s">
        <v>13</v>
      </c>
    </row>
    <row r="496" spans="1:28" s="12" customFormat="1">
      <c r="A496" s="9" t="s">
        <v>518</v>
      </c>
      <c r="B496" s="9" t="s">
        <v>1620</v>
      </c>
      <c r="C496" s="9" t="s">
        <v>1621</v>
      </c>
      <c r="D496" s="7">
        <v>709</v>
      </c>
      <c r="E496" s="9" t="s">
        <v>523</v>
      </c>
      <c r="F496" s="7" t="s">
        <v>1382</v>
      </c>
      <c r="G496" s="7">
        <v>90.9</v>
      </c>
      <c r="H496" s="9" t="s">
        <v>527</v>
      </c>
      <c r="I496" s="9" t="s">
        <v>529</v>
      </c>
      <c r="J496" s="7">
        <v>4</v>
      </c>
      <c r="K496" s="7">
        <v>1281.6583000000001</v>
      </c>
      <c r="L496" s="7" t="str">
        <f>HYPERLINK("http://ms.phosphosite.org:5080/cgi-bin/plot-msms.cgi?MassType=1&amp;NumAxis=1&amp;Mod37=170&amp;Mod46=184&amp;Pep=NDTKDDLGNLNVPDSSLPAENEATGPGFVPPPLAPIRGPLFPVDARGPF&amp;Dta=/var/www/html/dta/yong/23616.28318.4.dta&amp;Global_Mod=CS57.0215", "28318")</f>
        <v>28318</v>
      </c>
      <c r="M496" s="7" t="str">
        <f>HYPERLINK("http://ms.phosphosite.org:5080/cgi-bin/plot-msms.cgi?MassType=1&amp;NumAxis=1&amp;Mod37=170&amp;Mod46=184&amp;Pep=NDTKDDLGNLNVPDSSLPAENEATGPGFVPPPLAPIRGPLFPVDARGPF&amp;Dta=/var/www/html/dta/yong/23617.28417.4.dta&amp;Global_Mod=CS57.0215", "28417")</f>
        <v>28417</v>
      </c>
      <c r="N496" s="10">
        <v>126.77</v>
      </c>
      <c r="O496" s="10">
        <v>126.87</v>
      </c>
      <c r="P496" s="10">
        <v>4.4930000000000003</v>
      </c>
      <c r="Q496" s="10">
        <v>5.0510000000000002</v>
      </c>
      <c r="R496" s="10">
        <v>1.8537999999999999</v>
      </c>
      <c r="S496" s="10">
        <v>1.7611000000000001</v>
      </c>
      <c r="T496" s="10">
        <v>0.2019</v>
      </c>
      <c r="U496" s="10">
        <v>0.2477</v>
      </c>
      <c r="V496" s="7">
        <v>55</v>
      </c>
      <c r="W496" s="7">
        <v>1</v>
      </c>
      <c r="X496" s="10">
        <v>1.63</v>
      </c>
      <c r="Y496" s="10">
        <v>2.14</v>
      </c>
      <c r="Z496" s="11" t="s">
        <v>1306</v>
      </c>
      <c r="AA496" s="11" t="s">
        <v>1306</v>
      </c>
      <c r="AB496" s="7" t="s">
        <v>13</v>
      </c>
    </row>
    <row r="497" spans="1:28" s="12" customFormat="1">
      <c r="A497" s="9" t="s">
        <v>518</v>
      </c>
      <c r="B497" s="9" t="s">
        <v>1620</v>
      </c>
      <c r="C497" s="9" t="s">
        <v>1621</v>
      </c>
      <c r="D497" s="7">
        <v>709</v>
      </c>
      <c r="E497" s="9" t="s">
        <v>523</v>
      </c>
      <c r="F497" s="7" t="s">
        <v>1382</v>
      </c>
      <c r="G497" s="7">
        <v>90.9</v>
      </c>
      <c r="H497" s="9" t="s">
        <v>527</v>
      </c>
      <c r="I497" s="9" t="s">
        <v>529</v>
      </c>
      <c r="J497" s="7">
        <v>4</v>
      </c>
      <c r="K497" s="7">
        <v>1281.6583000000001</v>
      </c>
      <c r="L497" s="7" t="str">
        <f>HYPERLINK("http://ms.phosphosite.org:5080/cgi-bin/plot-msms.cgi?MassType=1&amp;NumAxis=1&amp;Mod37=170&amp;Mod46=184&amp;Pep=NDTKDDLGNLNVPDSSLPAENEATGPGFVPPPLAPIRGPLFPVDARGPF&amp;Dta=/var/www/html/dta/yong/23616.28343.4.dta&amp;Global_Mod=CS57.0215", "28343")</f>
        <v>28343</v>
      </c>
      <c r="M497" s="7" t="str">
        <f>HYPERLINK("http://ms.phosphosite.org:5080/cgi-bin/plot-msms.cgi?MassType=1&amp;NumAxis=1&amp;Mod37=170&amp;Mod46=184&amp;Pep=NDTKDDLGNLNVPDSSLPAENEATGPGFVPPPLAPIRGPLFPVDARGPF&amp;Dta=/var/www/html/dta/yong/23617.28400.4.dta&amp;Global_Mod=CS57.0215", "28400")</f>
        <v>28400</v>
      </c>
      <c r="N497" s="10">
        <v>126.89</v>
      </c>
      <c r="O497" s="10">
        <v>126.79</v>
      </c>
      <c r="P497" s="10">
        <v>5.0519999999999996</v>
      </c>
      <c r="Q497" s="10">
        <v>5.2229999999999999</v>
      </c>
      <c r="R497" s="10">
        <v>1.6402000000000001</v>
      </c>
      <c r="S497" s="10">
        <v>2.4201000000000001</v>
      </c>
      <c r="T497" s="10">
        <v>0.25180000000000002</v>
      </c>
      <c r="U497" s="10">
        <v>0.30819999999999997</v>
      </c>
      <c r="V497" s="7">
        <v>1</v>
      </c>
      <c r="W497" s="7">
        <v>2</v>
      </c>
      <c r="X497" s="10">
        <v>2.11</v>
      </c>
      <c r="Y497" s="10">
        <v>2.5099999999999998</v>
      </c>
      <c r="Z497" s="11" t="s">
        <v>1306</v>
      </c>
      <c r="AA497" s="11" t="s">
        <v>1306</v>
      </c>
      <c r="AB497" s="7" t="s">
        <v>13</v>
      </c>
    </row>
    <row r="498" spans="1:28" s="12" customFormat="1">
      <c r="A498" s="9" t="s">
        <v>518</v>
      </c>
      <c r="B498" s="9" t="s">
        <v>1620</v>
      </c>
      <c r="C498" s="9" t="s">
        <v>1621</v>
      </c>
      <c r="D498" s="7">
        <v>709</v>
      </c>
      <c r="E498" s="9" t="s">
        <v>523</v>
      </c>
      <c r="F498" s="7" t="s">
        <v>1382</v>
      </c>
      <c r="G498" s="7">
        <v>90.9</v>
      </c>
      <c r="H498" s="9" t="s">
        <v>527</v>
      </c>
      <c r="I498" s="9" t="s">
        <v>529</v>
      </c>
      <c r="J498" s="7">
        <v>4</v>
      </c>
      <c r="K498" s="7">
        <v>1281.6583000000001</v>
      </c>
      <c r="L498" s="7" t="str">
        <f>HYPERLINK("http://ms.phosphosite.org:5080/cgi-bin/plot-msms.cgi?MassType=1&amp;NumAxis=1&amp;Mod37=170&amp;Mod46=184&amp;Pep=NDTKDDLGNLNVPDSSLPAENEATGPGFVPPPLAPIRGPLFPVDARGPF&amp;Dta=/var/www/html/dta/yong/23616.28359.4.dta&amp;Global_Mod=CS57.0215", "28359")</f>
        <v>28359</v>
      </c>
      <c r="M498" s="7" t="str">
        <f>HYPERLINK("http://ms.phosphosite.org:5080/cgi-bin/plot-msms.cgi?MassType=1&amp;NumAxis=1&amp;Mod37=170&amp;Mod46=184&amp;Pep=NDTKDDLGNLNVPDSSLPAENEATGPGFVPPPLAPIRGPLFPVDARGPF&amp;Dta=/var/www/html/dta/yong/23617.28372.4.dta&amp;Global_Mod=CS57.0215", "28372")</f>
        <v>28372</v>
      </c>
      <c r="N498" s="10">
        <v>126.97</v>
      </c>
      <c r="O498" s="10">
        <v>126.65</v>
      </c>
      <c r="P498" s="10">
        <v>4.34</v>
      </c>
      <c r="Q498" s="10">
        <v>5.2439999999999998</v>
      </c>
      <c r="R498" s="10">
        <v>1.8449</v>
      </c>
      <c r="S498" s="10">
        <v>1.2484</v>
      </c>
      <c r="T498" s="10">
        <v>0.2346</v>
      </c>
      <c r="U498" s="10">
        <v>0.25929999999999997</v>
      </c>
      <c r="V498" s="7">
        <v>1</v>
      </c>
      <c r="W498" s="7">
        <v>1</v>
      </c>
      <c r="X498" s="10">
        <v>1.8</v>
      </c>
      <c r="Y498" s="10">
        <v>2.29</v>
      </c>
      <c r="Z498" s="11" t="s">
        <v>1306</v>
      </c>
      <c r="AA498" s="11" t="s">
        <v>1306</v>
      </c>
      <c r="AB498" s="7" t="s">
        <v>13</v>
      </c>
    </row>
    <row r="499" spans="1:28" s="12" customFormat="1">
      <c r="A499" s="9" t="s">
        <v>518</v>
      </c>
      <c r="B499" s="9" t="s">
        <v>1620</v>
      </c>
      <c r="C499" s="9" t="s">
        <v>1621</v>
      </c>
      <c r="D499" s="7">
        <v>709</v>
      </c>
      <c r="E499" s="9" t="s">
        <v>523</v>
      </c>
      <c r="F499" s="7" t="s">
        <v>1382</v>
      </c>
      <c r="G499" s="7">
        <v>90.9</v>
      </c>
      <c r="H499" s="9" t="s">
        <v>527</v>
      </c>
      <c r="I499" s="9" t="s">
        <v>528</v>
      </c>
      <c r="J499" s="7">
        <v>4</v>
      </c>
      <c r="K499" s="7">
        <v>1234.4014</v>
      </c>
      <c r="L499" s="7"/>
      <c r="M499" s="7" t="str">
        <f>HYPERLINK("http://ms.phosphosite.org:5080/cgi-bin/plot-msms.cgi?MassType=1&amp;NumAxis=1&amp;Mod33=170&amp;Mod42=184&amp;Pep=DDLGNLNVPDSSLPAENEATGPGFVPPPLAPIRGPLFPVDARGPFLR&amp;Dta=/var/www/html/dta/yong/23617.28814.4.dta&amp;Global_Mod=CS57.0215", "28814")</f>
        <v>28814</v>
      </c>
      <c r="N499" s="10"/>
      <c r="O499" s="10">
        <v>128.80000000000001</v>
      </c>
      <c r="P499" s="10"/>
      <c r="Q499" s="10">
        <v>2.9009999999999998</v>
      </c>
      <c r="R499" s="10"/>
      <c r="S499" s="10">
        <v>1.5981000000000001</v>
      </c>
      <c r="T499" s="10"/>
      <c r="U499" s="10">
        <v>0.2054</v>
      </c>
      <c r="V499" s="7"/>
      <c r="W499" s="7">
        <v>2</v>
      </c>
      <c r="X499" s="10"/>
      <c r="Y499" s="10">
        <v>1.45</v>
      </c>
      <c r="Z499" s="11"/>
      <c r="AA499" s="11" t="s">
        <v>1306</v>
      </c>
      <c r="AB499" s="7" t="s">
        <v>13</v>
      </c>
    </row>
    <row r="500" spans="1:28" s="13" customFormat="1">
      <c r="A500" s="3" t="s">
        <v>518</v>
      </c>
      <c r="B500" s="9" t="s">
        <v>1620</v>
      </c>
      <c r="C500" s="9" t="s">
        <v>1621</v>
      </c>
      <c r="D500" s="4" t="s">
        <v>1785</v>
      </c>
      <c r="E500" s="3" t="s">
        <v>523</v>
      </c>
      <c r="F500" s="7" t="s">
        <v>1382</v>
      </c>
      <c r="G500" s="4">
        <v>90.9</v>
      </c>
      <c r="H500" s="3" t="s">
        <v>530</v>
      </c>
      <c r="I500" s="3" t="s">
        <v>531</v>
      </c>
      <c r="J500" s="4">
        <v>5</v>
      </c>
      <c r="K500" s="4">
        <v>726.98469999999998</v>
      </c>
      <c r="L500" s="4"/>
      <c r="M500" s="4" t="str">
        <f>HYPERLINK("http://ms.phosphosite.org:5080/cgi-bin/plot-msms.cgi?MassType=1&amp;NumAxis=1&amp;Mod2=147&amp;Mod3=184&amp;Mod9=184&amp;Mod18=184&amp;Pep=AMRNVYPPRGFPPYLPPRPGFFPPPPHSEGR&amp;Dta=/var/www/html/dta/yong/23617.18270.5.dta&amp;Global_Mod=CS57.0215", "18270")</f>
        <v>18270</v>
      </c>
      <c r="N500" s="5"/>
      <c r="O500" s="5">
        <v>83.65</v>
      </c>
      <c r="P500" s="5"/>
      <c r="Q500" s="5">
        <v>2.887</v>
      </c>
      <c r="R500" s="5"/>
      <c r="S500" s="5">
        <v>1.0105999999999999</v>
      </c>
      <c r="T500" s="5"/>
      <c r="U500" s="5">
        <v>0.21290000000000001</v>
      </c>
      <c r="V500" s="4"/>
      <c r="W500" s="4">
        <v>1</v>
      </c>
      <c r="X500" s="5"/>
      <c r="Y500" s="5">
        <v>1.7</v>
      </c>
      <c r="Z500" s="6"/>
      <c r="AA500" s="6" t="s">
        <v>1307</v>
      </c>
      <c r="AB500" s="4" t="s">
        <v>13</v>
      </c>
    </row>
    <row r="501" spans="1:28">
      <c r="A501" s="13" t="s">
        <v>518</v>
      </c>
      <c r="B501" s="13" t="s">
        <v>532</v>
      </c>
      <c r="C501" s="13" t="s">
        <v>533</v>
      </c>
      <c r="D501" s="15"/>
      <c r="E501" s="13" t="s">
        <v>534</v>
      </c>
      <c r="F501" s="15" t="s">
        <v>1383</v>
      </c>
      <c r="G501" s="15">
        <v>221.9</v>
      </c>
      <c r="H501" s="13"/>
      <c r="I501" s="13" t="s">
        <v>535</v>
      </c>
      <c r="J501" s="15">
        <v>4</v>
      </c>
      <c r="K501" s="15">
        <v>898.98180000000002</v>
      </c>
      <c r="L501" s="15" t="str">
        <f>HYPERLINK("http://ms.phosphosite.org:5080/cgi-bin/plot-msms.cgi?MassType=1&amp;NumAxis=1&amp;Mod6=170&amp;Pep=MRQSVREVLHSDLVMCVVIAVLTFAISASTVF&amp;Dta=/var/www/html/dta/yong/23616.21011.4.dta&amp;Global_Mod=CS57.0215", "21011")</f>
        <v>21011</v>
      </c>
      <c r="M501" s="15"/>
      <c r="N501" s="16">
        <v>96.12</v>
      </c>
      <c r="O501" s="16"/>
      <c r="P501" s="16">
        <v>3.3969999999999998</v>
      </c>
      <c r="Q501" s="16"/>
      <c r="R501" s="16">
        <v>15.146800000000001</v>
      </c>
      <c r="S501" s="16"/>
      <c r="T501" s="16">
        <v>0.26650000000000001</v>
      </c>
      <c r="U501" s="16"/>
      <c r="V501" s="15">
        <v>198</v>
      </c>
      <c r="W501" s="15"/>
      <c r="X501" s="16">
        <v>1.1100000000000001</v>
      </c>
      <c r="Y501" s="16"/>
      <c r="Z501" s="17">
        <v>7</v>
      </c>
      <c r="AA501" s="17"/>
      <c r="AB501" s="15" t="s">
        <v>13</v>
      </c>
    </row>
    <row r="502" spans="1:28">
      <c r="A502" s="3" t="s">
        <v>518</v>
      </c>
      <c r="B502" s="3" t="s">
        <v>1622</v>
      </c>
      <c r="C502" s="3" t="s">
        <v>1623</v>
      </c>
      <c r="D502" s="4">
        <v>132</v>
      </c>
      <c r="E502" s="3" t="s">
        <v>536</v>
      </c>
      <c r="F502" s="7" t="s">
        <v>1384</v>
      </c>
      <c r="G502" s="4">
        <v>55.6</v>
      </c>
      <c r="H502" s="3" t="s">
        <v>537</v>
      </c>
      <c r="I502" s="3" t="s">
        <v>538</v>
      </c>
      <c r="J502" s="4">
        <v>5</v>
      </c>
      <c r="K502" s="4">
        <v>1115.7745</v>
      </c>
      <c r="L502" s="4" t="str">
        <f>HYPERLINK("http://ms.phosphosite.org:5080/cgi-bin/plot-msms.cgi?MassType=1&amp;NumAxis=1&amp;Mod45=184&amp;Pep=FIQYINIYKTVWWYPYNHPASCTSLNFHLIDYHLAAFITVMLARR&amp;Dta=/var/www/html/dta/yong/23616.30278.5.dta&amp;Global_Mod=CS57.0215", "30278")</f>
        <v>30278</v>
      </c>
      <c r="M502" s="4" t="str">
        <f>HYPERLINK("http://ms.phosphosite.org:5080/cgi-bin/plot-msms.cgi?MassType=1&amp;NumAxis=1&amp;Mod45=184&amp;Pep=FIQYINIYKTVWWYPYNHPASCTSLNFHLIDYHLAAFITVMLARR&amp;Dta=/var/www/html/dta/yong/23617.27603.5.dta&amp;Global_Mod=CS57.0215", "27603")</f>
        <v>27603</v>
      </c>
      <c r="N502" s="5">
        <v>136.02000000000001</v>
      </c>
      <c r="O502" s="5">
        <v>123.06</v>
      </c>
      <c r="P502" s="5">
        <v>4.2629999999999999</v>
      </c>
      <c r="Q502" s="5">
        <v>3.472</v>
      </c>
      <c r="R502" s="5">
        <v>6.0544000000000002</v>
      </c>
      <c r="S502" s="5">
        <v>-9.4299999999999995E-2</v>
      </c>
      <c r="T502" s="5">
        <v>0.2177</v>
      </c>
      <c r="U502" s="5">
        <v>0.13500000000000001</v>
      </c>
      <c r="V502" s="4">
        <v>3</v>
      </c>
      <c r="W502" s="4">
        <v>80</v>
      </c>
      <c r="X502" s="5">
        <v>1.5</v>
      </c>
      <c r="Y502" s="5">
        <v>1.05</v>
      </c>
      <c r="Z502" s="6">
        <v>1000</v>
      </c>
      <c r="AA502" s="6">
        <v>1000</v>
      </c>
      <c r="AB502" s="4" t="s">
        <v>13</v>
      </c>
    </row>
    <row r="503" spans="1:28">
      <c r="A503" s="3" t="s">
        <v>518</v>
      </c>
      <c r="B503" s="3" t="s">
        <v>1622</v>
      </c>
      <c r="C503" s="3" t="s">
        <v>1623</v>
      </c>
      <c r="D503" s="4">
        <v>132</v>
      </c>
      <c r="E503" s="3" t="s">
        <v>536</v>
      </c>
      <c r="F503" s="7" t="s">
        <v>1384</v>
      </c>
      <c r="G503" s="4">
        <v>55.6</v>
      </c>
      <c r="H503" s="3" t="s">
        <v>537</v>
      </c>
      <c r="I503" s="3" t="s">
        <v>538</v>
      </c>
      <c r="J503" s="4">
        <v>5</v>
      </c>
      <c r="K503" s="4">
        <v>1115.7745</v>
      </c>
      <c r="L503" s="4" t="str">
        <f>HYPERLINK("http://ms.phosphosite.org:5080/cgi-bin/plot-msms.cgi?MassType=1&amp;NumAxis=1&amp;Mod45=184&amp;Pep=FIQYINIYKTVWWYPYNHPASCTSLNFHLIDYHLAAFITVMLARR&amp;Dta=/var/www/html/dta/yong/23616.30847.5.dta&amp;Global_Mod=CS57.0215", "30847")</f>
        <v>30847</v>
      </c>
      <c r="M503" s="4" t="str">
        <f>HYPERLINK("http://ms.phosphosite.org:5080/cgi-bin/plot-msms.cgi?MassType=1&amp;NumAxis=1&amp;Mod45=184&amp;Pep=FIQYINIYKTVWWYPYNHPASCTSLNFHLIDYHLAAFITVMLARR&amp;Dta=/var/www/html/dta/yong/23617.29756.5.dta&amp;Global_Mod=CS57.0215", "29756")</f>
        <v>29756</v>
      </c>
      <c r="N503" s="5">
        <v>138.69</v>
      </c>
      <c r="O503" s="5">
        <v>133.25</v>
      </c>
      <c r="P503" s="5">
        <v>4.3120000000000003</v>
      </c>
      <c r="Q503" s="5">
        <v>3.7989999999999999</v>
      </c>
      <c r="R503" s="5">
        <v>7.476</v>
      </c>
      <c r="S503" s="5">
        <v>3.4401000000000002</v>
      </c>
      <c r="T503" s="5">
        <v>0.188</v>
      </c>
      <c r="U503" s="5">
        <v>0.1663</v>
      </c>
      <c r="V503" s="4">
        <v>12</v>
      </c>
      <c r="W503" s="4">
        <v>1</v>
      </c>
      <c r="X503" s="5">
        <v>1.28</v>
      </c>
      <c r="Y503" s="5">
        <v>1.23</v>
      </c>
      <c r="Z503" s="6">
        <v>1000</v>
      </c>
      <c r="AA503" s="6">
        <v>1000</v>
      </c>
      <c r="AB503" s="4" t="s">
        <v>13</v>
      </c>
    </row>
    <row r="504" spans="1:28">
      <c r="A504" s="13" t="s">
        <v>518</v>
      </c>
      <c r="B504" s="13" t="s">
        <v>539</v>
      </c>
      <c r="C504" s="13" t="s">
        <v>540</v>
      </c>
      <c r="D504" s="15">
        <v>266</v>
      </c>
      <c r="E504" s="13" t="s">
        <v>541</v>
      </c>
      <c r="F504" s="15" t="s">
        <v>1385</v>
      </c>
      <c r="G504" s="15">
        <v>44.8</v>
      </c>
      <c r="H504" s="13" t="s">
        <v>542</v>
      </c>
      <c r="I504" s="13" t="s">
        <v>543</v>
      </c>
      <c r="J504" s="15">
        <v>3</v>
      </c>
      <c r="K504" s="15">
        <v>1042.5545</v>
      </c>
      <c r="L504" s="15"/>
      <c r="M504" s="15" t="str">
        <f>HYPERLINK("http://ms.phosphosite.org:5080/cgi-bin/plot-msms.cgi?MassType=1&amp;NumAxis=1&amp;Mod1=170&amp;Mod27=184&amp;Pep=RVSFSYAGLSGDDPDLGPAHVVTVIARQR&amp;Dta=/var/www/html/dta/yong/23617.30605.3.dta&amp;Global_Mod=CS57.0215", "30605")</f>
        <v>30605</v>
      </c>
      <c r="N504" s="16"/>
      <c r="O504" s="16">
        <v>137.27000000000001</v>
      </c>
      <c r="P504" s="16"/>
      <c r="Q504" s="16">
        <v>2.5670000000000002</v>
      </c>
      <c r="R504" s="16"/>
      <c r="S504" s="16">
        <v>-2.0701000000000001</v>
      </c>
      <c r="T504" s="16"/>
      <c r="U504" s="16">
        <v>0.1905</v>
      </c>
      <c r="V504" s="15"/>
      <c r="W504" s="15">
        <v>9</v>
      </c>
      <c r="X504" s="16"/>
      <c r="Y504" s="16">
        <v>1.1299999999999999</v>
      </c>
      <c r="Z504" s="17"/>
      <c r="AA504" s="17" t="s">
        <v>1306</v>
      </c>
      <c r="AB504" s="15" t="s">
        <v>13</v>
      </c>
    </row>
    <row r="505" spans="1:28" s="12" customFormat="1">
      <c r="A505" s="9" t="s">
        <v>544</v>
      </c>
      <c r="B505" s="9" t="s">
        <v>1624</v>
      </c>
      <c r="C505" s="9" t="s">
        <v>1625</v>
      </c>
      <c r="D505" s="7" t="s">
        <v>1786</v>
      </c>
      <c r="E505" s="9" t="s">
        <v>545</v>
      </c>
      <c r="F505" s="7" t="s">
        <v>1386</v>
      </c>
      <c r="G505" s="7">
        <v>541</v>
      </c>
      <c r="H505" s="9" t="s">
        <v>548</v>
      </c>
      <c r="I505" s="9" t="s">
        <v>549</v>
      </c>
      <c r="J505" s="7">
        <v>3</v>
      </c>
      <c r="K505" s="7">
        <v>636.71209999999996</v>
      </c>
      <c r="L505" s="7" t="str">
        <f>HYPERLINK("http://ms.phosphosite.org:5080/cgi-bin/plot-msms.cgi?MassType=1&amp;NumAxis=1&amp;Mod1=184&amp;Mod11=184&amp;Pep=RSPVAPPLGPRYAVFPK&amp;Dta=/var/www/html/dta/yong/23616.13877.3.dta&amp;Global_Mod=CS57.0215", "13877")</f>
        <v>13877</v>
      </c>
      <c r="M505" s="7" t="str">
        <f>HYPERLINK("http://ms.phosphosite.org:5080/cgi-bin/plot-msms.cgi?MassType=1&amp;NumAxis=1&amp;Mod1=184&amp;Mod11=184&amp;Pep=RSPVAPPLGPRYAVFPK&amp;Dta=/var/www/html/dta/yong/23617.14031.3.dta&amp;Global_Mod=CS57.0215", "14031")</f>
        <v>14031</v>
      </c>
      <c r="N505" s="10">
        <v>65.819999999999993</v>
      </c>
      <c r="O505" s="10">
        <v>65.760000000000005</v>
      </c>
      <c r="P505" s="10">
        <v>2.4809999999999999</v>
      </c>
      <c r="Q505" s="10">
        <v>2.2970000000000002</v>
      </c>
      <c r="R505" s="10">
        <v>0.97130000000000005</v>
      </c>
      <c r="S505" s="10">
        <v>0.35899999999999999</v>
      </c>
      <c r="T505" s="10">
        <v>0.16420000000000001</v>
      </c>
      <c r="U505" s="10">
        <v>0.16439999999999999</v>
      </c>
      <c r="V505" s="7">
        <v>1</v>
      </c>
      <c r="W505" s="7">
        <v>47</v>
      </c>
      <c r="X505" s="10">
        <v>1.2</v>
      </c>
      <c r="Y505" s="10">
        <v>1.1399999999999999</v>
      </c>
      <c r="Z505" s="11" t="s">
        <v>1306</v>
      </c>
      <c r="AA505" s="11" t="s">
        <v>1306</v>
      </c>
      <c r="AB505" s="7" t="s">
        <v>13</v>
      </c>
    </row>
    <row r="506" spans="1:28">
      <c r="A506" s="3" t="s">
        <v>544</v>
      </c>
      <c r="B506" s="9" t="s">
        <v>1624</v>
      </c>
      <c r="C506" s="9" t="s">
        <v>1625</v>
      </c>
      <c r="D506" s="4" t="s">
        <v>1787</v>
      </c>
      <c r="E506" s="3" t="s">
        <v>545</v>
      </c>
      <c r="F506" s="7" t="s">
        <v>1386</v>
      </c>
      <c r="G506" s="4">
        <v>541</v>
      </c>
      <c r="H506" s="3" t="s">
        <v>546</v>
      </c>
      <c r="I506" s="3" t="s">
        <v>547</v>
      </c>
      <c r="J506" s="4">
        <v>4</v>
      </c>
      <c r="K506" s="4">
        <v>782.19979999999998</v>
      </c>
      <c r="L506" s="4" t="str">
        <f>HYPERLINK("http://ms.phosphosite.org:5080/cgi-bin/plot-msms.cgi?MassType=1&amp;NumAxis=1&amp;Mod2=184&amp;Mod12=184&amp;Mod22=184&amp;Pep=TRPPPPYPGNIRSPVAPPLGPRYAVFPK&amp;Dta=/var/www/html/dta/yong/23616.17074.4.dta&amp;Global_Mod=CS57.0215", "17074")</f>
        <v>17074</v>
      </c>
      <c r="M506" s="4"/>
      <c r="N506" s="5">
        <v>79.48</v>
      </c>
      <c r="O506" s="5"/>
      <c r="P506" s="5">
        <v>2.859</v>
      </c>
      <c r="Q506" s="5"/>
      <c r="R506" s="5">
        <v>-1.15E-2</v>
      </c>
      <c r="S506" s="5"/>
      <c r="T506" s="5">
        <v>0.157</v>
      </c>
      <c r="U506" s="5"/>
      <c r="V506" s="4">
        <v>9</v>
      </c>
      <c r="W506" s="4"/>
      <c r="X506" s="5">
        <v>1.18</v>
      </c>
      <c r="Y506" s="5"/>
      <c r="Z506" s="6" t="s">
        <v>1307</v>
      </c>
      <c r="AA506" s="6"/>
      <c r="AB506" s="4" t="s">
        <v>13</v>
      </c>
    </row>
    <row r="507" spans="1:28" s="18" customFormat="1">
      <c r="A507" s="18" t="s">
        <v>544</v>
      </c>
      <c r="B507" s="18" t="s">
        <v>1626</v>
      </c>
      <c r="C507" s="18" t="s">
        <v>1627</v>
      </c>
      <c r="D507" s="19"/>
      <c r="E507" s="18" t="s">
        <v>550</v>
      </c>
      <c r="F507" s="15" t="s">
        <v>1387</v>
      </c>
      <c r="G507" s="19">
        <v>86.4</v>
      </c>
      <c r="I507" s="18" t="s">
        <v>551</v>
      </c>
      <c r="J507" s="19">
        <v>4</v>
      </c>
      <c r="K507" s="19">
        <v>1087.2719</v>
      </c>
      <c r="L507" s="19" t="str">
        <f>HYPERLINK("http://ms.phosphosite.org:5080/cgi-bin/plot-msms.cgi?MassType=1&amp;NumAxis=1&amp;Mod20=170&amp;Mod23=147&amp;Mod35=147&amp;Pep=DGQWFTDWDAVPHSRHTQIRPTMFPPKDPEKLQAMH&amp;Dta=/var/www/html/dta/yong/23616.21607.4.dta&amp;Global_Mod=CS57.0215", "21607")</f>
        <v>21607</v>
      </c>
      <c r="M507" s="19"/>
      <c r="N507" s="20">
        <v>98.52</v>
      </c>
      <c r="O507" s="20"/>
      <c r="P507" s="20">
        <v>3.754</v>
      </c>
      <c r="Q507" s="20"/>
      <c r="R507" s="20">
        <v>2.8513000000000002</v>
      </c>
      <c r="S507" s="20"/>
      <c r="T507" s="20">
        <v>0.18790000000000001</v>
      </c>
      <c r="U507" s="20"/>
      <c r="V507" s="19">
        <v>415</v>
      </c>
      <c r="W507" s="19"/>
      <c r="X507" s="20">
        <v>1.1000000000000001</v>
      </c>
      <c r="Y507" s="20"/>
      <c r="Z507" s="21">
        <v>14</v>
      </c>
      <c r="AA507" s="21"/>
      <c r="AB507" s="19" t="s">
        <v>13</v>
      </c>
    </row>
    <row r="508" spans="1:28" s="18" customFormat="1">
      <c r="A508" s="18" t="s">
        <v>552</v>
      </c>
      <c r="B508" s="18" t="s">
        <v>1628</v>
      </c>
      <c r="C508" s="18" t="s">
        <v>1629</v>
      </c>
      <c r="D508" s="19"/>
      <c r="E508" s="18" t="s">
        <v>553</v>
      </c>
      <c r="F508" s="15" t="s">
        <v>1388</v>
      </c>
      <c r="G508" s="19">
        <v>511.6</v>
      </c>
      <c r="I508" s="18" t="s">
        <v>554</v>
      </c>
      <c r="J508" s="19">
        <v>2</v>
      </c>
      <c r="K508" s="19">
        <v>1081.0641000000001</v>
      </c>
      <c r="L508" s="19"/>
      <c r="M508" s="19" t="str">
        <f>HYPERLINK("http://ms.phosphosite.org:5080/cgi-bin/plot-msms.cgi?MassType=1&amp;NumAxis=1&amp;Mod5=170&amp;Pep=EILERVTDEFNIPELMAK&amp;Dta=/var/www/html/dta/yong/23617.20029.2.dta&amp;Global_Mod=CS57.0215", "20029")</f>
        <v>20029</v>
      </c>
      <c r="N508" s="20"/>
      <c r="O508" s="20">
        <v>91.26</v>
      </c>
      <c r="P508" s="20"/>
      <c r="Q508" s="20">
        <v>3.2679999999999998</v>
      </c>
      <c r="R508" s="20"/>
      <c r="S508" s="20">
        <v>12.266500000000001</v>
      </c>
      <c r="T508" s="20"/>
      <c r="U508" s="20">
        <v>0.219</v>
      </c>
      <c r="V508" s="19"/>
      <c r="W508" s="19">
        <v>4</v>
      </c>
      <c r="X508" s="20"/>
      <c r="Y508" s="20">
        <v>1.33</v>
      </c>
      <c r="Z508" s="21"/>
      <c r="AA508" s="21">
        <v>1000</v>
      </c>
      <c r="AB508" s="19" t="s">
        <v>13</v>
      </c>
    </row>
    <row r="509" spans="1:28" s="13" customFormat="1">
      <c r="A509" s="13" t="s">
        <v>1520</v>
      </c>
      <c r="B509" s="13" t="s">
        <v>559</v>
      </c>
      <c r="C509" s="13" t="s">
        <v>559</v>
      </c>
      <c r="D509" s="15">
        <v>358</v>
      </c>
      <c r="E509" s="13" t="s">
        <v>560</v>
      </c>
      <c r="F509" s="15" t="s">
        <v>1390</v>
      </c>
      <c r="G509" s="15">
        <v>56.4</v>
      </c>
      <c r="H509" s="13" t="s">
        <v>561</v>
      </c>
      <c r="I509" s="13" t="s">
        <v>562</v>
      </c>
      <c r="J509" s="15">
        <v>5</v>
      </c>
      <c r="K509" s="15">
        <v>890.70839999999998</v>
      </c>
      <c r="L509" s="15" t="str">
        <f>HYPERLINK("http://ms.phosphosite.org:5080/cgi-bin/plot-msms.cgi?MassType=1&amp;NumAxis=1&amp;Mod1=184&amp;Mod3=170&amp;Mod14=147&amp;Pep=RPRLARATSGPAAMASQVLTQSAQLALGPGVPVPQLTSVPLGKV&amp;Dta=/var/www/html/dta/yong/23616.22802.5.dta&amp;Global_Mod=CS57.0215", "22802")</f>
        <v>22802</v>
      </c>
      <c r="M509" s="15"/>
      <c r="N509" s="16">
        <v>103.31</v>
      </c>
      <c r="O509" s="16"/>
      <c r="P509" s="16">
        <v>4.819</v>
      </c>
      <c r="Q509" s="16"/>
      <c r="R509" s="16">
        <v>-16.290099999999999</v>
      </c>
      <c r="S509" s="16"/>
      <c r="T509" s="16">
        <v>0.27039999999999997</v>
      </c>
      <c r="U509" s="16"/>
      <c r="V509" s="15">
        <v>270</v>
      </c>
      <c r="W509" s="15"/>
      <c r="X509" s="16">
        <v>1.1399999999999999</v>
      </c>
      <c r="Y509" s="16"/>
      <c r="Z509" s="17" t="s">
        <v>1311</v>
      </c>
      <c r="AA509" s="17"/>
      <c r="AB509" s="15" t="s">
        <v>13</v>
      </c>
    </row>
    <row r="510" spans="1:28">
      <c r="A510" s="3" t="s">
        <v>555</v>
      </c>
      <c r="B510" s="3" t="s">
        <v>1630</v>
      </c>
      <c r="C510" s="3" t="s">
        <v>1631</v>
      </c>
      <c r="D510" s="4">
        <v>322</v>
      </c>
      <c r="E510" s="3" t="s">
        <v>556</v>
      </c>
      <c r="F510" s="7" t="s">
        <v>1389</v>
      </c>
      <c r="G510" s="4">
        <v>95.5</v>
      </c>
      <c r="H510" s="3" t="s">
        <v>557</v>
      </c>
      <c r="I510" s="3" t="s">
        <v>558</v>
      </c>
      <c r="J510" s="4">
        <v>4</v>
      </c>
      <c r="K510" s="4">
        <v>574.81700000000001</v>
      </c>
      <c r="L510" s="4" t="str">
        <f>HYPERLINK("http://ms.phosphosite.org:5080/cgi-bin/plot-msms.cgi?MassType=1&amp;NumAxis=1&amp;Mod13=184&amp;Pep=LPGTPPLFSPPPRHHLDPHR&amp;Dta=/var/www/html/dta/yong/23616.10930.4.dta&amp;Global_Mod=CS57.0215", "10930")</f>
        <v>10930</v>
      </c>
      <c r="M510" s="4" t="str">
        <f>HYPERLINK("http://ms.phosphosite.org:5080/cgi-bin/plot-msms.cgi?MassType=1&amp;NumAxis=1&amp;Mod13=184&amp;Pep=LPGTPPLFSPPPRHHLDPHR&amp;Dta=/var/www/html/dta/yong/23617.11019.4.dta&amp;Global_Mod=CS57.0215", "11019")</f>
        <v>11019</v>
      </c>
      <c r="N510" s="5">
        <v>52.98</v>
      </c>
      <c r="O510" s="5">
        <v>52.82</v>
      </c>
      <c r="P510" s="5">
        <v>4.1109999999999998</v>
      </c>
      <c r="Q510" s="5">
        <v>3.286</v>
      </c>
      <c r="R510" s="5">
        <v>0.56440000000000001</v>
      </c>
      <c r="S510" s="5">
        <v>-0.28589999999999999</v>
      </c>
      <c r="T510" s="5">
        <v>0.41499999999999998</v>
      </c>
      <c r="U510" s="5">
        <v>0.214</v>
      </c>
      <c r="V510" s="4">
        <v>1</v>
      </c>
      <c r="W510" s="4">
        <v>1</v>
      </c>
      <c r="X510" s="5">
        <v>3.28</v>
      </c>
      <c r="Y510" s="5">
        <v>1.91</v>
      </c>
      <c r="Z510" s="6">
        <v>1000</v>
      </c>
      <c r="AA510" s="6">
        <v>1000</v>
      </c>
      <c r="AB510" s="4" t="s">
        <v>13</v>
      </c>
    </row>
    <row r="511" spans="1:28">
      <c r="A511" s="3" t="s">
        <v>563</v>
      </c>
      <c r="B511" s="3" t="s">
        <v>564</v>
      </c>
      <c r="C511" s="3" t="s">
        <v>564</v>
      </c>
      <c r="D511" s="4" t="s">
        <v>565</v>
      </c>
      <c r="E511" s="3" t="s">
        <v>566</v>
      </c>
      <c r="F511" s="7" t="s">
        <v>1391</v>
      </c>
      <c r="G511" s="4">
        <v>267.10000000000002</v>
      </c>
      <c r="H511" s="3" t="s">
        <v>567</v>
      </c>
      <c r="I511" s="3" t="s">
        <v>568</v>
      </c>
      <c r="J511" s="4">
        <v>3</v>
      </c>
      <c r="K511" s="4">
        <v>518.27570000000003</v>
      </c>
      <c r="L511" s="4" t="str">
        <f>HYPERLINK("http://ms.phosphosite.org:5080/cgi-bin/plot-msms.cgi?MassType=1&amp;NumAxis=1&amp;Mod2=184&amp;Mod11=184&amp;Pep=QRGVSHAMGGRGGIN&amp;Dta=/var/www/html/dta/yong/23616.3393.3.dta&amp;Global_Mod=CS57.0215", "3393")</f>
        <v>3393</v>
      </c>
      <c r="M511" s="4" t="str">
        <f>HYPERLINK("http://ms.phosphosite.org:5080/cgi-bin/plot-msms.cgi?MassType=1&amp;NumAxis=1&amp;Mod2=184&amp;Mod11=184&amp;Pep=QRGVSHAMGGRGGIN&amp;Dta=/var/www/html/dta/yong/23617.3464.3.dta&amp;Global_Mod=CS57.0215", "3464")</f>
        <v>3464</v>
      </c>
      <c r="N511" s="5">
        <v>21.34</v>
      </c>
      <c r="O511" s="5">
        <v>21.32</v>
      </c>
      <c r="P511" s="5">
        <v>2.5459999999999998</v>
      </c>
      <c r="Q511" s="5">
        <v>2.5670000000000002</v>
      </c>
      <c r="R511" s="5">
        <v>-0.30580000000000002</v>
      </c>
      <c r="S511" s="5">
        <v>0.13600000000000001</v>
      </c>
      <c r="T511" s="5">
        <v>0.14560000000000001</v>
      </c>
      <c r="U511" s="5">
        <v>0.21779999999999999</v>
      </c>
      <c r="V511" s="4">
        <v>2</v>
      </c>
      <c r="W511" s="4">
        <v>1</v>
      </c>
      <c r="X511" s="5">
        <v>1.1100000000000001</v>
      </c>
      <c r="Y511" s="5">
        <v>1.61</v>
      </c>
      <c r="Z511" s="6" t="s">
        <v>1306</v>
      </c>
      <c r="AA511" s="6" t="s">
        <v>1306</v>
      </c>
      <c r="AB511" s="4" t="s">
        <v>13</v>
      </c>
    </row>
    <row r="512" spans="1:28" s="12" customFormat="1">
      <c r="A512" s="9" t="s">
        <v>1521</v>
      </c>
      <c r="B512" s="9" t="s">
        <v>569</v>
      </c>
      <c r="C512" s="9" t="s">
        <v>570</v>
      </c>
      <c r="D512" s="7" t="s">
        <v>571</v>
      </c>
      <c r="E512" s="9" t="s">
        <v>572</v>
      </c>
      <c r="F512" s="7" t="s">
        <v>1392</v>
      </c>
      <c r="G512" s="7">
        <v>107.1</v>
      </c>
      <c r="H512" s="9" t="s">
        <v>573</v>
      </c>
      <c r="I512" s="9" t="s">
        <v>574</v>
      </c>
      <c r="J512" s="7">
        <v>3</v>
      </c>
      <c r="K512" s="7">
        <v>744.41579999999999</v>
      </c>
      <c r="L512" s="7" t="str">
        <f>HYPERLINK("http://ms.phosphosite.org:5080/cgi-bin/plot-msms.cgi?MassType=1&amp;NumAxis=1&amp;Mod10=184&amp;Mod19=184&amp;Mod22=147&amp;Pep=NAALGPSEPRLALAPVGPRAAM&amp;Dta=/var/www/html/dta/yong/23616.15273.3.dta&amp;Global_Mod=CS57.0215", "15273")</f>
        <v>15273</v>
      </c>
      <c r="M512" s="7"/>
      <c r="N512" s="10">
        <v>71.89</v>
      </c>
      <c r="O512" s="10"/>
      <c r="P512" s="10">
        <v>2.6120000000000001</v>
      </c>
      <c r="Q512" s="10"/>
      <c r="R512" s="10">
        <v>0.67930000000000001</v>
      </c>
      <c r="S512" s="10"/>
      <c r="T512" s="10">
        <v>0.21990000000000001</v>
      </c>
      <c r="U512" s="10"/>
      <c r="V512" s="7">
        <v>13</v>
      </c>
      <c r="W512" s="7"/>
      <c r="X512" s="10">
        <v>1.48</v>
      </c>
      <c r="Y512" s="10"/>
      <c r="Z512" s="11" t="s">
        <v>1306</v>
      </c>
      <c r="AA512" s="11"/>
      <c r="AB512" s="7" t="s">
        <v>13</v>
      </c>
    </row>
    <row r="513" spans="1:28" s="18" customFormat="1">
      <c r="A513" s="18" t="s">
        <v>575</v>
      </c>
      <c r="B513" s="18" t="s">
        <v>576</v>
      </c>
      <c r="C513" s="18" t="s">
        <v>577</v>
      </c>
      <c r="D513" s="19"/>
      <c r="E513" s="18" t="s">
        <v>578</v>
      </c>
      <c r="F513" s="19" t="s">
        <v>1500</v>
      </c>
      <c r="G513" s="19">
        <v>30.3</v>
      </c>
      <c r="I513" s="18" t="s">
        <v>579</v>
      </c>
      <c r="J513" s="19">
        <v>3</v>
      </c>
      <c r="K513" s="19">
        <v>991.18060000000003</v>
      </c>
      <c r="L513" s="19" t="str">
        <f>HYPERLINK("http://ms.phosphosite.org:5080/cgi-bin/plot-msms.cgi?MassType=1&amp;NumAxis=1&amp;Mod20=170&amp;Pep=EFVSWQQDLEDSVKPTQQARPTVIR&amp;Dta=/var/www/html/dta/yong/23616.33043.3.dta&amp;Global_Mod=CS57.0215", "33043")</f>
        <v>33043</v>
      </c>
      <c r="M513" s="19"/>
      <c r="N513" s="20">
        <v>149.47999999999999</v>
      </c>
      <c r="O513" s="20"/>
      <c r="P513" s="20">
        <v>2.972</v>
      </c>
      <c r="Q513" s="20"/>
      <c r="R513" s="20">
        <v>-9.8437000000000001</v>
      </c>
      <c r="S513" s="20"/>
      <c r="T513" s="20">
        <v>0.20680000000000001</v>
      </c>
      <c r="U513" s="20"/>
      <c r="V513" s="19">
        <v>30</v>
      </c>
      <c r="W513" s="19"/>
      <c r="X513" s="20">
        <v>1.33</v>
      </c>
      <c r="Y513" s="20"/>
      <c r="Z513" s="21">
        <v>1000</v>
      </c>
      <c r="AA513" s="21"/>
      <c r="AB513" s="19" t="s">
        <v>13</v>
      </c>
    </row>
    <row r="514" spans="1:28" s="18" customFormat="1">
      <c r="A514" s="18" t="s">
        <v>873</v>
      </c>
      <c r="B514" s="18" t="s">
        <v>1632</v>
      </c>
      <c r="C514" s="18" t="s">
        <v>1633</v>
      </c>
      <c r="D514" s="19"/>
      <c r="E514" s="18" t="s">
        <v>874</v>
      </c>
      <c r="F514" s="15" t="s">
        <v>1414</v>
      </c>
      <c r="G514" s="19">
        <v>232.2</v>
      </c>
      <c r="I514" s="18" t="s">
        <v>875</v>
      </c>
      <c r="J514" s="19">
        <v>2</v>
      </c>
      <c r="K514" s="19">
        <v>796.43489999999997</v>
      </c>
      <c r="L514" s="19" t="str">
        <f>HYPERLINK("http://ms.phosphosite.org:5080/cgi-bin/plot-msms.cgi?MassType=1&amp;NumAxis=1&amp;Mod1=147&amp;Mod6=170&amp;Pep=MQLGYRLQQIAAAV&amp;Dta=/var/www/html/dta/yong/23616.15351.2.dta&amp;Global_Mod=CS57.0215", "15351")</f>
        <v>15351</v>
      </c>
      <c r="M514" s="19"/>
      <c r="N514" s="20">
        <v>72.22</v>
      </c>
      <c r="O514" s="20"/>
      <c r="P514" s="20">
        <v>2.9980000000000002</v>
      </c>
      <c r="Q514" s="20"/>
      <c r="R514" s="20">
        <v>-4.0195999999999996</v>
      </c>
      <c r="S514" s="20"/>
      <c r="T514" s="20">
        <v>0.1246</v>
      </c>
      <c r="U514" s="20"/>
      <c r="V514" s="19">
        <v>1</v>
      </c>
      <c r="W514" s="19"/>
      <c r="X514" s="20">
        <v>1.0900000000000001</v>
      </c>
      <c r="Y514" s="20"/>
      <c r="Z514" s="21">
        <v>1000</v>
      </c>
      <c r="AA514" s="21"/>
      <c r="AB514" s="19" t="s">
        <v>13</v>
      </c>
    </row>
    <row r="515" spans="1:28" s="12" customFormat="1">
      <c r="A515" s="3" t="s">
        <v>580</v>
      </c>
      <c r="B515" s="3" t="s">
        <v>1634</v>
      </c>
      <c r="C515" s="3" t="s">
        <v>1634</v>
      </c>
      <c r="D515" s="4" t="s">
        <v>1524</v>
      </c>
      <c r="E515" s="3" t="s">
        <v>581</v>
      </c>
      <c r="F515" s="7" t="s">
        <v>1492</v>
      </c>
      <c r="G515" s="4">
        <v>64.2</v>
      </c>
      <c r="H515" s="3" t="s">
        <v>582</v>
      </c>
      <c r="I515" s="3" t="s">
        <v>583</v>
      </c>
      <c r="J515" s="4">
        <v>3</v>
      </c>
      <c r="K515" s="4">
        <v>477.61239999999998</v>
      </c>
      <c r="L515" s="4"/>
      <c r="M515" s="4" t="str">
        <f>HYPERLINK("http://ms.phosphosite.org:5080/cgi-bin/plot-msms.cgi?MassType=1&amp;NumAxis=1&amp;Mod6=184&amp;Mod11=184&amp;Pep=GAAGVRGLGGRGYLA&amp;Dta=/var/www/html/dta/yong/23617.10835.3.dta&amp;Global_Mod=CS57.0215", "10835")</f>
        <v>10835</v>
      </c>
      <c r="N515" s="5"/>
      <c r="O515" s="5">
        <v>52.03</v>
      </c>
      <c r="P515" s="5"/>
      <c r="Q515" s="5">
        <v>2.552</v>
      </c>
      <c r="R515" s="5"/>
      <c r="S515" s="5">
        <v>0.35699999999999998</v>
      </c>
      <c r="T515" s="5"/>
      <c r="U515" s="5">
        <v>0.22450000000000001</v>
      </c>
      <c r="V515" s="4"/>
      <c r="W515" s="4">
        <v>3</v>
      </c>
      <c r="X515" s="5"/>
      <c r="Y515" s="5">
        <v>1.58</v>
      </c>
      <c r="Z515" s="6"/>
      <c r="AA515" s="6" t="s">
        <v>1306</v>
      </c>
      <c r="AB515" s="4" t="s">
        <v>13</v>
      </c>
    </row>
    <row r="516" spans="1:28">
      <c r="A516" s="9" t="s">
        <v>580</v>
      </c>
      <c r="B516" s="9" t="s">
        <v>1634</v>
      </c>
      <c r="C516" s="9" t="s">
        <v>1635</v>
      </c>
      <c r="D516" s="7">
        <v>399</v>
      </c>
      <c r="E516" s="9" t="s">
        <v>581</v>
      </c>
      <c r="F516" s="7" t="s">
        <v>1492</v>
      </c>
      <c r="G516" s="7">
        <v>55.9</v>
      </c>
      <c r="H516" s="9" t="s">
        <v>584</v>
      </c>
      <c r="I516" s="9" t="s">
        <v>585</v>
      </c>
      <c r="J516" s="7">
        <v>2</v>
      </c>
      <c r="K516" s="7">
        <v>527.7876</v>
      </c>
      <c r="L516" s="7"/>
      <c r="M516" s="7" t="str">
        <f>HYPERLINK("http://ms.phosphosite.org:5080/cgi-bin/plot-msms.cgi?MassType=1&amp;NumAxis=1&amp;Mod5=184&amp;Pep=GLGGRGYLAY&amp;Dta=/var/www/html/dta/yong/23617.13321.2.dta&amp;Global_Mod=CS57.0215", "13321")</f>
        <v>13321</v>
      </c>
      <c r="N516" s="10"/>
      <c r="O516" s="10">
        <v>62.63</v>
      </c>
      <c r="P516" s="10"/>
      <c r="Q516" s="10">
        <v>1.9950000000000001</v>
      </c>
      <c r="R516" s="10"/>
      <c r="S516" s="10">
        <v>0.30570000000000003</v>
      </c>
      <c r="T516" s="10"/>
      <c r="U516" s="10">
        <v>0.1502</v>
      </c>
      <c r="V516" s="7"/>
      <c r="W516" s="7">
        <v>7</v>
      </c>
      <c r="X516" s="10"/>
      <c r="Y516" s="10">
        <v>1.24</v>
      </c>
      <c r="Z516" s="11"/>
      <c r="AA516" s="11">
        <v>1000</v>
      </c>
      <c r="AB516" s="7" t="s">
        <v>13</v>
      </c>
    </row>
    <row r="517" spans="1:28" s="12" customFormat="1">
      <c r="A517" s="9" t="s">
        <v>580</v>
      </c>
      <c r="B517" s="9" t="s">
        <v>1636</v>
      </c>
      <c r="C517" s="9" t="s">
        <v>1637</v>
      </c>
      <c r="D517" s="7" t="s">
        <v>1788</v>
      </c>
      <c r="E517" s="9" t="s">
        <v>586</v>
      </c>
      <c r="F517" s="7" t="s">
        <v>1393</v>
      </c>
      <c r="G517" s="7">
        <v>18.600000000000001</v>
      </c>
      <c r="H517" s="9" t="s">
        <v>587</v>
      </c>
      <c r="I517" s="9" t="s">
        <v>588</v>
      </c>
      <c r="J517" s="7">
        <v>4</v>
      </c>
      <c r="K517" s="7">
        <v>341.92489999999998</v>
      </c>
      <c r="L517" s="7"/>
      <c r="M517" s="7" t="str">
        <f>HYPERLINK("http://ms.phosphosite.org:5080/cgi-bin/plot-msms.cgi?MassType=1&amp;NumAxis=1&amp;Mod2=184&amp;Mod7=184&amp;Pep=SRGGGDRGYGGNR&amp;Dta=/var/www/html/dta/yong/23617.1205.4.dta&amp;Global_Mod=CS57.0215", "1205")</f>
        <v>1205</v>
      </c>
      <c r="N517" s="10"/>
      <c r="O517" s="10">
        <v>11.85</v>
      </c>
      <c r="P517" s="10"/>
      <c r="Q517" s="10">
        <v>1.9830000000000001</v>
      </c>
      <c r="R517" s="10"/>
      <c r="S517" s="10">
        <v>0.161</v>
      </c>
      <c r="T517" s="10"/>
      <c r="U517" s="10">
        <v>0.1148</v>
      </c>
      <c r="V517" s="7"/>
      <c r="W517" s="7">
        <v>9</v>
      </c>
      <c r="X517" s="10"/>
      <c r="Y517" s="10">
        <v>1.05</v>
      </c>
      <c r="Z517" s="11"/>
      <c r="AA517" s="11" t="s">
        <v>1306</v>
      </c>
      <c r="AB517" s="7" t="s">
        <v>13</v>
      </c>
    </row>
    <row r="518" spans="1:28" s="12" customFormat="1">
      <c r="A518" s="9" t="s">
        <v>580</v>
      </c>
      <c r="B518" s="9" t="s">
        <v>1636</v>
      </c>
      <c r="C518" s="9" t="s">
        <v>1637</v>
      </c>
      <c r="D518" s="7" t="s">
        <v>1789</v>
      </c>
      <c r="E518" s="9" t="s">
        <v>586</v>
      </c>
      <c r="F518" s="7" t="s">
        <v>1393</v>
      </c>
      <c r="G518" s="7">
        <v>18.600000000000001</v>
      </c>
      <c r="H518" s="9" t="s">
        <v>589</v>
      </c>
      <c r="I518" s="9" t="s">
        <v>590</v>
      </c>
      <c r="J518" s="7">
        <v>3</v>
      </c>
      <c r="K518" s="7">
        <v>448.89839999999998</v>
      </c>
      <c r="L518" s="7"/>
      <c r="M518" s="7" t="str">
        <f>HYPERLINK("http://ms.phosphosite.org:5080/cgi-bin/plot-msms.cgi?MassType=1&amp;NumAxis=1&amp;Mod3=184&amp;Mod10=184&amp;Pep=GYRGGSAGGRGFF&amp;Dta=/var/www/html/dta/yong/23617.10404.3.dta&amp;Global_Mod=CS57.0215", "10404")</f>
        <v>10404</v>
      </c>
      <c r="N518" s="10"/>
      <c r="O518" s="10">
        <v>50.34</v>
      </c>
      <c r="P518" s="10"/>
      <c r="Q518" s="10">
        <v>2.5409999999999999</v>
      </c>
      <c r="R518" s="10"/>
      <c r="S518" s="10">
        <v>0.19159999999999999</v>
      </c>
      <c r="T518" s="10"/>
      <c r="U518" s="10">
        <v>0.1701</v>
      </c>
      <c r="V518" s="7"/>
      <c r="W518" s="7">
        <v>5</v>
      </c>
      <c r="X518" s="10"/>
      <c r="Y518" s="10">
        <v>1.52</v>
      </c>
      <c r="Z518" s="11"/>
      <c r="AA518" s="11" t="s">
        <v>1306</v>
      </c>
      <c r="AB518" s="7" t="s">
        <v>13</v>
      </c>
    </row>
    <row r="519" spans="1:28" s="13" customFormat="1">
      <c r="A519" s="13" t="s">
        <v>580</v>
      </c>
      <c r="B519" s="13" t="s">
        <v>1636</v>
      </c>
      <c r="C519" s="13" t="s">
        <v>1636</v>
      </c>
      <c r="D519" s="15" t="s">
        <v>1789</v>
      </c>
      <c r="E519" s="13" t="s">
        <v>586</v>
      </c>
      <c r="F519" s="15" t="s">
        <v>1393</v>
      </c>
      <c r="G519" s="15">
        <v>18.600000000000001</v>
      </c>
      <c r="H519" s="13" t="s">
        <v>589</v>
      </c>
      <c r="I519" s="13" t="s">
        <v>591</v>
      </c>
      <c r="J519" s="15">
        <v>3</v>
      </c>
      <c r="K519" s="15">
        <v>534.61469999999997</v>
      </c>
      <c r="L519" s="15"/>
      <c r="M519" s="15" t="str">
        <f>HYPERLINK("http://ms.phosphosite.org:5080/cgi-bin/plot-msms.cgi?MassType=1&amp;NumAxis=1&amp;Mod2=170&amp;Mod5=184&amp;Mod12=184&amp;Pep=SRGYRGGSAGGRGFF&amp;Dta=/var/www/html/dta/yong/23617.8425.3.dta&amp;Global_Mod=CS57.0215", "8425")</f>
        <v>8425</v>
      </c>
      <c r="N519" s="16"/>
      <c r="O519" s="16">
        <v>42.14</v>
      </c>
      <c r="P519" s="16"/>
      <c r="Q519" s="16">
        <v>1.8779999999999999</v>
      </c>
      <c r="R519" s="16"/>
      <c r="S519" s="16">
        <v>0.31140000000000001</v>
      </c>
      <c r="T519" s="16"/>
      <c r="U519" s="16">
        <v>0.26769999999999999</v>
      </c>
      <c r="V519" s="15"/>
      <c r="W519" s="15">
        <v>440</v>
      </c>
      <c r="X519" s="16"/>
      <c r="Y519" s="16">
        <v>1.46</v>
      </c>
      <c r="Z519" s="17"/>
      <c r="AA519" s="17" t="s">
        <v>1307</v>
      </c>
      <c r="AB519" s="15" t="s">
        <v>13</v>
      </c>
    </row>
    <row r="520" spans="1:28" s="12" customFormat="1">
      <c r="A520" s="9" t="s">
        <v>580</v>
      </c>
      <c r="B520" s="9" t="s">
        <v>1638</v>
      </c>
      <c r="C520" s="9" t="s">
        <v>1639</v>
      </c>
      <c r="D520" s="7">
        <v>607</v>
      </c>
      <c r="E520" s="9" t="s">
        <v>592</v>
      </c>
      <c r="F520" s="7" t="s">
        <v>1394</v>
      </c>
      <c r="G520" s="7">
        <v>68.400000000000006</v>
      </c>
      <c r="H520" s="9" t="s">
        <v>593</v>
      </c>
      <c r="I520" s="9" t="s">
        <v>594</v>
      </c>
      <c r="J520" s="7">
        <v>2</v>
      </c>
      <c r="K520" s="7">
        <v>453.73070000000001</v>
      </c>
      <c r="L520" s="7" t="str">
        <f>HYPERLINK("http://ms.phosphosite.org:5080/cgi-bin/plot-msms.cgi?MassType=1&amp;NumAxis=1&amp;Mod2=184&amp;Pep=DRGGFGGGR&amp;Dta=/var/www/html/dta/yong/23616.2167.2.dta&amp;Global_Mod=CS57.0215", "2167")</f>
        <v>2167</v>
      </c>
      <c r="M520" s="7" t="str">
        <f>HYPERLINK("http://ms.phosphosite.org:5080/cgi-bin/plot-msms.cgi?MassType=1&amp;NumAxis=1&amp;Mod2=184&amp;Pep=DRGGFGGGR&amp;Dta=/var/www/html/dta/yong/23617.2204.2.dta&amp;Global_Mod=CS57.0215", "2204")</f>
        <v>2204</v>
      </c>
      <c r="N520" s="10">
        <v>16.079999999999998</v>
      </c>
      <c r="O520" s="10">
        <v>16.05</v>
      </c>
      <c r="P520" s="10">
        <v>2.2250000000000001</v>
      </c>
      <c r="Q520" s="10">
        <v>2.633</v>
      </c>
      <c r="R520" s="10">
        <v>0.26350000000000001</v>
      </c>
      <c r="S520" s="10">
        <v>-0.1285</v>
      </c>
      <c r="T520" s="10">
        <v>0.1173</v>
      </c>
      <c r="U520" s="10">
        <v>0.2293</v>
      </c>
      <c r="V520" s="7">
        <v>12</v>
      </c>
      <c r="W520" s="7">
        <v>18</v>
      </c>
      <c r="X520" s="10">
        <v>1.52</v>
      </c>
      <c r="Y520" s="10">
        <v>2.27</v>
      </c>
      <c r="Z520" s="11">
        <v>1000</v>
      </c>
      <c r="AA520" s="11">
        <v>1000</v>
      </c>
      <c r="AB520" s="7" t="s">
        <v>13</v>
      </c>
    </row>
    <row r="521" spans="1:28" s="12" customFormat="1">
      <c r="A521" s="3" t="s">
        <v>580</v>
      </c>
      <c r="B521" s="9" t="s">
        <v>1638</v>
      </c>
      <c r="C521" s="9" t="s">
        <v>1639</v>
      </c>
      <c r="D521" s="4">
        <v>615</v>
      </c>
      <c r="E521" s="3" t="s">
        <v>592</v>
      </c>
      <c r="F521" s="7" t="s">
        <v>1394</v>
      </c>
      <c r="G521" s="4">
        <v>68.400000000000006</v>
      </c>
      <c r="H521" s="3" t="s">
        <v>595</v>
      </c>
      <c r="I521" s="3" t="s">
        <v>599</v>
      </c>
      <c r="J521" s="4">
        <v>3</v>
      </c>
      <c r="K521" s="4">
        <v>604.2944</v>
      </c>
      <c r="L521" s="4" t="str">
        <f>HYPERLINK("http://ms.phosphosite.org:5080/cgi-bin/plot-msms.cgi?MassType=1&amp;NumAxis=1&amp;Mod1=184&amp;Mod12=147&amp;Mod15=147&amp;Pep=RGGPGGPPGPLMEQMGGR&amp;Dta=/var/www/html/dta/yong/23616.5734.3.dta&amp;Global_Mod=CS57.0215", "5734")</f>
        <v>5734</v>
      </c>
      <c r="M521" s="4"/>
      <c r="N521" s="5">
        <v>31.23</v>
      </c>
      <c r="O521" s="5"/>
      <c r="P521" s="5">
        <v>3.476</v>
      </c>
      <c r="Q521" s="5"/>
      <c r="R521" s="5">
        <v>1.8153999999999999</v>
      </c>
      <c r="S521" s="5"/>
      <c r="T521" s="5">
        <v>0.33910000000000001</v>
      </c>
      <c r="U521" s="5"/>
      <c r="V521" s="4">
        <v>3</v>
      </c>
      <c r="W521" s="4"/>
      <c r="X521" s="5">
        <v>3.01</v>
      </c>
      <c r="Y521" s="5"/>
      <c r="Z521" s="6">
        <v>1000</v>
      </c>
      <c r="AA521" s="6"/>
      <c r="AB521" s="4" t="s">
        <v>13</v>
      </c>
    </row>
    <row r="522" spans="1:28" s="12" customFormat="1">
      <c r="A522" s="3" t="s">
        <v>580</v>
      </c>
      <c r="B522" s="9" t="s">
        <v>1638</v>
      </c>
      <c r="C522" s="9" t="s">
        <v>1639</v>
      </c>
      <c r="D522" s="4">
        <v>615</v>
      </c>
      <c r="E522" s="3" t="s">
        <v>592</v>
      </c>
      <c r="F522" s="7" t="s">
        <v>1394</v>
      </c>
      <c r="G522" s="4">
        <v>68.400000000000006</v>
      </c>
      <c r="H522" s="3" t="s">
        <v>595</v>
      </c>
      <c r="I522" s="3" t="s">
        <v>599</v>
      </c>
      <c r="J522" s="4">
        <v>3</v>
      </c>
      <c r="K522" s="4">
        <v>604.2944</v>
      </c>
      <c r="L522" s="4" t="str">
        <f>HYPERLINK("http://ms.phosphosite.org:5080/cgi-bin/plot-msms.cgi?MassType=1&amp;NumAxis=1&amp;Mod1=184&amp;Mod12=147&amp;Mod15=147&amp;Pep=RGGPGGPPGPLMEQMGGR&amp;Dta=/var/www/html/dta/yong/23616.5830.3.dta&amp;Global_Mod=CS57.0215", "5830")</f>
        <v>5830</v>
      </c>
      <c r="M522" s="4"/>
      <c r="N522" s="5">
        <v>31.64</v>
      </c>
      <c r="O522" s="5"/>
      <c r="P522" s="5">
        <v>2.7919999999999998</v>
      </c>
      <c r="Q522" s="5"/>
      <c r="R522" s="5">
        <v>1.5927</v>
      </c>
      <c r="S522" s="5"/>
      <c r="T522" s="5">
        <v>0.14360000000000001</v>
      </c>
      <c r="U522" s="5"/>
      <c r="V522" s="4">
        <v>138</v>
      </c>
      <c r="W522" s="4"/>
      <c r="X522" s="5">
        <v>1.67</v>
      </c>
      <c r="Y522" s="5"/>
      <c r="Z522" s="6">
        <v>1000</v>
      </c>
      <c r="AA522" s="6"/>
      <c r="AB522" s="4" t="s">
        <v>13</v>
      </c>
    </row>
    <row r="523" spans="1:28" s="12" customFormat="1">
      <c r="A523" s="3" t="s">
        <v>580</v>
      </c>
      <c r="B523" s="9" t="s">
        <v>1638</v>
      </c>
      <c r="C523" s="9" t="s">
        <v>1639</v>
      </c>
      <c r="D523" s="4">
        <v>615</v>
      </c>
      <c r="E523" s="3" t="s">
        <v>592</v>
      </c>
      <c r="F523" s="7" t="s">
        <v>1394</v>
      </c>
      <c r="G523" s="4">
        <v>68.400000000000006</v>
      </c>
      <c r="H523" s="3" t="s">
        <v>595</v>
      </c>
      <c r="I523" s="3" t="s">
        <v>597</v>
      </c>
      <c r="J523" s="4">
        <v>2</v>
      </c>
      <c r="K523" s="4">
        <v>697.34829999999999</v>
      </c>
      <c r="L523" s="4" t="str">
        <f>HYPERLINK("http://ms.phosphosite.org:5080/cgi-bin/plot-msms.cgi?MassType=1&amp;NumAxis=1&amp;Mod1=184&amp;Mod12=147&amp;Pep=RGGPGGPPGPLMEQ&amp;Dta=/var/www/html/dta/yong/23616.7240.2.dta&amp;Global_Mod=CS57.0215", "7240")</f>
        <v>7240</v>
      </c>
      <c r="M523" s="4" t="str">
        <f>HYPERLINK("http://ms.phosphosite.org:5080/cgi-bin/plot-msms.cgi?MassType=1&amp;NumAxis=1&amp;Mod1=184&amp;Mod12=147&amp;Pep=RGGPGGPPGPLMEQ&amp;Dta=/var/www/html/dta/yong/23617.7323.2.dta&amp;Global_Mod=CS57.0215", "7323")</f>
        <v>7323</v>
      </c>
      <c r="N523" s="5">
        <v>37.49</v>
      </c>
      <c r="O523" s="5">
        <v>37.54</v>
      </c>
      <c r="P523" s="5">
        <v>3.2810000000000001</v>
      </c>
      <c r="Q523" s="5">
        <v>3.1480000000000001</v>
      </c>
      <c r="R523" s="5">
        <v>0.47199999999999998</v>
      </c>
      <c r="S523" s="5">
        <v>0.69540000000000002</v>
      </c>
      <c r="T523" s="5">
        <v>0.32369999999999999</v>
      </c>
      <c r="U523" s="5">
        <v>0.307</v>
      </c>
      <c r="V523" s="4">
        <v>1</v>
      </c>
      <c r="W523" s="4">
        <v>1</v>
      </c>
      <c r="X523" s="5">
        <v>2.95</v>
      </c>
      <c r="Y523" s="5">
        <v>2.82</v>
      </c>
      <c r="Z523" s="6">
        <v>1000</v>
      </c>
      <c r="AA523" s="6">
        <v>1000</v>
      </c>
      <c r="AB523" s="4" t="s">
        <v>13</v>
      </c>
    </row>
    <row r="524" spans="1:28" s="12" customFormat="1">
      <c r="A524" s="3" t="s">
        <v>580</v>
      </c>
      <c r="B524" s="9" t="s">
        <v>1638</v>
      </c>
      <c r="C524" s="9" t="s">
        <v>1639</v>
      </c>
      <c r="D524" s="4">
        <v>615</v>
      </c>
      <c r="E524" s="3" t="s">
        <v>592</v>
      </c>
      <c r="F524" s="7" t="s">
        <v>1394</v>
      </c>
      <c r="G524" s="4">
        <v>68.400000000000006</v>
      </c>
      <c r="H524" s="3" t="s">
        <v>595</v>
      </c>
      <c r="I524" s="3" t="s">
        <v>598</v>
      </c>
      <c r="J524" s="4">
        <v>2</v>
      </c>
      <c r="K524" s="4">
        <v>770.86599999999999</v>
      </c>
      <c r="L524" s="4" t="str">
        <f>HYPERLINK("http://ms.phosphosite.org:5080/cgi-bin/plot-msms.cgi?MassType=1&amp;NumAxis=1&amp;Mod1=184&amp;Mod12=147&amp;Mod15=147&amp;Pep=RGGPGGPPGPLMEQM&amp;Dta=/var/www/html/dta/yong/23616.7339.2.dta&amp;Global_Mod=CS57.0215", "7339")</f>
        <v>7339</v>
      </c>
      <c r="M524" s="4" t="str">
        <f>HYPERLINK("http://ms.phosphosite.org:5080/cgi-bin/plot-msms.cgi?MassType=1&amp;NumAxis=1&amp;Mod1=184&amp;Mod12=147&amp;Mod15=147&amp;Pep=RGGPGGPPGPLMEQM&amp;Dta=/var/www/html/dta/yong/23617.7477.2.dta&amp;Global_Mod=CS57.0215", "7477")</f>
        <v>7477</v>
      </c>
      <c r="N524" s="5">
        <v>37.880000000000003</v>
      </c>
      <c r="O524" s="5">
        <v>38.18</v>
      </c>
      <c r="P524" s="5">
        <v>4.3949999999999996</v>
      </c>
      <c r="Q524" s="5">
        <v>3.8109999999999999</v>
      </c>
      <c r="R524" s="5">
        <v>1.3153999999999999</v>
      </c>
      <c r="S524" s="5">
        <v>0.32550000000000001</v>
      </c>
      <c r="T524" s="5">
        <v>0.44350000000000001</v>
      </c>
      <c r="U524" s="5">
        <v>0.4219</v>
      </c>
      <c r="V524" s="4">
        <v>1</v>
      </c>
      <c r="W524" s="4">
        <v>1</v>
      </c>
      <c r="X524" s="5">
        <v>3.9</v>
      </c>
      <c r="Y524" s="5">
        <v>3.68</v>
      </c>
      <c r="Z524" s="6">
        <v>1000</v>
      </c>
      <c r="AA524" s="6">
        <v>1000</v>
      </c>
      <c r="AB524" s="4" t="s">
        <v>13</v>
      </c>
    </row>
    <row r="525" spans="1:28" s="12" customFormat="1">
      <c r="A525" s="3" t="s">
        <v>580</v>
      </c>
      <c r="B525" s="9" t="s">
        <v>1638</v>
      </c>
      <c r="C525" s="9" t="s">
        <v>1639</v>
      </c>
      <c r="D525" s="4">
        <v>615</v>
      </c>
      <c r="E525" s="3" t="s">
        <v>592</v>
      </c>
      <c r="F525" s="7" t="s">
        <v>1394</v>
      </c>
      <c r="G525" s="4">
        <v>68.400000000000006</v>
      </c>
      <c r="H525" s="3" t="s">
        <v>595</v>
      </c>
      <c r="I525" s="3" t="s">
        <v>598</v>
      </c>
      <c r="J525" s="4">
        <v>2</v>
      </c>
      <c r="K525" s="4">
        <v>770.86599999999999</v>
      </c>
      <c r="L525" s="4" t="str">
        <f>HYPERLINK("http://ms.phosphosite.org:5080/cgi-bin/plot-msms.cgi?MassType=1&amp;NumAxis=1&amp;Mod1=184&amp;Mod12=147&amp;Mod15=147&amp;Pep=RGGPGGPPGPLMEQM&amp;Dta=/var/www/html/dta/yong/23616.7350.2.dta&amp;Global_Mod=CS57.0215", "7350")</f>
        <v>7350</v>
      </c>
      <c r="M525" s="4" t="str">
        <f>HYPERLINK("http://ms.phosphosite.org:5080/cgi-bin/plot-msms.cgi?MassType=1&amp;NumAxis=1&amp;Mod1=184&amp;Mod12=147&amp;Mod15=147&amp;Pep=RGGPGGPPGPLMEQM&amp;Dta=/var/www/html/dta/yong/23617.7601.2.dta&amp;Global_Mod=CS57.0215", "7601")</f>
        <v>7601</v>
      </c>
      <c r="N525" s="5">
        <v>37.93</v>
      </c>
      <c r="O525" s="5">
        <v>38.71</v>
      </c>
      <c r="P525" s="5">
        <v>3.855</v>
      </c>
      <c r="Q525" s="5">
        <v>3.758</v>
      </c>
      <c r="R525" s="5">
        <v>0.47089999999999999</v>
      </c>
      <c r="S525" s="5">
        <v>1.0142</v>
      </c>
      <c r="T525" s="5">
        <v>0.4955</v>
      </c>
      <c r="U525" s="5">
        <v>0.37259999999999999</v>
      </c>
      <c r="V525" s="4">
        <v>1</v>
      </c>
      <c r="W525" s="4">
        <v>1</v>
      </c>
      <c r="X525" s="5">
        <v>4.08</v>
      </c>
      <c r="Y525" s="5">
        <v>3.35</v>
      </c>
      <c r="Z525" s="6">
        <v>1000</v>
      </c>
      <c r="AA525" s="6">
        <v>1000</v>
      </c>
      <c r="AB525" s="4" t="s">
        <v>13</v>
      </c>
    </row>
    <row r="526" spans="1:28" s="12" customFormat="1">
      <c r="A526" s="3" t="s">
        <v>580</v>
      </c>
      <c r="B526" s="9" t="s">
        <v>1638</v>
      </c>
      <c r="C526" s="9" t="s">
        <v>1639</v>
      </c>
      <c r="D526" s="4">
        <v>615</v>
      </c>
      <c r="E526" s="3" t="s">
        <v>592</v>
      </c>
      <c r="F526" s="7" t="s">
        <v>1394</v>
      </c>
      <c r="G526" s="4">
        <v>68.400000000000006</v>
      </c>
      <c r="H526" s="3" t="s">
        <v>595</v>
      </c>
      <c r="I526" s="3" t="s">
        <v>598</v>
      </c>
      <c r="J526" s="4">
        <v>2</v>
      </c>
      <c r="K526" s="4">
        <v>770.86599999999999</v>
      </c>
      <c r="L526" s="4" t="str">
        <f>HYPERLINK("http://ms.phosphosite.org:5080/cgi-bin/plot-msms.cgi?MassType=1&amp;NumAxis=1&amp;Mod1=184&amp;Mod12=147&amp;Mod15=147&amp;Pep=RGGPGGPPGPLMEQM&amp;Dta=/var/www/html/dta/yong/23616.7525.2.dta&amp;Global_Mod=CS57.0215", "7525")</f>
        <v>7525</v>
      </c>
      <c r="M526" s="4" t="str">
        <f>HYPERLINK("http://ms.phosphosite.org:5080/cgi-bin/plot-msms.cgi?MassType=1&amp;NumAxis=1&amp;Mod1=184&amp;Mod12=147&amp;Mod15=147&amp;Pep=RGGPGGPPGPLMEQM&amp;Dta=/var/www/html/dta/yong/23617.7468.2.dta&amp;Global_Mod=CS57.0215", "7468")</f>
        <v>7468</v>
      </c>
      <c r="N526" s="5">
        <v>38.700000000000003</v>
      </c>
      <c r="O526" s="5">
        <v>38.130000000000003</v>
      </c>
      <c r="P526" s="5">
        <v>3.637</v>
      </c>
      <c r="Q526" s="5">
        <v>3.3519999999999999</v>
      </c>
      <c r="R526" s="5">
        <v>1.8564000000000001</v>
      </c>
      <c r="S526" s="5">
        <v>-1.5558000000000001</v>
      </c>
      <c r="T526" s="5">
        <v>0.3175</v>
      </c>
      <c r="U526" s="5">
        <v>0.34560000000000002</v>
      </c>
      <c r="V526" s="4">
        <v>1</v>
      </c>
      <c r="W526" s="4">
        <v>1</v>
      </c>
      <c r="X526" s="5">
        <v>2.95</v>
      </c>
      <c r="Y526" s="5">
        <v>3.02</v>
      </c>
      <c r="Z526" s="6">
        <v>1000</v>
      </c>
      <c r="AA526" s="6">
        <v>1000</v>
      </c>
      <c r="AB526" s="4" t="s">
        <v>13</v>
      </c>
    </row>
    <row r="527" spans="1:28" s="12" customFormat="1">
      <c r="A527" s="3" t="s">
        <v>580</v>
      </c>
      <c r="B527" s="9" t="s">
        <v>1638</v>
      </c>
      <c r="C527" s="9" t="s">
        <v>1639</v>
      </c>
      <c r="D527" s="4">
        <v>615</v>
      </c>
      <c r="E527" s="3" t="s">
        <v>592</v>
      </c>
      <c r="F527" s="7" t="s">
        <v>1394</v>
      </c>
      <c r="G527" s="4">
        <v>68.400000000000006</v>
      </c>
      <c r="H527" s="3" t="s">
        <v>595</v>
      </c>
      <c r="I527" s="3" t="s">
        <v>596</v>
      </c>
      <c r="J527" s="4">
        <v>2</v>
      </c>
      <c r="K527" s="4">
        <v>495.28</v>
      </c>
      <c r="L527" s="4" t="str">
        <f>HYPERLINK("http://ms.phosphosite.org:5080/cgi-bin/plot-msms.cgi?MassType=1&amp;NumAxis=1&amp;Mod1=184&amp;Pep=RGGPGGPPGPL&amp;Dta=/var/www/html/dta/yong/23616.8125.2.dta&amp;Global_Mod=CS57.0215", "8125")</f>
        <v>8125</v>
      </c>
      <c r="M527" s="4"/>
      <c r="N527" s="5">
        <v>41.21</v>
      </c>
      <c r="O527" s="5"/>
      <c r="P527" s="5">
        <v>1.95</v>
      </c>
      <c r="Q527" s="5"/>
      <c r="R527" s="5">
        <v>0.5161</v>
      </c>
      <c r="S527" s="5"/>
      <c r="T527" s="5">
        <v>9.2299999999999993E-2</v>
      </c>
      <c r="U527" s="5"/>
      <c r="V527" s="4">
        <v>2</v>
      </c>
      <c r="W527" s="4"/>
      <c r="X527" s="5">
        <v>1.29</v>
      </c>
      <c r="Y527" s="5"/>
      <c r="Z527" s="6">
        <v>1000</v>
      </c>
      <c r="AA527" s="6"/>
      <c r="AB527" s="4" t="s">
        <v>13</v>
      </c>
    </row>
    <row r="528" spans="1:28" s="12" customFormat="1">
      <c r="A528" s="3" t="s">
        <v>580</v>
      </c>
      <c r="B528" s="9" t="s">
        <v>1638</v>
      </c>
      <c r="C528" s="9" t="s">
        <v>1639</v>
      </c>
      <c r="D528" s="4">
        <v>615</v>
      </c>
      <c r="E528" s="3" t="s">
        <v>592</v>
      </c>
      <c r="F528" s="7" t="s">
        <v>1394</v>
      </c>
      <c r="G528" s="4">
        <v>68.400000000000006</v>
      </c>
      <c r="H528" s="3" t="s">
        <v>595</v>
      </c>
      <c r="I528" s="3" t="s">
        <v>600</v>
      </c>
      <c r="J528" s="4">
        <v>2</v>
      </c>
      <c r="K528" s="4">
        <v>762.86850000000004</v>
      </c>
      <c r="L528" s="4" t="str">
        <f>HYPERLINK("http://ms.phosphosite.org:5080/cgi-bin/plot-msms.cgi?MassType=1&amp;NumAxis=1&amp;Mod1=184&amp;Mod15=147&amp;Pep=RGGPGGPPGPLMEQM&amp;Dta=/var/www/html/dta/yong/23616.9868.2.dta&amp;Global_Mod=CS57.0215", "9868")</f>
        <v>9868</v>
      </c>
      <c r="M528" s="4"/>
      <c r="N528" s="5">
        <v>48.6</v>
      </c>
      <c r="O528" s="5"/>
      <c r="P528" s="5">
        <v>2.4790000000000001</v>
      </c>
      <c r="Q528" s="5"/>
      <c r="R528" s="5">
        <v>1.7890999999999999</v>
      </c>
      <c r="S528" s="5"/>
      <c r="T528" s="5">
        <v>0.15570000000000001</v>
      </c>
      <c r="U528" s="5"/>
      <c r="V528" s="4">
        <v>1</v>
      </c>
      <c r="W528" s="4"/>
      <c r="X528" s="5">
        <v>1.7</v>
      </c>
      <c r="Y528" s="5"/>
      <c r="Z528" s="6">
        <v>1000</v>
      </c>
      <c r="AA528" s="6"/>
      <c r="AB528" s="4" t="s">
        <v>13</v>
      </c>
    </row>
    <row r="529" spans="1:28" s="12" customFormat="1">
      <c r="A529" s="3" t="s">
        <v>580</v>
      </c>
      <c r="B529" s="9" t="s">
        <v>1638</v>
      </c>
      <c r="C529" s="9" t="s">
        <v>1639</v>
      </c>
      <c r="D529" s="4">
        <v>615</v>
      </c>
      <c r="E529" s="3" t="s">
        <v>592</v>
      </c>
      <c r="F529" s="7" t="s">
        <v>1394</v>
      </c>
      <c r="G529" s="4">
        <v>68.400000000000006</v>
      </c>
      <c r="H529" s="3" t="s">
        <v>595</v>
      </c>
      <c r="I529" s="3" t="s">
        <v>597</v>
      </c>
      <c r="J529" s="4">
        <v>2</v>
      </c>
      <c r="K529" s="4">
        <v>697.34829999999999</v>
      </c>
      <c r="L529" s="4"/>
      <c r="M529" s="4" t="str">
        <f>HYPERLINK("http://ms.phosphosite.org:5080/cgi-bin/plot-msms.cgi?MassType=1&amp;NumAxis=1&amp;Mod1=184&amp;Mod12=147&amp;Pep=RGGPGGPPGPLMEQ&amp;Dta=/var/www/html/dta/yong/23617.7356.2.dta&amp;Global_Mod=CS57.0215", "7356")</f>
        <v>7356</v>
      </c>
      <c r="N529" s="5"/>
      <c r="O529" s="5">
        <v>37.67</v>
      </c>
      <c r="P529" s="5"/>
      <c r="Q529" s="5">
        <v>3.4319999999999999</v>
      </c>
      <c r="R529" s="5"/>
      <c r="S529" s="5">
        <v>0.69540000000000002</v>
      </c>
      <c r="T529" s="5"/>
      <c r="U529" s="5">
        <v>0.32850000000000001</v>
      </c>
      <c r="V529" s="4"/>
      <c r="W529" s="4">
        <v>1</v>
      </c>
      <c r="X529" s="5"/>
      <c r="Y529" s="5">
        <v>3.03</v>
      </c>
      <c r="Z529" s="6"/>
      <c r="AA529" s="6">
        <v>1000</v>
      </c>
      <c r="AB529" s="4" t="s">
        <v>13</v>
      </c>
    </row>
    <row r="530" spans="1:28" s="12" customFormat="1">
      <c r="A530" s="3" t="s">
        <v>580</v>
      </c>
      <c r="B530" s="9" t="s">
        <v>1638</v>
      </c>
      <c r="C530" s="9" t="s">
        <v>1639</v>
      </c>
      <c r="D530" s="4">
        <v>615</v>
      </c>
      <c r="E530" s="3" t="s">
        <v>592</v>
      </c>
      <c r="F530" s="7" t="s">
        <v>1394</v>
      </c>
      <c r="G530" s="4">
        <v>68.400000000000006</v>
      </c>
      <c r="H530" s="3" t="s">
        <v>595</v>
      </c>
      <c r="I530" s="3" t="s">
        <v>598</v>
      </c>
      <c r="J530" s="4">
        <v>2</v>
      </c>
      <c r="K530" s="4">
        <v>770.86599999999999</v>
      </c>
      <c r="L530" s="4"/>
      <c r="M530" s="4" t="str">
        <f>HYPERLINK("http://ms.phosphosite.org:5080/cgi-bin/plot-msms.cgi?MassType=1&amp;NumAxis=1&amp;Mod1=184&amp;Mod12=147&amp;Mod15=147&amp;Pep=RGGPGGPPGPLMEQM&amp;Dta=/var/www/html/dta/yong/23617.7491.2.dta&amp;Global_Mod=CS57.0215", "7491")</f>
        <v>7491</v>
      </c>
      <c r="N530" s="5"/>
      <c r="O530" s="5">
        <v>38.24</v>
      </c>
      <c r="P530" s="5"/>
      <c r="Q530" s="5">
        <v>4.1589999999999998</v>
      </c>
      <c r="R530" s="5"/>
      <c r="S530" s="5">
        <v>0.8236</v>
      </c>
      <c r="T530" s="5"/>
      <c r="U530" s="5">
        <v>0.4546</v>
      </c>
      <c r="V530" s="4"/>
      <c r="W530" s="4">
        <v>1</v>
      </c>
      <c r="X530" s="5"/>
      <c r="Y530" s="5">
        <v>3.95</v>
      </c>
      <c r="Z530" s="6"/>
      <c r="AA530" s="6">
        <v>1000</v>
      </c>
      <c r="AB530" s="4" t="s">
        <v>13</v>
      </c>
    </row>
    <row r="531" spans="1:28" s="12" customFormat="1">
      <c r="A531" s="3" t="s">
        <v>580</v>
      </c>
      <c r="B531" s="9" t="s">
        <v>1638</v>
      </c>
      <c r="C531" s="9" t="s">
        <v>1639</v>
      </c>
      <c r="D531" s="4">
        <v>615</v>
      </c>
      <c r="E531" s="3" t="s">
        <v>592</v>
      </c>
      <c r="F531" s="7" t="s">
        <v>1394</v>
      </c>
      <c r="G531" s="4">
        <v>68.400000000000006</v>
      </c>
      <c r="H531" s="3" t="s">
        <v>595</v>
      </c>
      <c r="I531" s="3" t="s">
        <v>598</v>
      </c>
      <c r="J531" s="4">
        <v>2</v>
      </c>
      <c r="K531" s="4">
        <v>770.86599999999999</v>
      </c>
      <c r="L531" s="4"/>
      <c r="M531" s="4" t="str">
        <f>HYPERLINK("http://ms.phosphosite.org:5080/cgi-bin/plot-msms.cgi?MassType=1&amp;NumAxis=1&amp;Mod1=184&amp;Mod12=147&amp;Mod15=147&amp;Pep=RGGPGGPPGPLMEQM&amp;Dta=/var/www/html/dta/yong/23617.7698.2.dta&amp;Global_Mod=CS57.0215", "7698")</f>
        <v>7698</v>
      </c>
      <c r="N531" s="5"/>
      <c r="O531" s="5">
        <v>39.15</v>
      </c>
      <c r="P531" s="5"/>
      <c r="Q531" s="5">
        <v>3.7949999999999999</v>
      </c>
      <c r="R531" s="5"/>
      <c r="S531" s="5">
        <v>0.70579999999999998</v>
      </c>
      <c r="T531" s="5"/>
      <c r="U531" s="5">
        <v>0.34210000000000002</v>
      </c>
      <c r="V531" s="4"/>
      <c r="W531" s="4">
        <v>1</v>
      </c>
      <c r="X531" s="5"/>
      <c r="Y531" s="5">
        <v>3.21</v>
      </c>
      <c r="Z531" s="6"/>
      <c r="AA531" s="6">
        <v>1000</v>
      </c>
      <c r="AB531" s="4" t="s">
        <v>13</v>
      </c>
    </row>
    <row r="532" spans="1:28" s="12" customFormat="1">
      <c r="A532" s="3" t="s">
        <v>580</v>
      </c>
      <c r="B532" s="3" t="s">
        <v>601</v>
      </c>
      <c r="C532" s="3" t="s">
        <v>602</v>
      </c>
      <c r="D532" s="4">
        <v>8</v>
      </c>
      <c r="E532" s="3" t="s">
        <v>603</v>
      </c>
      <c r="F532" s="7" t="s">
        <v>1395</v>
      </c>
      <c r="G532" s="4">
        <v>33.799999999999997</v>
      </c>
      <c r="H532" s="3" t="s">
        <v>606</v>
      </c>
      <c r="I532" s="3" t="s">
        <v>607</v>
      </c>
      <c r="J532" s="4">
        <v>3</v>
      </c>
      <c r="K532" s="4">
        <v>427.88510000000002</v>
      </c>
      <c r="L532" s="4"/>
      <c r="M532" s="4" t="str">
        <f>HYPERLINK("http://ms.phosphosite.org:5080/cgi-bin/plot-msms.cgi?MassType=1&amp;NumAxis=1&amp;Mod1=147&amp;Mod8=184&amp;Pep=MKPGFSPRGGGF&amp;Dta=/var/www/html/dta/yong/23617.8638.3.dta&amp;Global_Mod=CS57.0215", "8638")</f>
        <v>8638</v>
      </c>
      <c r="N532" s="5"/>
      <c r="O532" s="5">
        <v>43.01</v>
      </c>
      <c r="P532" s="5"/>
      <c r="Q532" s="5">
        <v>2.3079999999999998</v>
      </c>
      <c r="R532" s="5"/>
      <c r="S532" s="5">
        <v>3.3000000000000002E-2</v>
      </c>
      <c r="T532" s="5"/>
      <c r="U532" s="5">
        <v>0.14879999999999999</v>
      </c>
      <c r="V532" s="4"/>
      <c r="W532" s="4">
        <v>108</v>
      </c>
      <c r="X532" s="5"/>
      <c r="Y532" s="5">
        <v>1.26</v>
      </c>
      <c r="Z532" s="6"/>
      <c r="AA532" s="6">
        <v>1000</v>
      </c>
      <c r="AB532" s="4" t="s">
        <v>13</v>
      </c>
    </row>
    <row r="533" spans="1:28" s="12" customFormat="1">
      <c r="A533" s="9" t="s">
        <v>580</v>
      </c>
      <c r="B533" s="9" t="s">
        <v>601</v>
      </c>
      <c r="C533" s="9" t="s">
        <v>602</v>
      </c>
      <c r="D533" s="7">
        <v>59</v>
      </c>
      <c r="E533" s="9" t="s">
        <v>603</v>
      </c>
      <c r="F533" s="7" t="s">
        <v>1395</v>
      </c>
      <c r="G533" s="7">
        <v>33.799999999999997</v>
      </c>
      <c r="H533" s="9" t="s">
        <v>604</v>
      </c>
      <c r="I533" s="9" t="s">
        <v>605</v>
      </c>
      <c r="J533" s="7">
        <v>2</v>
      </c>
      <c r="K533" s="7">
        <v>660.29539999999997</v>
      </c>
      <c r="L533" s="7"/>
      <c r="M533" s="7" t="str">
        <f>HYPERLINK("http://ms.phosphosite.org:5080/cgi-bin/plot-msms.cgi?MassType=1&amp;NumAxis=1&amp;Mod14=184&amp;Pep=GGGGGGGGGGGGGRGGGGF&amp;Dta=/var/www/html/dta/yong/23617.3392.2.dta&amp;Global_Mod=CS57.0215", "3392")</f>
        <v>3392</v>
      </c>
      <c r="N533" s="10"/>
      <c r="O533" s="10">
        <v>21.03</v>
      </c>
      <c r="P533" s="10"/>
      <c r="Q533" s="10">
        <v>3.1970000000000001</v>
      </c>
      <c r="R533" s="10"/>
      <c r="S533" s="10">
        <v>1.262</v>
      </c>
      <c r="T533" s="10"/>
      <c r="U533" s="10">
        <v>0.32040000000000002</v>
      </c>
      <c r="V533" s="7"/>
      <c r="W533" s="7">
        <v>1</v>
      </c>
      <c r="X533" s="10"/>
      <c r="Y533" s="10">
        <v>2.44</v>
      </c>
      <c r="Z533" s="11"/>
      <c r="AA533" s="11">
        <v>1000</v>
      </c>
      <c r="AB533" s="7" t="s">
        <v>13</v>
      </c>
    </row>
    <row r="534" spans="1:28" s="12" customFormat="1">
      <c r="A534" s="9" t="s">
        <v>580</v>
      </c>
      <c r="B534" s="9" t="s">
        <v>608</v>
      </c>
      <c r="C534" s="9" t="s">
        <v>608</v>
      </c>
      <c r="D534" s="7">
        <v>197</v>
      </c>
      <c r="E534" s="9" t="s">
        <v>609</v>
      </c>
      <c r="F534" s="7" t="s">
        <v>1396</v>
      </c>
      <c r="G534" s="7">
        <v>22.3</v>
      </c>
      <c r="H534" s="9" t="s">
        <v>610</v>
      </c>
      <c r="I534" s="9" t="s">
        <v>611</v>
      </c>
      <c r="J534" s="7">
        <v>2</v>
      </c>
      <c r="K534" s="7">
        <v>403.69880000000001</v>
      </c>
      <c r="L534" s="7" t="str">
        <f>HYPERLINK("http://ms.phosphosite.org:5080/cgi-bin/plot-msms.cgi?MassType=1&amp;NumAxis=1&amp;Mod3=184&amp;Pep=GGRGGGGGGF&amp;Dta=/var/www/html/dta/yong/23616.2735.2.dta&amp;Global_Mod=CS57.0215", "2735")</f>
        <v>2735</v>
      </c>
      <c r="M534" s="7" t="str">
        <f>HYPERLINK("http://ms.phosphosite.org:5080/cgi-bin/plot-msms.cgi?MassType=1&amp;NumAxis=1&amp;Mod3=184&amp;Pep=GGRGGGGGGF&amp;Dta=/var/www/html/dta/yong/23617.2800.2.dta&amp;Global_Mod=CS57.0215", "2800")</f>
        <v>2800</v>
      </c>
      <c r="N534" s="10">
        <v>18.559999999999999</v>
      </c>
      <c r="O534" s="10">
        <v>18.600000000000001</v>
      </c>
      <c r="P534" s="10">
        <v>2.2719999999999998</v>
      </c>
      <c r="Q534" s="10">
        <v>2.6190000000000002</v>
      </c>
      <c r="R534" s="10">
        <v>0.21859999999999999</v>
      </c>
      <c r="S534" s="10">
        <v>0.1825</v>
      </c>
      <c r="T534" s="10">
        <v>0.12989999999999999</v>
      </c>
      <c r="U534" s="10">
        <v>0.15129999999999999</v>
      </c>
      <c r="V534" s="7">
        <v>1</v>
      </c>
      <c r="W534" s="7">
        <v>2</v>
      </c>
      <c r="X534" s="10">
        <v>1.23</v>
      </c>
      <c r="Y534" s="10">
        <v>1.49</v>
      </c>
      <c r="Z534" s="11">
        <v>1000</v>
      </c>
      <c r="AA534" s="11">
        <v>1000</v>
      </c>
      <c r="AB534" s="7" t="s">
        <v>13</v>
      </c>
    </row>
    <row r="535" spans="1:28" s="12" customFormat="1">
      <c r="A535" s="3" t="s">
        <v>580</v>
      </c>
      <c r="B535" s="3" t="s">
        <v>612</v>
      </c>
      <c r="C535" s="3" t="s">
        <v>613</v>
      </c>
      <c r="D535" s="4">
        <v>291</v>
      </c>
      <c r="E535" s="3" t="s">
        <v>614</v>
      </c>
      <c r="F535" s="7" t="s">
        <v>1397</v>
      </c>
      <c r="G535" s="4">
        <v>30.8</v>
      </c>
      <c r="H535" s="3" t="s">
        <v>615</v>
      </c>
      <c r="I535" s="3" t="s">
        <v>616</v>
      </c>
      <c r="J535" s="4">
        <v>2</v>
      </c>
      <c r="K535" s="4">
        <v>984.92719999999997</v>
      </c>
      <c r="L535" s="4" t="str">
        <f>HYPERLINK("http://ms.phosphosite.org:5080/cgi-bin/plot-msms.cgi?MassType=1&amp;NumAxis=1&amp;Mod7=184&amp;Pep=SNSGPYRGGYGGGGGYGGSSF&amp;Dta=/var/www/html/dta/yong/23616.11653.2.dta&amp;Global_Mod=CS57.0215", "11653")</f>
        <v>11653</v>
      </c>
      <c r="M535" s="4" t="str">
        <f>HYPERLINK("http://ms.phosphosite.org:5080/cgi-bin/plot-msms.cgi?MassType=1&amp;NumAxis=1&amp;Mod7=184&amp;Pep=SNSGPYRGGYGGGGGYGGSSF&amp;Dta=/var/www/html/dta/yong/23617.11789.2.dta&amp;Global_Mod=CS57.0215", "11789")</f>
        <v>11789</v>
      </c>
      <c r="N535" s="5">
        <v>56.1</v>
      </c>
      <c r="O535" s="5">
        <v>56.12</v>
      </c>
      <c r="P535" s="5">
        <v>3.794</v>
      </c>
      <c r="Q535" s="5">
        <v>4.4219999999999997</v>
      </c>
      <c r="R535" s="5">
        <v>1.3586</v>
      </c>
      <c r="S535" s="5">
        <v>1.4140999999999999</v>
      </c>
      <c r="T535" s="5">
        <v>0.48349999999999999</v>
      </c>
      <c r="U535" s="5">
        <v>0.46579999999999999</v>
      </c>
      <c r="V535" s="4">
        <v>1</v>
      </c>
      <c r="W535" s="4">
        <v>1</v>
      </c>
      <c r="X535" s="5">
        <v>3.48</v>
      </c>
      <c r="Y535" s="5">
        <v>3.57</v>
      </c>
      <c r="Z535" s="6">
        <v>1000</v>
      </c>
      <c r="AA535" s="6">
        <v>1000</v>
      </c>
      <c r="AB535" s="4" t="s">
        <v>13</v>
      </c>
    </row>
    <row r="536" spans="1:28" s="12" customFormat="1">
      <c r="A536" s="3" t="s">
        <v>580</v>
      </c>
      <c r="B536" s="3" t="s">
        <v>612</v>
      </c>
      <c r="C536" s="3" t="s">
        <v>613</v>
      </c>
      <c r="D536" s="4">
        <v>291</v>
      </c>
      <c r="E536" s="3" t="s">
        <v>614</v>
      </c>
      <c r="F536" s="7" t="s">
        <v>1397</v>
      </c>
      <c r="G536" s="4">
        <v>30.8</v>
      </c>
      <c r="H536" s="3" t="s">
        <v>615</v>
      </c>
      <c r="I536" s="3" t="s">
        <v>616</v>
      </c>
      <c r="J536" s="4">
        <v>2</v>
      </c>
      <c r="K536" s="4">
        <v>984.92719999999997</v>
      </c>
      <c r="L536" s="4" t="str">
        <f>HYPERLINK("http://ms.phosphosite.org:5080/cgi-bin/plot-msms.cgi?MassType=1&amp;NumAxis=1&amp;Mod7=184&amp;Pep=SNSGPYRGGYGGGGGYGGSSF&amp;Dta=/var/www/html/dta/yong/23616.11663.2.dta&amp;Global_Mod=CS57.0215", "11663")</f>
        <v>11663</v>
      </c>
      <c r="M536" s="4"/>
      <c r="N536" s="5">
        <v>56.14</v>
      </c>
      <c r="O536" s="5"/>
      <c r="P536" s="5">
        <v>5.1100000000000003</v>
      </c>
      <c r="Q536" s="5"/>
      <c r="R536" s="5">
        <v>1.3586</v>
      </c>
      <c r="S536" s="5"/>
      <c r="T536" s="5">
        <v>0.57940000000000003</v>
      </c>
      <c r="U536" s="5"/>
      <c r="V536" s="4">
        <v>1</v>
      </c>
      <c r="W536" s="4"/>
      <c r="X536" s="5">
        <v>4.4000000000000004</v>
      </c>
      <c r="Y536" s="5"/>
      <c r="Z536" s="6">
        <v>1000</v>
      </c>
      <c r="AA536" s="6"/>
      <c r="AB536" s="4" t="s">
        <v>13</v>
      </c>
    </row>
    <row r="537" spans="1:28" s="13" customFormat="1">
      <c r="A537" s="13" t="s">
        <v>580</v>
      </c>
      <c r="B537" s="13" t="s">
        <v>1640</v>
      </c>
      <c r="C537" s="13" t="s">
        <v>1641</v>
      </c>
      <c r="D537" s="15" t="s">
        <v>1790</v>
      </c>
      <c r="E537" s="13" t="s">
        <v>617</v>
      </c>
      <c r="F537" s="15" t="s">
        <v>1493</v>
      </c>
      <c r="G537" s="15">
        <v>34.200000000000003</v>
      </c>
      <c r="H537" s="13" t="s">
        <v>618</v>
      </c>
      <c r="I537" s="13" t="s">
        <v>620</v>
      </c>
      <c r="J537" s="15">
        <v>4</v>
      </c>
      <c r="K537" s="15">
        <v>856.40219999999999</v>
      </c>
      <c r="L537" s="15" t="str">
        <f>HYPERLINK("http://ms.phosphosite.org:5080/cgi-bin/plot-msms.cgi?MassType=1&amp;NumAxis=1&amp;Mod10=184&amp;Mod22=184&amp;Mod29=184&amp;Mod36=170&amp;Pep=SGSGNFGGGRGGGFGGNDNFGRGGNFSGRGGFGGSR&amp;Dta=/var/www/html/dta/yong/23616.12228.4.dta&amp;Global_Mod=CS57.0215", "12228")</f>
        <v>12228</v>
      </c>
      <c r="M537" s="15"/>
      <c r="N537" s="16">
        <v>58.66</v>
      </c>
      <c r="O537" s="16"/>
      <c r="P537" s="16">
        <v>3.5640000000000001</v>
      </c>
      <c r="Q537" s="16"/>
      <c r="R537" s="16">
        <v>1.0741000000000001</v>
      </c>
      <c r="S537" s="16"/>
      <c r="T537" s="16">
        <v>0.1794</v>
      </c>
      <c r="U537" s="16"/>
      <c r="V537" s="15">
        <v>16</v>
      </c>
      <c r="W537" s="15"/>
      <c r="X537" s="16">
        <v>1.31</v>
      </c>
      <c r="Y537" s="16"/>
      <c r="Z537" s="17" t="s">
        <v>1305</v>
      </c>
      <c r="AA537" s="17"/>
      <c r="AB537" s="15" t="s">
        <v>13</v>
      </c>
    </row>
    <row r="538" spans="1:28" s="12" customFormat="1">
      <c r="A538" s="9" t="s">
        <v>580</v>
      </c>
      <c r="B538" s="9" t="s">
        <v>1640</v>
      </c>
      <c r="C538" s="9" t="s">
        <v>1641</v>
      </c>
      <c r="D538" s="7" t="s">
        <v>1790</v>
      </c>
      <c r="E538" s="9" t="s">
        <v>617</v>
      </c>
      <c r="F538" s="7" t="s">
        <v>1493</v>
      </c>
      <c r="G538" s="7">
        <v>34.200000000000003</v>
      </c>
      <c r="H538" s="9" t="s">
        <v>618</v>
      </c>
      <c r="I538" s="9" t="s">
        <v>619</v>
      </c>
      <c r="J538" s="7">
        <v>4</v>
      </c>
      <c r="K538" s="7">
        <v>752.36080000000004</v>
      </c>
      <c r="L538" s="7"/>
      <c r="M538" s="7" t="str">
        <f>HYPERLINK("http://ms.phosphosite.org:5080/cgi-bin/plot-msms.cgi?MassType=1&amp;NumAxis=1&amp;Mod5=184&amp;Mod17=184&amp;Mod24=184&amp;Pep=FGGGRGGGFGGNDNFGRGGNFSGRGGFGGSR&amp;Dta=/var/www/html/dta/yong/23617.12029.4.dta&amp;Global_Mod=CS57.0215", "12029")</f>
        <v>12029</v>
      </c>
      <c r="N538" s="10"/>
      <c r="O538" s="10">
        <v>57.2</v>
      </c>
      <c r="P538" s="10"/>
      <c r="Q538" s="10">
        <v>3.3820000000000001</v>
      </c>
      <c r="R538" s="10"/>
      <c r="S538" s="10">
        <v>0.66869999999999996</v>
      </c>
      <c r="T538" s="10"/>
      <c r="U538" s="10">
        <v>0.12640000000000001</v>
      </c>
      <c r="V538" s="7"/>
      <c r="W538" s="7">
        <v>2</v>
      </c>
      <c r="X538" s="10"/>
      <c r="Y538" s="10">
        <v>1.07</v>
      </c>
      <c r="Z538" s="11"/>
      <c r="AA538" s="11" t="s">
        <v>1307</v>
      </c>
      <c r="AB538" s="7" t="s">
        <v>13</v>
      </c>
    </row>
    <row r="539" spans="1:28" s="12" customFormat="1">
      <c r="A539" s="3" t="s">
        <v>580</v>
      </c>
      <c r="B539" s="3" t="s">
        <v>1642</v>
      </c>
      <c r="C539" s="3" t="s">
        <v>1641</v>
      </c>
      <c r="D539" s="4" t="s">
        <v>1791</v>
      </c>
      <c r="E539" s="3" t="s">
        <v>617</v>
      </c>
      <c r="F539" s="7" t="s">
        <v>1493</v>
      </c>
      <c r="G539" s="4">
        <v>34.200000000000003</v>
      </c>
      <c r="H539" s="3" t="s">
        <v>621</v>
      </c>
      <c r="I539" s="3" t="s">
        <v>622</v>
      </c>
      <c r="J539" s="4">
        <v>3</v>
      </c>
      <c r="K539" s="4">
        <v>772.34810000000004</v>
      </c>
      <c r="L539" s="4" t="str">
        <f>HYPERLINK("http://ms.phosphosite.org:5080/cgi-bin/plot-msms.cgi?MassType=1&amp;NumAxis=1&amp;Mod10=184&amp;Mod22=184&amp;Pep=SGSGNFGGGRGGGFGGNDNFGRGGN&amp;Dta=/var/www/html/dta/yong/23616.10122.3.dta&amp;Global_Mod=CS57.0215", "10122")</f>
        <v>10122</v>
      </c>
      <c r="M539" s="4" t="str">
        <f>HYPERLINK("http://ms.phosphosite.org:5080/cgi-bin/plot-msms.cgi?MassType=1&amp;NumAxis=1&amp;Mod10=184&amp;Mod22=184&amp;Pep=SGSGNFGGGRGGGFGGNDNFGRGGN&amp;Dta=/var/www/html/dta/yong/23617.10241.3.dta&amp;Global_Mod=CS57.0215", "10241")</f>
        <v>10241</v>
      </c>
      <c r="N539" s="5">
        <v>49.64</v>
      </c>
      <c r="O539" s="5">
        <v>49.62</v>
      </c>
      <c r="P539" s="5">
        <v>2.9180000000000001</v>
      </c>
      <c r="Q539" s="5">
        <v>3.496</v>
      </c>
      <c r="R539" s="5">
        <v>-0.49580000000000002</v>
      </c>
      <c r="S539" s="5">
        <v>-0.58789999999999998</v>
      </c>
      <c r="T539" s="5">
        <v>0.27339999999999998</v>
      </c>
      <c r="U539" s="5">
        <v>0.33910000000000001</v>
      </c>
      <c r="V539" s="4">
        <v>1</v>
      </c>
      <c r="W539" s="4">
        <v>1</v>
      </c>
      <c r="X539" s="5">
        <v>1.92</v>
      </c>
      <c r="Y539" s="5">
        <v>2.5099999999999998</v>
      </c>
      <c r="Z539" s="6" t="s">
        <v>1306</v>
      </c>
      <c r="AA539" s="6" t="s">
        <v>1306</v>
      </c>
      <c r="AB539" s="4" t="s">
        <v>13</v>
      </c>
    </row>
    <row r="540" spans="1:28" s="13" customFormat="1">
      <c r="A540" s="13" t="s">
        <v>580</v>
      </c>
      <c r="B540" s="13" t="s">
        <v>1643</v>
      </c>
      <c r="C540" s="13" t="s">
        <v>1641</v>
      </c>
      <c r="D540" s="15" t="s">
        <v>1792</v>
      </c>
      <c r="E540" s="13" t="s">
        <v>617</v>
      </c>
      <c r="F540" s="15" t="s">
        <v>1493</v>
      </c>
      <c r="G540" s="15">
        <v>34.200000000000003</v>
      </c>
      <c r="H540" s="13" t="s">
        <v>623</v>
      </c>
      <c r="I540" s="13" t="s">
        <v>624</v>
      </c>
      <c r="J540" s="15">
        <v>4</v>
      </c>
      <c r="K540" s="15">
        <v>849.39440000000002</v>
      </c>
      <c r="L540" s="15"/>
      <c r="M540" s="15" t="str">
        <f>HYPERLINK("http://ms.phosphosite.org:5080/cgi-bin/plot-msms.cgi?MassType=1&amp;NumAxis=1&amp;Mod10=184&amp;Mod22=170&amp;Mod29=184&amp;Pep=SGSGNFGGGRGGGFGGNDNFGRGGNFSGRGGFGGSR&amp;Dta=/var/www/html/dta/yong/23617.12088.4.dta&amp;Global_Mod=CS57.0215", "12088")</f>
        <v>12088</v>
      </c>
      <c r="N540" s="16"/>
      <c r="O540" s="16">
        <v>57.47</v>
      </c>
      <c r="P540" s="16"/>
      <c r="Q540" s="16">
        <v>4.1749999999999998</v>
      </c>
      <c r="R540" s="16"/>
      <c r="S540" s="16">
        <v>1.3734999999999999</v>
      </c>
      <c r="T540" s="16"/>
      <c r="U540" s="16">
        <v>0.33360000000000001</v>
      </c>
      <c r="V540" s="15"/>
      <c r="W540" s="15">
        <v>3</v>
      </c>
      <c r="X540" s="16"/>
      <c r="Y540" s="16">
        <v>2.4</v>
      </c>
      <c r="Z540" s="17"/>
      <c r="AA540" s="17" t="s">
        <v>1307</v>
      </c>
      <c r="AB540" s="15" t="s">
        <v>13</v>
      </c>
    </row>
    <row r="541" spans="1:28" s="13" customFormat="1">
      <c r="A541" s="18" t="s">
        <v>580</v>
      </c>
      <c r="B541" s="13" t="s">
        <v>1643</v>
      </c>
      <c r="C541" s="13" t="s">
        <v>1641</v>
      </c>
      <c r="D541" s="19">
        <v>206</v>
      </c>
      <c r="E541" s="18" t="s">
        <v>617</v>
      </c>
      <c r="F541" s="15" t="s">
        <v>1493</v>
      </c>
      <c r="G541" s="19">
        <v>34.200000000000003</v>
      </c>
      <c r="H541" s="18" t="s">
        <v>625</v>
      </c>
      <c r="I541" s="18" t="s">
        <v>626</v>
      </c>
      <c r="J541" s="19">
        <v>3</v>
      </c>
      <c r="K541" s="19">
        <v>691.64760000000001</v>
      </c>
      <c r="L541" s="19" t="str">
        <f>HYPERLINK("http://ms.phosphosite.org:5080/cgi-bin/plot-msms.cgi?MassType=1&amp;NumAxis=1&amp;Mod10=184&amp;Mod22=170&amp;Pep=SGSGNFGGGRGGGFGGNDNFGR&amp;Dta=/var/www/html/dta/yong/23616.10216.3.dta&amp;Global_Mod=CS57.0215", "10216")</f>
        <v>10216</v>
      </c>
      <c r="M541" s="19"/>
      <c r="N541" s="20">
        <v>50.05</v>
      </c>
      <c r="O541" s="20"/>
      <c r="P541" s="20">
        <v>2.173</v>
      </c>
      <c r="Q541" s="20"/>
      <c r="R541" s="20">
        <v>0.503</v>
      </c>
      <c r="S541" s="20"/>
      <c r="T541" s="20">
        <v>0.15840000000000001</v>
      </c>
      <c r="U541" s="20"/>
      <c r="V541" s="19">
        <v>1</v>
      </c>
      <c r="W541" s="19"/>
      <c r="X541" s="20">
        <v>1.3</v>
      </c>
      <c r="Y541" s="20"/>
      <c r="Z541" s="21" t="s">
        <v>1306</v>
      </c>
      <c r="AA541" s="21"/>
      <c r="AB541" s="19" t="s">
        <v>13</v>
      </c>
    </row>
    <row r="542" spans="1:28" s="13" customFormat="1">
      <c r="A542" s="18" t="s">
        <v>580</v>
      </c>
      <c r="B542" s="18" t="s">
        <v>1644</v>
      </c>
      <c r="C542" s="18" t="s">
        <v>1645</v>
      </c>
      <c r="D542" s="19"/>
      <c r="E542" s="18" t="s">
        <v>627</v>
      </c>
      <c r="F542" s="15" t="s">
        <v>1398</v>
      </c>
      <c r="G542" s="19">
        <v>37.4</v>
      </c>
      <c r="H542" s="18"/>
      <c r="I542" s="18" t="s">
        <v>630</v>
      </c>
      <c r="J542" s="19">
        <v>4</v>
      </c>
      <c r="K542" s="19">
        <v>675.81569999999999</v>
      </c>
      <c r="L542" s="19" t="str">
        <f>HYPERLINK("http://ms.phosphosite.org:5080/cgi-bin/plot-msms.cgi?MassType=1&amp;NumAxis=1&amp;Mod3=170&amp;Mod13=170&amp;Pep=SGRGGNFGFGDSRGGGGNFGPGPGSNFR&amp;Dta=/var/www/html/dta/yong/23616.12949.4.dta&amp;Global_Mod=CS57.0215", "12949")</f>
        <v>12949</v>
      </c>
      <c r="M542" s="19"/>
      <c r="N542" s="20">
        <v>61.72</v>
      </c>
      <c r="O542" s="20"/>
      <c r="P542" s="20">
        <v>2.9830000000000001</v>
      </c>
      <c r="Q542" s="20"/>
      <c r="R542" s="20">
        <v>1.2264999999999999</v>
      </c>
      <c r="S542" s="20"/>
      <c r="T542" s="20">
        <v>0.13469999999999999</v>
      </c>
      <c r="U542" s="20"/>
      <c r="V542" s="19">
        <v>15</v>
      </c>
      <c r="W542" s="19"/>
      <c r="X542" s="20">
        <v>1.23</v>
      </c>
      <c r="Y542" s="20"/>
      <c r="Z542" s="21" t="s">
        <v>1306</v>
      </c>
      <c r="AA542" s="21"/>
      <c r="AB542" s="19" t="s">
        <v>13</v>
      </c>
    </row>
    <row r="543" spans="1:28" s="13" customFormat="1">
      <c r="A543" s="18" t="s">
        <v>580</v>
      </c>
      <c r="B543" s="18" t="s">
        <v>1644</v>
      </c>
      <c r="C543" s="18" t="s">
        <v>1645</v>
      </c>
      <c r="D543" s="19"/>
      <c r="E543" s="18" t="s">
        <v>627</v>
      </c>
      <c r="F543" s="15" t="s">
        <v>1398</v>
      </c>
      <c r="G543" s="19">
        <v>37.4</v>
      </c>
      <c r="H543" s="18"/>
      <c r="I543" s="18" t="s">
        <v>628</v>
      </c>
      <c r="J543" s="19">
        <v>3</v>
      </c>
      <c r="K543" s="19">
        <v>837.02329999999995</v>
      </c>
      <c r="L543" s="19" t="str">
        <f>HYPERLINK("http://ms.phosphosite.org:5080/cgi-bin/plot-msms.cgi?MassType=1&amp;NumAxis=1&amp;Mod28=170&amp;Pep=GFGDGYNGYGGGPGGGNFGGSPGYGGGR&amp;Dta=/var/www/html/dta/yong/23616.14487.3.dta&amp;Global_Mod=CS57.0215", "14487")</f>
        <v>14487</v>
      </c>
      <c r="M543" s="19" t="str">
        <f>HYPERLINK("http://ms.phosphosite.org:5080/cgi-bin/plot-msms.cgi?MassType=1&amp;NumAxis=1&amp;Mod28=170&amp;Pep=GFGDGYNGYGGGPGGGNFGGSPGYGGGR&amp;Dta=/var/www/html/dta/yong/23617.14621.3.dta&amp;Global_Mod=CS57.0215", "14621")</f>
        <v>14621</v>
      </c>
      <c r="N543" s="20">
        <v>68.5</v>
      </c>
      <c r="O543" s="20">
        <v>68.37</v>
      </c>
      <c r="P543" s="20">
        <v>5.1970000000000001</v>
      </c>
      <c r="Q543" s="20">
        <v>5.3520000000000003</v>
      </c>
      <c r="R543" s="20">
        <v>1.5777000000000001</v>
      </c>
      <c r="S543" s="20">
        <v>0.85060000000000002</v>
      </c>
      <c r="T543" s="20">
        <v>0.32279999999999998</v>
      </c>
      <c r="U543" s="20">
        <v>0.50009999999999999</v>
      </c>
      <c r="V543" s="19">
        <v>1</v>
      </c>
      <c r="W543" s="19">
        <v>1</v>
      </c>
      <c r="X543" s="20">
        <v>3.26</v>
      </c>
      <c r="Y543" s="20">
        <v>4.37</v>
      </c>
      <c r="Z543" s="21">
        <v>1000</v>
      </c>
      <c r="AA543" s="21">
        <v>1000</v>
      </c>
      <c r="AB543" s="19" t="s">
        <v>13</v>
      </c>
    </row>
    <row r="544" spans="1:28" s="13" customFormat="1">
      <c r="A544" s="18" t="s">
        <v>580</v>
      </c>
      <c r="B544" s="18" t="s">
        <v>1644</v>
      </c>
      <c r="C544" s="18" t="s">
        <v>1645</v>
      </c>
      <c r="D544" s="19"/>
      <c r="E544" s="18" t="s">
        <v>627</v>
      </c>
      <c r="F544" s="15" t="s">
        <v>1398</v>
      </c>
      <c r="G544" s="19">
        <v>37.4</v>
      </c>
      <c r="H544" s="18"/>
      <c r="I544" s="18" t="s">
        <v>629</v>
      </c>
      <c r="J544" s="19">
        <v>3</v>
      </c>
      <c r="K544" s="19">
        <v>796.02840000000003</v>
      </c>
      <c r="L544" s="19" t="str">
        <f>HYPERLINK("http://ms.phosphosite.org:5080/cgi-bin/plot-msms.cgi?MassType=1&amp;NumAxis=1&amp;Mod10=170&amp;Pep=GGNFGFGDSRGGGGNFGPGPGSNFR&amp;Dta=/var/www/html/dta/yong/23616.14829.3.dta&amp;Global_Mod=CS57.0215", "14829")</f>
        <v>14829</v>
      </c>
      <c r="M544" s="19" t="str">
        <f>HYPERLINK("http://ms.phosphosite.org:5080/cgi-bin/plot-msms.cgi?MassType=1&amp;NumAxis=1&amp;Mod10=170&amp;Pep=GGNFGFGDSRGGGGNFGPGPGSNFR&amp;Dta=/var/www/html/dta/yong/23617.14963.3.dta&amp;Global_Mod=CS57.0215", "14963")</f>
        <v>14963</v>
      </c>
      <c r="N544" s="20">
        <v>70</v>
      </c>
      <c r="O544" s="20">
        <v>69.81</v>
      </c>
      <c r="P544" s="20">
        <v>5.7759999999999998</v>
      </c>
      <c r="Q544" s="20">
        <v>6.0049999999999999</v>
      </c>
      <c r="R544" s="20">
        <v>0.90459999999999996</v>
      </c>
      <c r="S544" s="20">
        <v>1.0208999999999999</v>
      </c>
      <c r="T544" s="20">
        <v>0.31890000000000002</v>
      </c>
      <c r="U544" s="20">
        <v>0.31640000000000001</v>
      </c>
      <c r="V544" s="19">
        <v>1</v>
      </c>
      <c r="W544" s="19">
        <v>1</v>
      </c>
      <c r="X544" s="20">
        <v>3.29</v>
      </c>
      <c r="Y544" s="20">
        <v>3.38</v>
      </c>
      <c r="Z544" s="21">
        <v>1000</v>
      </c>
      <c r="AA544" s="21">
        <v>1000</v>
      </c>
      <c r="AB544" s="19" t="s">
        <v>13</v>
      </c>
    </row>
    <row r="545" spans="1:28" s="13" customFormat="1">
      <c r="A545" s="18" t="s">
        <v>580</v>
      </c>
      <c r="B545" s="18" t="s">
        <v>1644</v>
      </c>
      <c r="C545" s="18" t="s">
        <v>1645</v>
      </c>
      <c r="D545" s="19"/>
      <c r="E545" s="18" t="s">
        <v>627</v>
      </c>
      <c r="F545" s="15" t="s">
        <v>1398</v>
      </c>
      <c r="G545" s="19">
        <v>37.4</v>
      </c>
      <c r="H545" s="18"/>
      <c r="I545" s="18" t="s">
        <v>629</v>
      </c>
      <c r="J545" s="19">
        <v>3</v>
      </c>
      <c r="K545" s="19">
        <v>796.02840000000003</v>
      </c>
      <c r="L545" s="19" t="str">
        <f>HYPERLINK("http://ms.phosphosite.org:5080/cgi-bin/plot-msms.cgi?MassType=1&amp;NumAxis=1&amp;Mod10=170&amp;Pep=GGNFGFGDSRGGGGNFGPGPGSNFR&amp;Dta=/var/www/html/dta/yong/23616.14932.3.dta&amp;Global_Mod=CS57.0215", "14932")</f>
        <v>14932</v>
      </c>
      <c r="M545" s="19"/>
      <c r="N545" s="20">
        <v>70.42</v>
      </c>
      <c r="O545" s="20"/>
      <c r="P545" s="20">
        <v>4.75</v>
      </c>
      <c r="Q545" s="20"/>
      <c r="R545" s="20">
        <v>0.92710000000000004</v>
      </c>
      <c r="S545" s="20"/>
      <c r="T545" s="20">
        <v>0.20730000000000001</v>
      </c>
      <c r="U545" s="20"/>
      <c r="V545" s="19">
        <v>1</v>
      </c>
      <c r="W545" s="19"/>
      <c r="X545" s="20">
        <v>2.36</v>
      </c>
      <c r="Y545" s="20"/>
      <c r="Z545" s="21">
        <v>1000</v>
      </c>
      <c r="AA545" s="21"/>
      <c r="AB545" s="19" t="s">
        <v>13</v>
      </c>
    </row>
    <row r="546" spans="1:28" s="13" customFormat="1">
      <c r="A546" s="18" t="s">
        <v>580</v>
      </c>
      <c r="B546" s="18" t="s">
        <v>1644</v>
      </c>
      <c r="C546" s="18" t="s">
        <v>1645</v>
      </c>
      <c r="D546" s="19"/>
      <c r="E546" s="18" t="s">
        <v>627</v>
      </c>
      <c r="F546" s="15" t="s">
        <v>1398</v>
      </c>
      <c r="G546" s="19">
        <v>37.4</v>
      </c>
      <c r="H546" s="18"/>
      <c r="I546" s="18" t="s">
        <v>628</v>
      </c>
      <c r="J546" s="19">
        <v>3</v>
      </c>
      <c r="K546" s="19">
        <v>837.02329999999995</v>
      </c>
      <c r="L546" s="19"/>
      <c r="M546" s="19" t="str">
        <f>HYPERLINK("http://ms.phosphosite.org:5080/cgi-bin/plot-msms.cgi?MassType=1&amp;NumAxis=1&amp;Mod28=170&amp;Pep=GFGDGYNGYGGGPGGGNFGGSPGYGGGR&amp;Dta=/var/www/html/dta/yong/23617.14630.3.dta&amp;Global_Mod=CS57.0215", "14630")</f>
        <v>14630</v>
      </c>
      <c r="N546" s="20"/>
      <c r="O546" s="20">
        <v>68.41</v>
      </c>
      <c r="P546" s="20"/>
      <c r="Q546" s="20">
        <v>5.3869999999999996</v>
      </c>
      <c r="R546" s="20"/>
      <c r="S546" s="20">
        <v>0.85060000000000002</v>
      </c>
      <c r="T546" s="20"/>
      <c r="U546" s="20">
        <v>0.42399999999999999</v>
      </c>
      <c r="V546" s="19"/>
      <c r="W546" s="19">
        <v>1</v>
      </c>
      <c r="X546" s="20"/>
      <c r="Y546" s="20">
        <v>3.96</v>
      </c>
      <c r="Z546" s="21"/>
      <c r="AA546" s="21">
        <v>1000</v>
      </c>
      <c r="AB546" s="19" t="s">
        <v>13</v>
      </c>
    </row>
    <row r="547" spans="1:28" s="12" customFormat="1">
      <c r="A547" s="3" t="s">
        <v>580</v>
      </c>
      <c r="B547" s="3" t="s">
        <v>1646</v>
      </c>
      <c r="C547" s="3" t="s">
        <v>1647</v>
      </c>
      <c r="D547" s="4" t="s">
        <v>1793</v>
      </c>
      <c r="E547" s="3" t="s">
        <v>631</v>
      </c>
      <c r="F547" s="7" t="s">
        <v>1399</v>
      </c>
      <c r="G547" s="4">
        <v>39.6</v>
      </c>
      <c r="H547" s="3" t="s">
        <v>632</v>
      </c>
      <c r="I547" s="3" t="s">
        <v>634</v>
      </c>
      <c r="J547" s="4">
        <v>3</v>
      </c>
      <c r="K547" s="4">
        <v>648.3175</v>
      </c>
      <c r="L547" s="4" t="str">
        <f>HYPERLINK("http://ms.phosphosite.org:5080/cgi-bin/plot-msms.cgi?MassType=1&amp;NumAxis=1&amp;Mod3=184&amp;Mod10=184&amp;Pep=FGRGGNFGGRGGYGGGGGGSR&amp;Dta=/var/www/html/dta/yong/23616.5602.3.dta&amp;Global_Mod=CS57.0215", "5602")</f>
        <v>5602</v>
      </c>
      <c r="M547" s="4"/>
      <c r="N547" s="5">
        <v>30.69</v>
      </c>
      <c r="O547" s="5"/>
      <c r="P547" s="5">
        <v>2.2829999999999999</v>
      </c>
      <c r="Q547" s="5"/>
      <c r="R547" s="5">
        <v>-8.0299999999999996E-2</v>
      </c>
      <c r="S547" s="5"/>
      <c r="T547" s="5">
        <v>0.1658</v>
      </c>
      <c r="U547" s="5"/>
      <c r="V547" s="4">
        <v>1</v>
      </c>
      <c r="W547" s="4"/>
      <c r="X547" s="5">
        <v>1.35</v>
      </c>
      <c r="Y547" s="5"/>
      <c r="Z547" s="6" t="s">
        <v>1306</v>
      </c>
      <c r="AA547" s="6"/>
      <c r="AB547" s="4" t="s">
        <v>13</v>
      </c>
    </row>
    <row r="548" spans="1:28" s="12" customFormat="1">
      <c r="A548" s="3" t="s">
        <v>580</v>
      </c>
      <c r="B548" s="3" t="s">
        <v>1646</v>
      </c>
      <c r="C548" s="3" t="s">
        <v>1647</v>
      </c>
      <c r="D548" s="4" t="s">
        <v>1793</v>
      </c>
      <c r="E548" s="3" t="s">
        <v>631</v>
      </c>
      <c r="F548" s="7" t="s">
        <v>1399</v>
      </c>
      <c r="G548" s="4">
        <v>39.6</v>
      </c>
      <c r="H548" s="3" t="s">
        <v>632</v>
      </c>
      <c r="I548" s="3" t="s">
        <v>633</v>
      </c>
      <c r="J548" s="4">
        <v>3</v>
      </c>
      <c r="K548" s="4">
        <v>830.3904</v>
      </c>
      <c r="L548" s="4"/>
      <c r="M548" s="4" t="str">
        <f>HYPERLINK("http://ms.phosphosite.org:5080/cgi-bin/plot-msms.cgi?MassType=1&amp;NumAxis=1&amp;Mod10=184&amp;Mod17=184&amp;Pep=FGGGGGNFGRGGNFGGRGGYGGGGGGSR&amp;Dta=/var/www/html/dta/yong/23617.8951.3.dta&amp;Global_Mod=CS57.0215", "8951")</f>
        <v>8951</v>
      </c>
      <c r="N548" s="5"/>
      <c r="O548" s="5">
        <v>44.24</v>
      </c>
      <c r="P548" s="5"/>
      <c r="Q548" s="5">
        <v>2.738</v>
      </c>
      <c r="R548" s="5"/>
      <c r="S548" s="5">
        <v>1.0837000000000001</v>
      </c>
      <c r="T548" s="5"/>
      <c r="U548" s="5">
        <v>0.18090000000000001</v>
      </c>
      <c r="V548" s="4"/>
      <c r="W548" s="4">
        <v>3</v>
      </c>
      <c r="X548" s="5"/>
      <c r="Y548" s="5">
        <v>1.42</v>
      </c>
      <c r="Z548" s="6"/>
      <c r="AA548" s="6" t="s">
        <v>1306</v>
      </c>
      <c r="AB548" s="4" t="s">
        <v>13</v>
      </c>
    </row>
    <row r="549" spans="1:28" s="12" customFormat="1">
      <c r="A549" s="9" t="s">
        <v>580</v>
      </c>
      <c r="B549" s="3" t="s">
        <v>1646</v>
      </c>
      <c r="C549" s="3" t="s">
        <v>1647</v>
      </c>
      <c r="D549" s="7">
        <v>246</v>
      </c>
      <c r="E549" s="9" t="s">
        <v>631</v>
      </c>
      <c r="F549" s="7" t="s">
        <v>1399</v>
      </c>
      <c r="G549" s="7">
        <v>39.6</v>
      </c>
      <c r="H549" s="9" t="s">
        <v>635</v>
      </c>
      <c r="I549" s="9" t="s">
        <v>637</v>
      </c>
      <c r="J549" s="7">
        <v>2</v>
      </c>
      <c r="K549" s="7">
        <v>590.28430000000003</v>
      </c>
      <c r="L549" s="7" t="str">
        <f>HYPERLINK("http://ms.phosphosite.org:5080/cgi-bin/plot-msms.cgi?MassType=1&amp;NumAxis=1&amp;Mod3=184&amp;Pep=GGRGGYGGGGGGSR&amp;Dta=/var/www/html/dta/yong/23616.1044.2.dta&amp;Global_Mod=CS57.0215", "1044")</f>
        <v>1044</v>
      </c>
      <c r="M549" s="7" t="str">
        <f>HYPERLINK("http://ms.phosphosite.org:5080/cgi-bin/plot-msms.cgi?MassType=1&amp;NumAxis=1&amp;Mod3=184&amp;Pep=GGRGGYGGGGGGSR&amp;Dta=/var/www/html/dta/yong/23617.1054.2.dta&amp;Global_Mod=CS57.0215", "1054")</f>
        <v>1054</v>
      </c>
      <c r="N549" s="10">
        <v>11.24</v>
      </c>
      <c r="O549" s="10">
        <v>11.24</v>
      </c>
      <c r="P549" s="10">
        <v>2.7450000000000001</v>
      </c>
      <c r="Q549" s="10">
        <v>2.907</v>
      </c>
      <c r="R549" s="10">
        <v>1.6648000000000001</v>
      </c>
      <c r="S549" s="10">
        <v>1.0041</v>
      </c>
      <c r="T549" s="10">
        <v>0.27650000000000002</v>
      </c>
      <c r="U549" s="10">
        <v>0.32919999999999999</v>
      </c>
      <c r="V549" s="7">
        <v>2</v>
      </c>
      <c r="W549" s="7">
        <v>1</v>
      </c>
      <c r="X549" s="10">
        <v>2.31</v>
      </c>
      <c r="Y549" s="10">
        <v>2.63</v>
      </c>
      <c r="Z549" s="11">
        <v>1000</v>
      </c>
      <c r="AA549" s="11">
        <v>1000</v>
      </c>
      <c r="AB549" s="7" t="s">
        <v>13</v>
      </c>
    </row>
    <row r="550" spans="1:28" s="12" customFormat="1">
      <c r="A550" s="9" t="s">
        <v>580</v>
      </c>
      <c r="B550" s="3" t="s">
        <v>1646</v>
      </c>
      <c r="C550" s="3" t="s">
        <v>1647</v>
      </c>
      <c r="D550" s="7">
        <v>246</v>
      </c>
      <c r="E550" s="9" t="s">
        <v>631</v>
      </c>
      <c r="F550" s="7" t="s">
        <v>1399</v>
      </c>
      <c r="G550" s="7">
        <v>39.6</v>
      </c>
      <c r="H550" s="9" t="s">
        <v>635</v>
      </c>
      <c r="I550" s="9" t="s">
        <v>636</v>
      </c>
      <c r="J550" s="7">
        <v>3</v>
      </c>
      <c r="K550" s="7">
        <v>442.88139999999999</v>
      </c>
      <c r="L550" s="7" t="str">
        <f>HYPERLINK("http://ms.phosphosite.org:5080/cgi-bin/plot-msms.cgi?MassType=1&amp;NumAxis=1&amp;Mod4=184&amp;Pep=FGGRGGYGGGGGGSR&amp;Dta=/var/www/html/dta/yong/23616.2927.3.dta&amp;Global_Mod=CS57.0215", "2927")</f>
        <v>2927</v>
      </c>
      <c r="M550" s="7" t="str">
        <f>HYPERLINK("http://ms.phosphosite.org:5080/cgi-bin/plot-msms.cgi?MassType=1&amp;NumAxis=1&amp;Mod4=184&amp;Pep=FGGRGGYGGGGGGSR&amp;Dta=/var/www/html/dta/yong/23617.2984.3.dta&amp;Global_Mod=CS57.0215", "2984")</f>
        <v>2984</v>
      </c>
      <c r="N550" s="10">
        <v>19.38</v>
      </c>
      <c r="O550" s="10">
        <v>19.37</v>
      </c>
      <c r="P550" s="10">
        <v>2.9870000000000001</v>
      </c>
      <c r="Q550" s="10">
        <v>3.54</v>
      </c>
      <c r="R550" s="10">
        <v>0.62070000000000003</v>
      </c>
      <c r="S550" s="10">
        <v>0.35410000000000003</v>
      </c>
      <c r="T550" s="10">
        <v>0.18770000000000001</v>
      </c>
      <c r="U550" s="10">
        <v>0.27</v>
      </c>
      <c r="V550" s="7">
        <v>3</v>
      </c>
      <c r="W550" s="7">
        <v>2</v>
      </c>
      <c r="X550" s="10">
        <v>1.93</v>
      </c>
      <c r="Y550" s="10">
        <v>2.52</v>
      </c>
      <c r="Z550" s="11">
        <v>1000</v>
      </c>
      <c r="AA550" s="11">
        <v>1000</v>
      </c>
      <c r="AB550" s="7" t="s">
        <v>13</v>
      </c>
    </row>
    <row r="551" spans="1:28" s="12" customFormat="1">
      <c r="A551" s="9" t="s">
        <v>580</v>
      </c>
      <c r="B551" s="3" t="s">
        <v>1646</v>
      </c>
      <c r="C551" s="3" t="s">
        <v>1647</v>
      </c>
      <c r="D551" s="7">
        <v>246</v>
      </c>
      <c r="E551" s="9" t="s">
        <v>631</v>
      </c>
      <c r="F551" s="7" t="s">
        <v>1399</v>
      </c>
      <c r="G551" s="7">
        <v>39.6</v>
      </c>
      <c r="H551" s="9" t="s">
        <v>635</v>
      </c>
      <c r="I551" s="9" t="s">
        <v>636</v>
      </c>
      <c r="J551" s="7">
        <v>2</v>
      </c>
      <c r="K551" s="7">
        <v>663.81849999999997</v>
      </c>
      <c r="L551" s="7" t="str">
        <f>HYPERLINK("http://ms.phosphosite.org:5080/cgi-bin/plot-msms.cgi?MassType=1&amp;NumAxis=1&amp;Mod4=184&amp;Pep=FGGRGGYGGGGGGSR&amp;Dta=/var/www/html/dta/yong/23616.2928.2.dta&amp;Global_Mod=CS57.0215", "2928")</f>
        <v>2928</v>
      </c>
      <c r="M551" s="7" t="str">
        <f>HYPERLINK("http://ms.phosphosite.org:5080/cgi-bin/plot-msms.cgi?MassType=1&amp;NumAxis=1&amp;Mod4=184&amp;Pep=FGGRGGYGGGGGGSR&amp;Dta=/var/www/html/dta/yong/23617.3000.2.dta&amp;Global_Mod=CS57.0215", "3000")</f>
        <v>3000</v>
      </c>
      <c r="N551" s="10">
        <v>19.38</v>
      </c>
      <c r="O551" s="10">
        <v>19.43</v>
      </c>
      <c r="P551" s="10">
        <v>2.794</v>
      </c>
      <c r="Q551" s="10">
        <v>3.1720000000000002</v>
      </c>
      <c r="R551" s="10">
        <v>1.2803</v>
      </c>
      <c r="S551" s="10">
        <v>1.1932</v>
      </c>
      <c r="T551" s="10">
        <v>0.2316</v>
      </c>
      <c r="U551" s="10">
        <v>0.34100000000000003</v>
      </c>
      <c r="V551" s="7">
        <v>1</v>
      </c>
      <c r="W551" s="7">
        <v>1</v>
      </c>
      <c r="X551" s="10">
        <v>2.08</v>
      </c>
      <c r="Y551" s="10">
        <v>2.76</v>
      </c>
      <c r="Z551" s="11">
        <v>1000</v>
      </c>
      <c r="AA551" s="11">
        <v>1000</v>
      </c>
      <c r="AB551" s="7" t="s">
        <v>13</v>
      </c>
    </row>
    <row r="552" spans="1:28" s="13" customFormat="1">
      <c r="A552" s="13" t="s">
        <v>580</v>
      </c>
      <c r="B552" s="13" t="s">
        <v>1648</v>
      </c>
      <c r="C552" s="13" t="s">
        <v>1649</v>
      </c>
      <c r="D552" s="15"/>
      <c r="E552" s="13" t="s">
        <v>631</v>
      </c>
      <c r="F552" s="15" t="s">
        <v>1399</v>
      </c>
      <c r="G552" s="15">
        <v>39.6</v>
      </c>
      <c r="I552" s="13" t="s">
        <v>638</v>
      </c>
      <c r="J552" s="15">
        <v>3</v>
      </c>
      <c r="K552" s="15">
        <v>887.3605</v>
      </c>
      <c r="L552" s="15"/>
      <c r="M552" s="15" t="str">
        <f>HYPERLINK("http://ms.phosphosite.org:5080/cgi-bin/plot-msms.cgi?MassType=1&amp;NumAxis=1&amp;Mod29=170&amp;Pep=GSYGGGDGGYNGFGGDGGNYGGGPGYSSR&amp;Dta=/var/www/html/dta/yong/23617.12388.3.dta&amp;Global_Mod=CS57.0215", "12388")</f>
        <v>12388</v>
      </c>
      <c r="N552" s="16"/>
      <c r="O552" s="16">
        <v>58.76</v>
      </c>
      <c r="P552" s="16"/>
      <c r="Q552" s="16">
        <v>4.83</v>
      </c>
      <c r="R552" s="16"/>
      <c r="S552" s="16">
        <v>1.3757999999999999</v>
      </c>
      <c r="T552" s="16"/>
      <c r="U552" s="16">
        <v>0.42299999999999999</v>
      </c>
      <c r="V552" s="15"/>
      <c r="W552" s="15">
        <v>1</v>
      </c>
      <c r="X552" s="16"/>
      <c r="Y552" s="16">
        <v>3.76</v>
      </c>
      <c r="Z552" s="17"/>
      <c r="AA552" s="17">
        <v>1000</v>
      </c>
      <c r="AB552" s="15" t="s">
        <v>13</v>
      </c>
    </row>
    <row r="553" spans="1:28" s="13" customFormat="1">
      <c r="A553" s="13" t="s">
        <v>580</v>
      </c>
      <c r="B553" s="13" t="s">
        <v>1648</v>
      </c>
      <c r="C553" s="13" t="s">
        <v>1649</v>
      </c>
      <c r="D553" s="15"/>
      <c r="E553" s="13" t="s">
        <v>631</v>
      </c>
      <c r="F553" s="15" t="s">
        <v>1399</v>
      </c>
      <c r="G553" s="15">
        <v>39.6</v>
      </c>
      <c r="I553" s="13" t="s">
        <v>638</v>
      </c>
      <c r="J553" s="15">
        <v>3</v>
      </c>
      <c r="K553" s="15">
        <v>887.3605</v>
      </c>
      <c r="L553" s="15"/>
      <c r="M553" s="15" t="str">
        <f>HYPERLINK("http://ms.phosphosite.org:5080/cgi-bin/plot-msms.cgi?MassType=1&amp;NumAxis=1&amp;Mod29=170&amp;Pep=GSYGGGDGGYNGFGGDGGNYGGGPGYSSR&amp;Dta=/var/www/html/dta/yong/23617.12411.3.dta&amp;Global_Mod=CS57.0215", "12411")</f>
        <v>12411</v>
      </c>
      <c r="N553" s="16"/>
      <c r="O553" s="16">
        <v>58.85</v>
      </c>
      <c r="P553" s="16"/>
      <c r="Q553" s="16">
        <v>4.7969999999999997</v>
      </c>
      <c r="R553" s="16"/>
      <c r="S553" s="16">
        <v>0.58220000000000005</v>
      </c>
      <c r="T553" s="16"/>
      <c r="U553" s="16">
        <v>0.43259999999999998</v>
      </c>
      <c r="V553" s="15"/>
      <c r="W553" s="15">
        <v>1</v>
      </c>
      <c r="X553" s="16"/>
      <c r="Y553" s="16">
        <v>3.84</v>
      </c>
      <c r="Z553" s="17"/>
      <c r="AA553" s="17">
        <v>1000</v>
      </c>
      <c r="AB553" s="15" t="s">
        <v>13</v>
      </c>
    </row>
    <row r="554" spans="1:28" s="13" customFormat="1">
      <c r="A554" s="13" t="s">
        <v>580</v>
      </c>
      <c r="B554" s="13" t="s">
        <v>1648</v>
      </c>
      <c r="C554" s="13" t="s">
        <v>1649</v>
      </c>
      <c r="D554" s="15"/>
      <c r="E554" s="13" t="s">
        <v>631</v>
      </c>
      <c r="F554" s="15" t="s">
        <v>1399</v>
      </c>
      <c r="G554" s="15">
        <v>39.6</v>
      </c>
      <c r="I554" s="13" t="s">
        <v>638</v>
      </c>
      <c r="J554" s="15">
        <v>3</v>
      </c>
      <c r="K554" s="15">
        <v>887.3605</v>
      </c>
      <c r="L554" s="15"/>
      <c r="M554" s="15" t="str">
        <f>HYPERLINK("http://ms.phosphosite.org:5080/cgi-bin/plot-msms.cgi?MassType=1&amp;NumAxis=1&amp;Mod29=170&amp;Pep=GSYGGGDGGYNGFGGDGGNYGGGPGYSSR&amp;Dta=/var/www/html/dta/yong/23617.12426.3.dta&amp;Global_Mod=CS57.0215", "12426")</f>
        <v>12426</v>
      </c>
      <c r="N554" s="16"/>
      <c r="O554" s="16">
        <v>58.92</v>
      </c>
      <c r="P554" s="16"/>
      <c r="Q554" s="16">
        <v>3.6080000000000001</v>
      </c>
      <c r="R554" s="16"/>
      <c r="S554" s="16">
        <v>0.58220000000000005</v>
      </c>
      <c r="T554" s="16"/>
      <c r="U554" s="16">
        <v>0.43959999999999999</v>
      </c>
      <c r="V554" s="15"/>
      <c r="W554" s="15">
        <v>4</v>
      </c>
      <c r="X554" s="16"/>
      <c r="Y554" s="16">
        <v>3.52</v>
      </c>
      <c r="Z554" s="17"/>
      <c r="AA554" s="17">
        <v>1000</v>
      </c>
      <c r="AB554" s="15" t="s">
        <v>13</v>
      </c>
    </row>
    <row r="555" spans="1:28" s="12" customFormat="1">
      <c r="A555" s="9" t="s">
        <v>580</v>
      </c>
      <c r="B555" s="9" t="s">
        <v>1650</v>
      </c>
      <c r="C555" s="9" t="s">
        <v>1651</v>
      </c>
      <c r="D555" s="7">
        <v>345</v>
      </c>
      <c r="E555" s="9" t="s">
        <v>639</v>
      </c>
      <c r="F555" s="7" t="s">
        <v>1400</v>
      </c>
      <c r="G555" s="7">
        <v>38.4</v>
      </c>
      <c r="H555" s="9" t="s">
        <v>640</v>
      </c>
      <c r="I555" s="9" t="s">
        <v>641</v>
      </c>
      <c r="J555" s="7">
        <v>2</v>
      </c>
      <c r="K555" s="7">
        <v>667.83360000000005</v>
      </c>
      <c r="L555" s="7"/>
      <c r="M555" s="7" t="str">
        <f>HYPERLINK("http://ms.phosphosite.org:5080/cgi-bin/plot-msms.cgi?MassType=1&amp;NumAxis=1&amp;Mod1=184&amp;Pep=RGGHQNSYKPY&amp;Dta=/var/www/html/dta/yong/23617.2308.2.dta&amp;Global_Mod=CS57.0215", "2308")</f>
        <v>2308</v>
      </c>
      <c r="N555" s="10"/>
      <c r="O555" s="10">
        <v>16.52</v>
      </c>
      <c r="P555" s="10"/>
      <c r="Q555" s="10">
        <v>1.8080000000000001</v>
      </c>
      <c r="R555" s="10"/>
      <c r="S555" s="10">
        <v>0.54410000000000003</v>
      </c>
      <c r="T555" s="10"/>
      <c r="U555" s="10">
        <v>0.124</v>
      </c>
      <c r="V555" s="7"/>
      <c r="W555" s="7">
        <v>57</v>
      </c>
      <c r="X555" s="10"/>
      <c r="Y555" s="10">
        <v>1.19</v>
      </c>
      <c r="Z555" s="11"/>
      <c r="AA555" s="11">
        <v>1000</v>
      </c>
      <c r="AB555" s="7" t="s">
        <v>13</v>
      </c>
    </row>
    <row r="556" spans="1:28" s="13" customFormat="1">
      <c r="A556" s="18" t="s">
        <v>580</v>
      </c>
      <c r="B556" s="18" t="s">
        <v>1652</v>
      </c>
      <c r="C556" s="18" t="s">
        <v>1653</v>
      </c>
      <c r="D556" s="19"/>
      <c r="E556" s="18" t="s">
        <v>642</v>
      </c>
      <c r="F556" s="15" t="s">
        <v>1401</v>
      </c>
      <c r="G556" s="19">
        <v>36.9</v>
      </c>
      <c r="H556" s="18"/>
      <c r="I556" s="18" t="s">
        <v>643</v>
      </c>
      <c r="J556" s="19">
        <v>2</v>
      </c>
      <c r="K556" s="19">
        <v>1113.9626000000001</v>
      </c>
      <c r="L556" s="19" t="str">
        <f>HYPERLINK("http://ms.phosphosite.org:5080/cgi-bin/plot-msms.cgi?MassType=1&amp;NumAxis=1&amp;Mod1=147&amp;Mod3=147&amp;Mod22=170&amp;Pep=MGMGNNYSGGYGTPDGLGGYGR&amp;Dta=/var/www/html/dta/yong/23616.12153.2.dta&amp;Global_Mod=CS57.0215", "12153")</f>
        <v>12153</v>
      </c>
      <c r="M556" s="19" t="str">
        <f>HYPERLINK("http://ms.phosphosite.org:5080/cgi-bin/plot-msms.cgi?MassType=1&amp;NumAxis=1&amp;Mod1=147&amp;Mod3=147&amp;Mod22=170&amp;Pep=MGMGNNYSGGYGTPDGLGGYGR&amp;Dta=/var/www/html/dta/yong/23617.12286.2.dta&amp;Global_Mod=CS57.0215", "12286")</f>
        <v>12286</v>
      </c>
      <c r="N556" s="20">
        <v>58.32</v>
      </c>
      <c r="O556" s="20">
        <v>58.32</v>
      </c>
      <c r="P556" s="20">
        <v>4.859</v>
      </c>
      <c r="Q556" s="20">
        <v>5.0970000000000004</v>
      </c>
      <c r="R556" s="20">
        <v>1.6131</v>
      </c>
      <c r="S556" s="20">
        <v>1.3262</v>
      </c>
      <c r="T556" s="20">
        <v>0.57040000000000002</v>
      </c>
      <c r="U556" s="20">
        <v>0.4274</v>
      </c>
      <c r="V556" s="19">
        <v>1</v>
      </c>
      <c r="W556" s="19">
        <v>1</v>
      </c>
      <c r="X556" s="20">
        <v>4.4800000000000004</v>
      </c>
      <c r="Y556" s="20">
        <v>3.8</v>
      </c>
      <c r="Z556" s="21">
        <v>1000</v>
      </c>
      <c r="AA556" s="21">
        <v>1000</v>
      </c>
      <c r="AB556" s="19" t="s">
        <v>13</v>
      </c>
    </row>
    <row r="557" spans="1:28" s="13" customFormat="1">
      <c r="A557" s="18" t="s">
        <v>580</v>
      </c>
      <c r="B557" s="18" t="s">
        <v>1652</v>
      </c>
      <c r="C557" s="18" t="s">
        <v>1653</v>
      </c>
      <c r="D557" s="19"/>
      <c r="E557" s="18" t="s">
        <v>642</v>
      </c>
      <c r="F557" s="15" t="s">
        <v>1401</v>
      </c>
      <c r="G557" s="19">
        <v>36.9</v>
      </c>
      <c r="H557" s="18"/>
      <c r="I557" s="18" t="s">
        <v>643</v>
      </c>
      <c r="J557" s="19">
        <v>2</v>
      </c>
      <c r="K557" s="19">
        <v>1113.9626000000001</v>
      </c>
      <c r="L557" s="19" t="str">
        <f>HYPERLINK("http://ms.phosphosite.org:5080/cgi-bin/plot-msms.cgi?MassType=1&amp;NumAxis=1&amp;Mod1=147&amp;Mod3=147&amp;Mod22=170&amp;Pep=MGMGNNYSGGYGTPDGLGGYGR&amp;Dta=/var/www/html/dta/yong/23616.12196.2.dta&amp;Global_Mod=CS57.0215", "12196")</f>
        <v>12196</v>
      </c>
      <c r="M557" s="19" t="str">
        <f>HYPERLINK("http://ms.phosphosite.org:5080/cgi-bin/plot-msms.cgi?MassType=1&amp;NumAxis=1&amp;Mod1=147&amp;Mod3=147&amp;Mod22=170&amp;Pep=MGMGNNYSGGYGTPDGLGGYGR&amp;Dta=/var/www/html/dta/yong/23617.12300.2.dta&amp;Global_Mod=CS57.0215", "12300")</f>
        <v>12300</v>
      </c>
      <c r="N557" s="20">
        <v>58.51</v>
      </c>
      <c r="O557" s="20">
        <v>58.38</v>
      </c>
      <c r="P557" s="20">
        <v>3.984</v>
      </c>
      <c r="Q557" s="20">
        <v>4.9660000000000002</v>
      </c>
      <c r="R557" s="20">
        <v>1.6131</v>
      </c>
      <c r="S557" s="20">
        <v>1.3262</v>
      </c>
      <c r="T557" s="20">
        <v>0.3271</v>
      </c>
      <c r="U557" s="20">
        <v>0.49609999999999999</v>
      </c>
      <c r="V557" s="19">
        <v>1</v>
      </c>
      <c r="W557" s="19">
        <v>1</v>
      </c>
      <c r="X557" s="20">
        <v>2.85</v>
      </c>
      <c r="Y557" s="20">
        <v>4.1500000000000004</v>
      </c>
      <c r="Z557" s="21">
        <v>1000</v>
      </c>
      <c r="AA557" s="21">
        <v>1000</v>
      </c>
      <c r="AB557" s="19" t="s">
        <v>13</v>
      </c>
    </row>
    <row r="558" spans="1:28" s="13" customFormat="1">
      <c r="A558" s="18" t="s">
        <v>580</v>
      </c>
      <c r="B558" s="18" t="s">
        <v>1652</v>
      </c>
      <c r="C558" s="18" t="s">
        <v>1653</v>
      </c>
      <c r="D558" s="19"/>
      <c r="E558" s="18" t="s">
        <v>642</v>
      </c>
      <c r="F558" s="15" t="s">
        <v>1401</v>
      </c>
      <c r="G558" s="19">
        <v>36.9</v>
      </c>
      <c r="H558" s="18"/>
      <c r="I558" s="18" t="s">
        <v>644</v>
      </c>
      <c r="J558" s="19">
        <v>4</v>
      </c>
      <c r="K558" s="19">
        <v>1007.9156</v>
      </c>
      <c r="L558" s="19" t="str">
        <f>HYPERLINK("http://ms.phosphosite.org:5080/cgi-bin/plot-msms.cgi?MassType=1&amp;NumAxis=1&amp;Mod1=147&amp;Mod3=147&amp;Mod22=170&amp;Mod36=147&amp;Pep=MGMGNNYSGGYGTPDGLGGYGRGGGGSGGYYGQGGMSGGGWR&amp;Dta=/var/www/html/dta/yong/23616.14235.4.dta&amp;Global_Mod=CS57.0215", "14235")</f>
        <v>14235</v>
      </c>
      <c r="M558" s="19"/>
      <c r="N558" s="20">
        <v>67.39</v>
      </c>
      <c r="O558" s="20"/>
      <c r="P558" s="20">
        <v>5.4909999999999997</v>
      </c>
      <c r="Q558" s="20"/>
      <c r="R558" s="20">
        <v>0.35360000000000003</v>
      </c>
      <c r="S558" s="20"/>
      <c r="T558" s="20">
        <v>0.441</v>
      </c>
      <c r="U558" s="20"/>
      <c r="V558" s="19">
        <v>1</v>
      </c>
      <c r="W558" s="19"/>
      <c r="X558" s="20">
        <v>3.65</v>
      </c>
      <c r="Y558" s="20"/>
      <c r="Z558" s="21">
        <v>1000</v>
      </c>
      <c r="AA558" s="21"/>
      <c r="AB558" s="19" t="s">
        <v>13</v>
      </c>
    </row>
    <row r="559" spans="1:28" s="13" customFormat="1">
      <c r="A559" s="18" t="s">
        <v>580</v>
      </c>
      <c r="B559" s="18" t="s">
        <v>1652</v>
      </c>
      <c r="C559" s="18" t="s">
        <v>1653</v>
      </c>
      <c r="D559" s="19"/>
      <c r="E559" s="18" t="s">
        <v>642</v>
      </c>
      <c r="F559" s="15" t="s">
        <v>1401</v>
      </c>
      <c r="G559" s="19">
        <v>36.9</v>
      </c>
      <c r="H559" s="18"/>
      <c r="I559" s="18" t="s">
        <v>644</v>
      </c>
      <c r="J559" s="19">
        <v>4</v>
      </c>
      <c r="K559" s="19">
        <v>1007.9156</v>
      </c>
      <c r="L559" s="19" t="str">
        <f>HYPERLINK("http://ms.phosphosite.org:5080/cgi-bin/plot-msms.cgi?MassType=1&amp;NumAxis=1&amp;Mod1=147&amp;Mod3=147&amp;Mod22=170&amp;Mod36=147&amp;Pep=MGMGNNYSGGYGTPDGLGGYGRGGGGSGGYYGQGGMSGGGWR&amp;Dta=/var/www/html/dta/yong/23616.14265.4.dta&amp;Global_Mod=CS57.0215", "14265")</f>
        <v>14265</v>
      </c>
      <c r="M559" s="19"/>
      <c r="N559" s="20">
        <v>67.53</v>
      </c>
      <c r="O559" s="20"/>
      <c r="P559" s="20">
        <v>3.0339999999999998</v>
      </c>
      <c r="Q559" s="20"/>
      <c r="R559" s="20">
        <v>0.35360000000000003</v>
      </c>
      <c r="S559" s="20"/>
      <c r="T559" s="20">
        <v>0.1701</v>
      </c>
      <c r="U559" s="20"/>
      <c r="V559" s="19">
        <v>1</v>
      </c>
      <c r="W559" s="19"/>
      <c r="X559" s="20">
        <v>1.41</v>
      </c>
      <c r="Y559" s="20"/>
      <c r="Z559" s="21">
        <v>1000</v>
      </c>
      <c r="AA559" s="21"/>
      <c r="AB559" s="19" t="s">
        <v>13</v>
      </c>
    </row>
    <row r="560" spans="1:28" s="13" customFormat="1">
      <c r="A560" s="18" t="s">
        <v>580</v>
      </c>
      <c r="B560" s="18" t="s">
        <v>1652</v>
      </c>
      <c r="C560" s="18" t="s">
        <v>1653</v>
      </c>
      <c r="D560" s="19"/>
      <c r="E560" s="18" t="s">
        <v>642</v>
      </c>
      <c r="F560" s="15" t="s">
        <v>1401</v>
      </c>
      <c r="G560" s="19">
        <v>36.9</v>
      </c>
      <c r="H560" s="18"/>
      <c r="I560" s="18" t="s">
        <v>643</v>
      </c>
      <c r="J560" s="19">
        <v>3</v>
      </c>
      <c r="K560" s="19">
        <v>742.97749999999996</v>
      </c>
      <c r="L560" s="19"/>
      <c r="M560" s="19" t="str">
        <f>HYPERLINK("http://ms.phosphosite.org:5080/cgi-bin/plot-msms.cgi?MassType=1&amp;NumAxis=1&amp;Mod1=147&amp;Mod3=147&amp;Mod22=170&amp;Pep=MGMGNNYSGGYGTPDGLGGYGR&amp;Dta=/var/www/html/dta/yong/23617.12307.3.dta&amp;Global_Mod=CS57.0215", "12307")</f>
        <v>12307</v>
      </c>
      <c r="N560" s="20"/>
      <c r="O560" s="20">
        <v>58.41</v>
      </c>
      <c r="P560" s="20"/>
      <c r="Q560" s="20">
        <v>3.6539999999999999</v>
      </c>
      <c r="R560" s="20"/>
      <c r="S560" s="20">
        <v>2.0114999999999998</v>
      </c>
      <c r="T560" s="20"/>
      <c r="U560" s="20">
        <v>0.40789999999999998</v>
      </c>
      <c r="V560" s="19"/>
      <c r="W560" s="19">
        <v>2</v>
      </c>
      <c r="X560" s="20"/>
      <c r="Y560" s="20">
        <v>3.22</v>
      </c>
      <c r="Z560" s="21"/>
      <c r="AA560" s="21">
        <v>1000</v>
      </c>
      <c r="AB560" s="19" t="s">
        <v>13</v>
      </c>
    </row>
    <row r="561" spans="1:28" s="12" customFormat="1">
      <c r="A561" s="9" t="s">
        <v>580</v>
      </c>
      <c r="B561" s="9" t="s">
        <v>1654</v>
      </c>
      <c r="C561" s="9" t="s">
        <v>1655</v>
      </c>
      <c r="D561" s="7" t="s">
        <v>1794</v>
      </c>
      <c r="E561" s="9" t="s">
        <v>645</v>
      </c>
      <c r="F561" s="7" t="s">
        <v>1402</v>
      </c>
      <c r="G561" s="7">
        <v>95.7</v>
      </c>
      <c r="H561" s="9" t="s">
        <v>646</v>
      </c>
      <c r="I561" s="9" t="s">
        <v>648</v>
      </c>
      <c r="J561" s="7">
        <v>4</v>
      </c>
      <c r="K561" s="7">
        <v>673.82640000000004</v>
      </c>
      <c r="L561" s="7" t="str">
        <f>HYPERLINK("http://ms.phosphosite.org:5080/cgi-bin/plot-msms.cgi?MassType=1&amp;NumAxis=1&amp;Mod7=184&amp;Mod13=184&amp;Mod24=184&amp;Pep=GPPGGNRGGFQNRGGGSGGGGNYRGGFN&amp;Dta=/var/www/html/dta/yong/23616.7276.4.dta&amp;Global_Mod=CS57.0215", "7276")</f>
        <v>7276</v>
      </c>
      <c r="M561" s="7"/>
      <c r="N561" s="10">
        <v>37.64</v>
      </c>
      <c r="O561" s="10"/>
      <c r="P561" s="10">
        <v>2.4609999999999999</v>
      </c>
      <c r="Q561" s="10"/>
      <c r="R561" s="10">
        <v>0.20699999999999999</v>
      </c>
      <c r="S561" s="10"/>
      <c r="T561" s="10">
        <v>0.2472</v>
      </c>
      <c r="U561" s="10"/>
      <c r="V561" s="7">
        <v>5</v>
      </c>
      <c r="W561" s="7"/>
      <c r="X561" s="10">
        <v>1.6</v>
      </c>
      <c r="Y561" s="10"/>
      <c r="Z561" s="11" t="s">
        <v>1307</v>
      </c>
      <c r="AA561" s="11"/>
      <c r="AB561" s="7" t="s">
        <v>13</v>
      </c>
    </row>
    <row r="562" spans="1:28" s="12" customFormat="1">
      <c r="A562" s="9" t="s">
        <v>580</v>
      </c>
      <c r="B562" s="9" t="s">
        <v>1654</v>
      </c>
      <c r="C562" s="9" t="s">
        <v>1655</v>
      </c>
      <c r="D562" s="7" t="s">
        <v>1794</v>
      </c>
      <c r="E562" s="9" t="s">
        <v>645</v>
      </c>
      <c r="F562" s="7" t="s">
        <v>1402</v>
      </c>
      <c r="G562" s="7">
        <v>95.7</v>
      </c>
      <c r="H562" s="9" t="s">
        <v>646</v>
      </c>
      <c r="I562" s="9" t="s">
        <v>648</v>
      </c>
      <c r="J562" s="7">
        <v>4</v>
      </c>
      <c r="K562" s="7">
        <v>673.82640000000004</v>
      </c>
      <c r="L562" s="7" t="str">
        <f>HYPERLINK("http://ms.phosphosite.org:5080/cgi-bin/plot-msms.cgi?MassType=1&amp;NumAxis=1&amp;Mod7=184&amp;Mod13=184&amp;Mod24=184&amp;Pep=GPPGGNRGGFQNRGGGSGGGGNYRGGFN&amp;Dta=/var/www/html/dta/yong/23616.7411.4.dta&amp;Global_Mod=CS57.0215", "7411")</f>
        <v>7411</v>
      </c>
      <c r="M562" s="7" t="str">
        <f>HYPERLINK("http://ms.phosphosite.org:5080/cgi-bin/plot-msms.cgi?MassType=1&amp;NumAxis=1&amp;Mod7=184&amp;Mod13=184&amp;Mod24=184&amp;Pep=GPPGGNRGGFQNRGGGSGGGGNYRGGFN&amp;Dta=/var/www/html/dta/yong/23617.7428.4.dta&amp;Global_Mod=CS57.0215", "7428")</f>
        <v>7428</v>
      </c>
      <c r="N562" s="10">
        <v>38.19</v>
      </c>
      <c r="O562" s="10">
        <v>37.950000000000003</v>
      </c>
      <c r="P562" s="10">
        <v>2.9180000000000001</v>
      </c>
      <c r="Q562" s="10">
        <v>2.8039999999999998</v>
      </c>
      <c r="R562" s="10">
        <v>0.2732</v>
      </c>
      <c r="S562" s="10">
        <v>0.66620000000000001</v>
      </c>
      <c r="T562" s="10">
        <v>0.21510000000000001</v>
      </c>
      <c r="U562" s="10">
        <v>0.17130000000000001</v>
      </c>
      <c r="V562" s="7">
        <v>1</v>
      </c>
      <c r="W562" s="7">
        <v>1</v>
      </c>
      <c r="X562" s="10">
        <v>1.55</v>
      </c>
      <c r="Y562" s="10">
        <v>1.25</v>
      </c>
      <c r="Z562" s="11" t="s">
        <v>1307</v>
      </c>
      <c r="AA562" s="11" t="s">
        <v>1307</v>
      </c>
      <c r="AB562" s="7" t="s">
        <v>13</v>
      </c>
    </row>
    <row r="563" spans="1:28" s="12" customFormat="1">
      <c r="A563" s="9" t="s">
        <v>580</v>
      </c>
      <c r="B563" s="9" t="s">
        <v>1654</v>
      </c>
      <c r="C563" s="9" t="s">
        <v>1655</v>
      </c>
      <c r="D563" s="7" t="s">
        <v>1794</v>
      </c>
      <c r="E563" s="9" t="s">
        <v>645</v>
      </c>
      <c r="F563" s="7" t="s">
        <v>1402</v>
      </c>
      <c r="G563" s="7">
        <v>95.7</v>
      </c>
      <c r="H563" s="9" t="s">
        <v>646</v>
      </c>
      <c r="I563" s="9" t="s">
        <v>649</v>
      </c>
      <c r="J563" s="7">
        <v>5</v>
      </c>
      <c r="K563" s="7">
        <v>474.64019999999999</v>
      </c>
      <c r="L563" s="7"/>
      <c r="M563" s="7" t="str">
        <f>HYPERLINK("http://ms.phosphosite.org:5080/cgi-bin/plot-msms.cgi?MassType=1&amp;NumAxis=1&amp;Mod1=184&amp;Mod7=184&amp;Mod18=184&amp;Pep=RGGFQNRGGGSGGGGNYRGGFNR&amp;Dta=/var/www/html/dta/yong/23617.5026.5.dta&amp;Global_Mod=CS57.0215", "5026")</f>
        <v>5026</v>
      </c>
      <c r="N563" s="10"/>
      <c r="O563" s="10">
        <v>28.08</v>
      </c>
      <c r="P563" s="10"/>
      <c r="Q563" s="10">
        <v>3.0089999999999999</v>
      </c>
      <c r="R563" s="10"/>
      <c r="S563" s="10">
        <v>0.1991</v>
      </c>
      <c r="T563" s="10"/>
      <c r="U563" s="10">
        <v>0.1128</v>
      </c>
      <c r="V563" s="7"/>
      <c r="W563" s="7">
        <v>13</v>
      </c>
      <c r="X563" s="10"/>
      <c r="Y563" s="10">
        <v>1.04</v>
      </c>
      <c r="Z563" s="11"/>
      <c r="AA563" s="11" t="s">
        <v>1307</v>
      </c>
      <c r="AB563" s="7" t="s">
        <v>13</v>
      </c>
    </row>
    <row r="564" spans="1:28" s="12" customFormat="1">
      <c r="A564" s="9" t="s">
        <v>580</v>
      </c>
      <c r="B564" s="9" t="s">
        <v>1654</v>
      </c>
      <c r="C564" s="9" t="s">
        <v>1655</v>
      </c>
      <c r="D564" s="7" t="s">
        <v>1794</v>
      </c>
      <c r="E564" s="9" t="s">
        <v>645</v>
      </c>
      <c r="F564" s="7" t="s">
        <v>1402</v>
      </c>
      <c r="G564" s="7">
        <v>95.7</v>
      </c>
      <c r="H564" s="9" t="s">
        <v>646</v>
      </c>
      <c r="I564" s="9" t="s">
        <v>647</v>
      </c>
      <c r="J564" s="7">
        <v>3</v>
      </c>
      <c r="K564" s="7">
        <v>860.08510000000001</v>
      </c>
      <c r="L564" s="7"/>
      <c r="M564" s="7" t="str">
        <f>HYPERLINK("http://ms.phosphosite.org:5080/cgi-bin/plot-msms.cgi?MassType=1&amp;NumAxis=1&amp;Mod7=184&amp;Mod13=184&amp;Mod24=184&amp;Pep=GPPGGNRGGFQNRGGGSGGGGNYRGGF&amp;Dta=/var/www/html/dta/yong/23617.8300.3.dta&amp;Global_Mod=CS57.0215", "8300")</f>
        <v>8300</v>
      </c>
      <c r="N564" s="10"/>
      <c r="O564" s="10">
        <v>41.62</v>
      </c>
      <c r="P564" s="10"/>
      <c r="Q564" s="10">
        <v>2.7839999999999998</v>
      </c>
      <c r="R564" s="10"/>
      <c r="S564" s="10">
        <v>1.0651999999999999</v>
      </c>
      <c r="T564" s="10"/>
      <c r="U564" s="10">
        <v>0.26340000000000002</v>
      </c>
      <c r="V564" s="7"/>
      <c r="W564" s="7">
        <v>1</v>
      </c>
      <c r="X564" s="10"/>
      <c r="Y564" s="10">
        <v>1.74</v>
      </c>
      <c r="Z564" s="11"/>
      <c r="AA564" s="11" t="s">
        <v>1307</v>
      </c>
      <c r="AB564" s="7" t="s">
        <v>13</v>
      </c>
    </row>
    <row r="565" spans="1:28" s="12" customFormat="1">
      <c r="A565" s="3" t="s">
        <v>580</v>
      </c>
      <c r="B565" s="9" t="s">
        <v>1654</v>
      </c>
      <c r="C565" s="9" t="s">
        <v>1655</v>
      </c>
      <c r="D565" s="4" t="s">
        <v>1795</v>
      </c>
      <c r="E565" s="3" t="s">
        <v>645</v>
      </c>
      <c r="F565" s="7" t="s">
        <v>1402</v>
      </c>
      <c r="G565" s="4">
        <v>95.7</v>
      </c>
      <c r="H565" s="3" t="s">
        <v>650</v>
      </c>
      <c r="I565" s="3" t="s">
        <v>651</v>
      </c>
      <c r="J565" s="4">
        <v>3</v>
      </c>
      <c r="K565" s="4">
        <v>711.67049999999995</v>
      </c>
      <c r="L565" s="4" t="str">
        <f>HYPERLINK("http://ms.phosphosite.org:5080/cgi-bin/plot-msms.cgi?MassType=1&amp;NumAxis=1&amp;Mod7=184&amp;Mod13=184&amp;Pep=GPPGGNRGGFQNRGGGSGGGGNY&amp;Dta=/var/www/html/dta/yong/23616.5635.3.dta&amp;Global_Mod=CS57.0215", "5635")</f>
        <v>5635</v>
      </c>
      <c r="M565" s="4" t="str">
        <f>HYPERLINK("http://ms.phosphosite.org:5080/cgi-bin/plot-msms.cgi?MassType=1&amp;NumAxis=1&amp;Mod7=184&amp;Mod13=184&amp;Pep=GPPGGNRGGFQNRGGGSGGGGNY&amp;Dta=/var/www/html/dta/yong/23617.5742.3.dta&amp;Global_Mod=CS57.0215", "5742")</f>
        <v>5742</v>
      </c>
      <c r="N565" s="5">
        <v>30.82</v>
      </c>
      <c r="O565" s="5">
        <v>31.01</v>
      </c>
      <c r="P565" s="5">
        <v>3.0670000000000002</v>
      </c>
      <c r="Q565" s="5">
        <v>2.3410000000000002</v>
      </c>
      <c r="R565" s="5">
        <v>0.81340000000000001</v>
      </c>
      <c r="S565" s="5">
        <v>0.78420000000000001</v>
      </c>
      <c r="T565" s="5">
        <v>0.2167</v>
      </c>
      <c r="U565" s="5">
        <v>0.14030000000000001</v>
      </c>
      <c r="V565" s="4">
        <v>4</v>
      </c>
      <c r="W565" s="4">
        <v>38</v>
      </c>
      <c r="X565" s="5">
        <v>1.8</v>
      </c>
      <c r="Y565" s="5">
        <v>1.1200000000000001</v>
      </c>
      <c r="Z565" s="6" t="s">
        <v>1306</v>
      </c>
      <c r="AA565" s="6" t="s">
        <v>1306</v>
      </c>
      <c r="AB565" s="4" t="s">
        <v>13</v>
      </c>
    </row>
    <row r="566" spans="1:28" s="12" customFormat="1">
      <c r="A566" s="9" t="s">
        <v>580</v>
      </c>
      <c r="B566" s="9" t="s">
        <v>1654</v>
      </c>
      <c r="C566" s="9" t="s">
        <v>1655</v>
      </c>
      <c r="D566" s="7">
        <v>639</v>
      </c>
      <c r="E566" s="9" t="s">
        <v>645</v>
      </c>
      <c r="F566" s="7" t="s">
        <v>1402</v>
      </c>
      <c r="G566" s="7">
        <v>95.7</v>
      </c>
      <c r="H566" s="9" t="s">
        <v>652</v>
      </c>
      <c r="I566" s="9" t="s">
        <v>654</v>
      </c>
      <c r="J566" s="7">
        <v>2</v>
      </c>
      <c r="K566" s="7">
        <v>593.29160000000002</v>
      </c>
      <c r="L566" s="7" t="str">
        <f>HYPERLINK("http://ms.phosphosite.org:5080/cgi-bin/plot-msms.cgi?MassType=1&amp;NumAxis=1&amp;Mod7=184&amp;Pep=GPPGGNRGGFQN&amp;Dta=/var/www/html/dta/yong/23616.3893.2.dta&amp;Global_Mod=CS57.0215", "3893")</f>
        <v>3893</v>
      </c>
      <c r="M566" s="7" t="str">
        <f>HYPERLINK("http://ms.phosphosite.org:5080/cgi-bin/plot-msms.cgi?MassType=1&amp;NumAxis=1&amp;Mod7=184&amp;Pep=GPPGGNRGGFQN&amp;Dta=/var/www/html/dta/yong/23617.4127.2.dta&amp;Global_Mod=CS57.0215", "4127")</f>
        <v>4127</v>
      </c>
      <c r="N566" s="10">
        <v>23.55</v>
      </c>
      <c r="O566" s="10">
        <v>24.22</v>
      </c>
      <c r="P566" s="10">
        <v>2.633</v>
      </c>
      <c r="Q566" s="10">
        <v>3.0289999999999999</v>
      </c>
      <c r="R566" s="10">
        <v>0.88880000000000003</v>
      </c>
      <c r="S566" s="10">
        <v>0.60670000000000002</v>
      </c>
      <c r="T566" s="10">
        <v>0.3831</v>
      </c>
      <c r="U566" s="10">
        <v>0.40510000000000002</v>
      </c>
      <c r="V566" s="7">
        <v>1</v>
      </c>
      <c r="W566" s="7">
        <v>1</v>
      </c>
      <c r="X566" s="10">
        <v>2.88</v>
      </c>
      <c r="Y566" s="10">
        <v>3.13</v>
      </c>
      <c r="Z566" s="11">
        <v>1000</v>
      </c>
      <c r="AA566" s="11">
        <v>1000</v>
      </c>
      <c r="AB566" s="7" t="s">
        <v>13</v>
      </c>
    </row>
    <row r="567" spans="1:28" s="12" customFormat="1">
      <c r="A567" s="9" t="s">
        <v>580</v>
      </c>
      <c r="B567" s="9" t="s">
        <v>1654</v>
      </c>
      <c r="C567" s="9" t="s">
        <v>1655</v>
      </c>
      <c r="D567" s="7">
        <v>639</v>
      </c>
      <c r="E567" s="9" t="s">
        <v>645</v>
      </c>
      <c r="F567" s="7" t="s">
        <v>1402</v>
      </c>
      <c r="G567" s="7">
        <v>95.7</v>
      </c>
      <c r="H567" s="9" t="s">
        <v>652</v>
      </c>
      <c r="I567" s="9" t="s">
        <v>654</v>
      </c>
      <c r="J567" s="7">
        <v>2</v>
      </c>
      <c r="K567" s="7">
        <v>593.29160000000002</v>
      </c>
      <c r="L567" s="7" t="str">
        <f>HYPERLINK("http://ms.phosphosite.org:5080/cgi-bin/plot-msms.cgi?MassType=1&amp;NumAxis=1&amp;Mod7=184&amp;Pep=GPPGGNRGGFQN&amp;Dta=/var/www/html/dta/yong/23616.4055.2.dta&amp;Global_Mod=CS57.0215", "4055")</f>
        <v>4055</v>
      </c>
      <c r="M567" s="7" t="str">
        <f>HYPERLINK("http://ms.phosphosite.org:5080/cgi-bin/plot-msms.cgi?MassType=1&amp;NumAxis=1&amp;Mod7=184&amp;Pep=GPPGGNRGGFQN&amp;Dta=/var/www/html/dta/yong/23617.3974.2.dta&amp;Global_Mod=CS57.0215", "3974")</f>
        <v>3974</v>
      </c>
      <c r="N567" s="10">
        <v>24.28</v>
      </c>
      <c r="O567" s="10">
        <v>23.54</v>
      </c>
      <c r="P567" s="10">
        <v>2.9060000000000001</v>
      </c>
      <c r="Q567" s="10">
        <v>3.4060000000000001</v>
      </c>
      <c r="R567" s="10">
        <v>0.96630000000000005</v>
      </c>
      <c r="S567" s="10">
        <v>0.4874</v>
      </c>
      <c r="T567" s="10">
        <v>0.38429999999999997</v>
      </c>
      <c r="U567" s="10">
        <v>0.39960000000000001</v>
      </c>
      <c r="V567" s="7">
        <v>2</v>
      </c>
      <c r="W567" s="7">
        <v>1</v>
      </c>
      <c r="X567" s="10">
        <v>2.97</v>
      </c>
      <c r="Y567" s="10">
        <v>3.22</v>
      </c>
      <c r="Z567" s="11">
        <v>1000</v>
      </c>
      <c r="AA567" s="11">
        <v>1000</v>
      </c>
      <c r="AB567" s="7" t="s">
        <v>13</v>
      </c>
    </row>
    <row r="568" spans="1:28" s="12" customFormat="1">
      <c r="A568" s="9" t="s">
        <v>580</v>
      </c>
      <c r="B568" s="9" t="s">
        <v>1654</v>
      </c>
      <c r="C568" s="9" t="s">
        <v>1655</v>
      </c>
      <c r="D568" s="7">
        <v>639</v>
      </c>
      <c r="E568" s="9" t="s">
        <v>645</v>
      </c>
      <c r="F568" s="7" t="s">
        <v>1402</v>
      </c>
      <c r="G568" s="7">
        <v>95.7</v>
      </c>
      <c r="H568" s="9" t="s">
        <v>652</v>
      </c>
      <c r="I568" s="9" t="s">
        <v>653</v>
      </c>
      <c r="J568" s="7">
        <v>2</v>
      </c>
      <c r="K568" s="7">
        <v>472.24090000000001</v>
      </c>
      <c r="L568" s="7" t="str">
        <f>HYPERLINK("http://ms.phosphosite.org:5080/cgi-bin/plot-msms.cgi?MassType=1&amp;NumAxis=1&amp;Mod7=184&amp;Pep=GPPGGNRGGF&amp;Dta=/var/www/html/dta/yong/23616.5456.2.dta&amp;Global_Mod=CS57.0215", "5456")</f>
        <v>5456</v>
      </c>
      <c r="M568" s="7" t="str">
        <f>HYPERLINK("http://ms.phosphosite.org:5080/cgi-bin/plot-msms.cgi?MassType=1&amp;NumAxis=1&amp;Mod7=184&amp;Pep=GPPGGNRGGF&amp;Dta=/var/www/html/dta/yong/23617.5528.2.dta&amp;Global_Mod=CS57.0215", "5528")</f>
        <v>5528</v>
      </c>
      <c r="N568" s="10">
        <v>30.08</v>
      </c>
      <c r="O568" s="10">
        <v>30.08</v>
      </c>
      <c r="P568" s="10">
        <v>2.1869999999999998</v>
      </c>
      <c r="Q568" s="10">
        <v>1.9450000000000001</v>
      </c>
      <c r="R568" s="10">
        <v>0.29849999999999999</v>
      </c>
      <c r="S568" s="10">
        <v>0.15509999999999999</v>
      </c>
      <c r="T568" s="10">
        <v>0.23599999999999999</v>
      </c>
      <c r="U568" s="10">
        <v>0.22389999999999999</v>
      </c>
      <c r="V568" s="7">
        <v>1</v>
      </c>
      <c r="W568" s="7">
        <v>1</v>
      </c>
      <c r="X568" s="10">
        <v>1.96</v>
      </c>
      <c r="Y568" s="10">
        <v>1.81</v>
      </c>
      <c r="Z568" s="11">
        <v>1000</v>
      </c>
      <c r="AA568" s="11">
        <v>1000</v>
      </c>
      <c r="AB568" s="7" t="s">
        <v>13</v>
      </c>
    </row>
    <row r="569" spans="1:28" s="12" customFormat="1">
      <c r="A569" s="3" t="s">
        <v>580</v>
      </c>
      <c r="B569" s="9" t="s">
        <v>1654</v>
      </c>
      <c r="C569" s="9" t="s">
        <v>1655</v>
      </c>
      <c r="D569" s="4" t="s">
        <v>1796</v>
      </c>
      <c r="E569" s="3" t="s">
        <v>645</v>
      </c>
      <c r="F569" s="7" t="s">
        <v>1402</v>
      </c>
      <c r="G569" s="4">
        <v>95.7</v>
      </c>
      <c r="H569" s="3" t="s">
        <v>655</v>
      </c>
      <c r="I569" s="3" t="s">
        <v>656</v>
      </c>
      <c r="J569" s="4">
        <v>3</v>
      </c>
      <c r="K569" s="4">
        <v>641.98090000000002</v>
      </c>
      <c r="L569" s="4" t="str">
        <f>HYPERLINK("http://ms.phosphosite.org:5080/cgi-bin/plot-msms.cgi?MassType=1&amp;NumAxis=1&amp;Mod3=184&amp;Mod14=184&amp;Pep=QNRGGGSGGGGNYRGGFNR&amp;Dta=/var/www/html/dta/yong/23616.3347.3.dta&amp;Global_Mod=CS57.0215", "3347")</f>
        <v>3347</v>
      </c>
      <c r="M569" s="4" t="str">
        <f>HYPERLINK("http://ms.phosphosite.org:5080/cgi-bin/plot-msms.cgi?MassType=1&amp;NumAxis=1&amp;Mod3=184&amp;Mod14=184&amp;Pep=QNRGGGSGGGGNYRGGFNR&amp;Dta=/var/www/html/dta/yong/23617.3422.3.dta&amp;Global_Mod=CS57.0215", "3422")</f>
        <v>3422</v>
      </c>
      <c r="N569" s="5">
        <v>21.15</v>
      </c>
      <c r="O569" s="5">
        <v>21.16</v>
      </c>
      <c r="P569" s="5">
        <v>2.351</v>
      </c>
      <c r="Q569" s="5">
        <v>2.3250000000000002</v>
      </c>
      <c r="R569" s="5">
        <v>1.5232000000000001</v>
      </c>
      <c r="S569" s="5">
        <v>1.2121999999999999</v>
      </c>
      <c r="T569" s="5">
        <v>0.25319999999999998</v>
      </c>
      <c r="U569" s="5">
        <v>0.1865</v>
      </c>
      <c r="V569" s="4">
        <v>18</v>
      </c>
      <c r="W569" s="4">
        <v>368</v>
      </c>
      <c r="X569" s="5">
        <v>1.8</v>
      </c>
      <c r="Y569" s="5">
        <v>1.24</v>
      </c>
      <c r="Z569" s="6" t="s">
        <v>1306</v>
      </c>
      <c r="AA569" s="6" t="s">
        <v>1306</v>
      </c>
      <c r="AB569" s="4" t="s">
        <v>13</v>
      </c>
    </row>
    <row r="570" spans="1:28" s="12" customFormat="1">
      <c r="A570" s="3" t="s">
        <v>580</v>
      </c>
      <c r="B570" s="3" t="s">
        <v>1656</v>
      </c>
      <c r="C570" s="3" t="s">
        <v>1657</v>
      </c>
      <c r="D570" s="4" t="s">
        <v>1797</v>
      </c>
      <c r="E570" s="3" t="s">
        <v>657</v>
      </c>
      <c r="F570" s="7" t="s">
        <v>1403</v>
      </c>
      <c r="G570" s="4">
        <v>48.2</v>
      </c>
      <c r="H570" s="3" t="s">
        <v>658</v>
      </c>
      <c r="I570" s="3" t="s">
        <v>659</v>
      </c>
      <c r="J570" s="4">
        <v>4</v>
      </c>
      <c r="K570" s="4">
        <v>526.32600000000002</v>
      </c>
      <c r="L570" s="4" t="str">
        <f>HYPERLINK("http://ms.phosphosite.org:5080/cgi-bin/plot-msms.cgi?MassType=1&amp;NumAxis=1&amp;Mod2=184&amp;Mod7=184&amp;Mod9=184&amp;Mod20=184&amp;Pep=GRGVPVRGRGAAPPPPPVPR&amp;Dta=/var/www/html/dta/yong/23616.6953.4.dta&amp;Global_Mod=CS57.0215", "6953")</f>
        <v>6953</v>
      </c>
      <c r="M570" s="4"/>
      <c r="N570" s="5">
        <v>36.25</v>
      </c>
      <c r="O570" s="5"/>
      <c r="P570" s="5">
        <v>2.891</v>
      </c>
      <c r="Q570" s="5"/>
      <c r="R570" s="5">
        <v>0.25219999999999998</v>
      </c>
      <c r="S570" s="5"/>
      <c r="T570" s="5">
        <v>0.1615</v>
      </c>
      <c r="U570" s="5"/>
      <c r="V570" s="4">
        <v>1</v>
      </c>
      <c r="W570" s="4"/>
      <c r="X570" s="5">
        <v>1.22</v>
      </c>
      <c r="Y570" s="5"/>
      <c r="Z570" s="6" t="s">
        <v>1305</v>
      </c>
      <c r="AA570" s="6"/>
      <c r="AB570" s="4" t="s">
        <v>13</v>
      </c>
    </row>
    <row r="571" spans="1:28" s="12" customFormat="1">
      <c r="A571" s="9" t="s">
        <v>580</v>
      </c>
      <c r="B571" s="3" t="s">
        <v>1656</v>
      </c>
      <c r="C571" s="3" t="s">
        <v>1657</v>
      </c>
      <c r="D571" s="7" t="s">
        <v>1798</v>
      </c>
      <c r="E571" s="9" t="s">
        <v>657</v>
      </c>
      <c r="F571" s="7" t="s">
        <v>1403</v>
      </c>
      <c r="G571" s="7">
        <v>48.2</v>
      </c>
      <c r="H571" s="9" t="s">
        <v>660</v>
      </c>
      <c r="I571" s="9" t="s">
        <v>661</v>
      </c>
      <c r="J571" s="7">
        <v>3</v>
      </c>
      <c r="K571" s="7">
        <v>397.91550000000001</v>
      </c>
      <c r="L571" s="7" t="str">
        <f>HYPERLINK("http://ms.phosphosite.org:5080/cgi-bin/plot-msms.cgi?MassType=1&amp;NumAxis=1&amp;Mod2=184&amp;Mod8=184&amp;Pep=GRGVGPPRGALV&amp;Dta=/var/www/html/dta/yong/23616.8312.3.dta&amp;Global_Mod=CS57.0215", "8312")</f>
        <v>8312</v>
      </c>
      <c r="M571" s="7" t="str">
        <f>HYPERLINK("http://ms.phosphosite.org:5080/cgi-bin/plot-msms.cgi?MassType=1&amp;NumAxis=1&amp;Mod2=184&amp;Mod8=184&amp;Pep=GRGVGPPRGALV&amp;Dta=/var/www/html/dta/yong/23617.8430.3.dta&amp;Global_Mod=CS57.0215", "8430")</f>
        <v>8430</v>
      </c>
      <c r="N571" s="10">
        <v>41.99</v>
      </c>
      <c r="O571" s="10">
        <v>42.15</v>
      </c>
      <c r="P571" s="10">
        <v>2.073</v>
      </c>
      <c r="Q571" s="10">
        <v>1.9379999999999999</v>
      </c>
      <c r="R571" s="10">
        <v>8.6900000000000005E-2</v>
      </c>
      <c r="S571" s="10">
        <v>0.19620000000000001</v>
      </c>
      <c r="T571" s="10">
        <v>0.26529999999999998</v>
      </c>
      <c r="U571" s="10">
        <v>0.25</v>
      </c>
      <c r="V571" s="7">
        <v>45</v>
      </c>
      <c r="W571" s="7">
        <v>44</v>
      </c>
      <c r="X571" s="10">
        <v>1.78</v>
      </c>
      <c r="Y571" s="10">
        <v>1.66</v>
      </c>
      <c r="Z571" s="11" t="s">
        <v>1306</v>
      </c>
      <c r="AA571" s="11" t="s">
        <v>1306</v>
      </c>
      <c r="AB571" s="7" t="s">
        <v>13</v>
      </c>
    </row>
    <row r="572" spans="1:28" s="12" customFormat="1">
      <c r="A572" s="3" t="s">
        <v>580</v>
      </c>
      <c r="B572" s="3" t="s">
        <v>1656</v>
      </c>
      <c r="C572" s="3" t="s">
        <v>1657</v>
      </c>
      <c r="D572" s="4" t="s">
        <v>1799</v>
      </c>
      <c r="E572" s="3" t="s">
        <v>657</v>
      </c>
      <c r="F572" s="7" t="s">
        <v>1403</v>
      </c>
      <c r="G572" s="4">
        <v>48.2</v>
      </c>
      <c r="H572" s="3" t="s">
        <v>662</v>
      </c>
      <c r="I572" s="3" t="s">
        <v>663</v>
      </c>
      <c r="J572" s="4">
        <v>3</v>
      </c>
      <c r="K572" s="4">
        <v>570.34929999999997</v>
      </c>
      <c r="L572" s="4" t="str">
        <f>HYPERLINK("http://ms.phosphosite.org:5080/cgi-bin/plot-msms.cgi?MassType=1&amp;NumAxis=1&amp;Mod1=184&amp;Mod10=184&amp;Mod16=184&amp;Pep=RGVPPPPTVRGAPAPR&amp;Dta=/var/www/html/dta/yong/23616.7174.3.dta&amp;Global_Mod=CS57.0215", "7174")</f>
        <v>7174</v>
      </c>
      <c r="M572" s="4"/>
      <c r="N572" s="5">
        <v>37.21</v>
      </c>
      <c r="O572" s="5"/>
      <c r="P572" s="5">
        <v>2.4710000000000001</v>
      </c>
      <c r="Q572" s="5"/>
      <c r="R572" s="5">
        <v>0.78649999999999998</v>
      </c>
      <c r="S572" s="5"/>
      <c r="T572" s="5">
        <v>0.14779999999999999</v>
      </c>
      <c r="U572" s="5"/>
      <c r="V572" s="4">
        <v>1</v>
      </c>
      <c r="W572" s="4"/>
      <c r="X572" s="5">
        <v>1.21</v>
      </c>
      <c r="Y572" s="5"/>
      <c r="Z572" s="6" t="s">
        <v>1307</v>
      </c>
      <c r="AA572" s="6"/>
      <c r="AB572" s="4" t="s">
        <v>13</v>
      </c>
    </row>
    <row r="573" spans="1:28" s="12" customFormat="1">
      <c r="A573" s="9" t="s">
        <v>580</v>
      </c>
      <c r="B573" s="9" t="s">
        <v>1658</v>
      </c>
      <c r="C573" s="9" t="s">
        <v>1659</v>
      </c>
      <c r="D573" s="7" t="s">
        <v>1800</v>
      </c>
      <c r="E573" s="9" t="s">
        <v>664</v>
      </c>
      <c r="F573" s="7" t="s">
        <v>1494</v>
      </c>
      <c r="G573" s="7">
        <v>72.3</v>
      </c>
      <c r="H573" s="9" t="s">
        <v>665</v>
      </c>
      <c r="I573" s="9" t="s">
        <v>667</v>
      </c>
      <c r="J573" s="7">
        <v>4</v>
      </c>
      <c r="K573" s="7">
        <v>1207.1183000000001</v>
      </c>
      <c r="L573" s="7" t="str">
        <f>HYPERLINK("http://ms.phosphosite.org:5080/cgi-bin/plot-msms.cgi?MassType=1&amp;NumAxis=1&amp;Mod3=147&amp;Mod34=184&amp;Mod43=184&amp;Pep=LAMDFGGAGAAQQGLTDSCQSGGVPTAVQNLAPRAAVAAAAPRAVAPYK&amp;Dta=/var/www/html/dta/yong/23616.20298.4.dta&amp;Global_Mod=CS57.0215", "20298")</f>
        <v>20298</v>
      </c>
      <c r="M573" s="7" t="str">
        <f>HYPERLINK("http://ms.phosphosite.org:5080/cgi-bin/plot-msms.cgi?MassType=1&amp;NumAxis=1&amp;Mod3=147&amp;Mod34=184&amp;Mod43=184&amp;Pep=LAMDFGGAGAAQQGLTDSCQSGGVPTAVQNLAPRAAVAAAAPRAVAPYK&amp;Dta=/var/www/html/dta/yong/23617.20462.4.dta&amp;Global_Mod=CS57.0215", "20462")</f>
        <v>20462</v>
      </c>
      <c r="N573" s="10">
        <v>93.06</v>
      </c>
      <c r="O573" s="10">
        <v>93.08</v>
      </c>
      <c r="P573" s="10">
        <v>4.6289999999999996</v>
      </c>
      <c r="Q573" s="10">
        <v>5.0250000000000004</v>
      </c>
      <c r="R573" s="10">
        <v>1.3951</v>
      </c>
      <c r="S573" s="10">
        <v>1.4743999999999999</v>
      </c>
      <c r="T573" s="10">
        <v>0.26179999999999998</v>
      </c>
      <c r="U573" s="10">
        <v>0.39100000000000001</v>
      </c>
      <c r="V573" s="7">
        <v>1</v>
      </c>
      <c r="W573" s="7">
        <v>1</v>
      </c>
      <c r="X573" s="10">
        <v>2.1800000000000002</v>
      </c>
      <c r="Y573" s="10">
        <v>3.05</v>
      </c>
      <c r="Z573" s="11" t="s">
        <v>1306</v>
      </c>
      <c r="AA573" s="11" t="s">
        <v>1306</v>
      </c>
      <c r="AB573" s="7" t="s">
        <v>13</v>
      </c>
    </row>
    <row r="574" spans="1:28" s="12" customFormat="1">
      <c r="A574" s="9" t="s">
        <v>580</v>
      </c>
      <c r="B574" s="9" t="s">
        <v>1658</v>
      </c>
      <c r="C574" s="9" t="s">
        <v>1659</v>
      </c>
      <c r="D574" s="7" t="s">
        <v>1800</v>
      </c>
      <c r="E574" s="9" t="s">
        <v>664</v>
      </c>
      <c r="F574" s="7" t="s">
        <v>1494</v>
      </c>
      <c r="G574" s="7">
        <v>72.3</v>
      </c>
      <c r="H574" s="9" t="s">
        <v>665</v>
      </c>
      <c r="I574" s="9" t="s">
        <v>667</v>
      </c>
      <c r="J574" s="7">
        <v>5</v>
      </c>
      <c r="K574" s="7">
        <v>965.89610000000005</v>
      </c>
      <c r="L574" s="7" t="str">
        <f>HYPERLINK("http://ms.phosphosite.org:5080/cgi-bin/plot-msms.cgi?MassType=1&amp;NumAxis=1&amp;Mod3=147&amp;Mod34=184&amp;Mod43=184&amp;Pep=LAMDFGGAGAAQQGLTDSCQSGGVPTAVQNLAPRAAVAAAAPRAVAPYK&amp;Dta=/var/www/html/dta/yong/23616.20320.5.dta&amp;Global_Mod=CS57.0215", "20320")</f>
        <v>20320</v>
      </c>
      <c r="M574" s="7"/>
      <c r="N574" s="10">
        <v>93.16</v>
      </c>
      <c r="O574" s="10"/>
      <c r="P574" s="10">
        <v>4.5810000000000004</v>
      </c>
      <c r="Q574" s="10"/>
      <c r="R574" s="10">
        <v>1.4117999999999999</v>
      </c>
      <c r="S574" s="10"/>
      <c r="T574" s="10">
        <v>0.11409999999999999</v>
      </c>
      <c r="U574" s="10"/>
      <c r="V574" s="7">
        <v>3</v>
      </c>
      <c r="W574" s="7"/>
      <c r="X574" s="10">
        <v>1.35</v>
      </c>
      <c r="Y574" s="10"/>
      <c r="Z574" s="11" t="s">
        <v>1306</v>
      </c>
      <c r="AA574" s="11"/>
      <c r="AB574" s="7" t="s">
        <v>13</v>
      </c>
    </row>
    <row r="575" spans="1:28" s="12" customFormat="1">
      <c r="A575" s="9" t="s">
        <v>580</v>
      </c>
      <c r="B575" s="9" t="s">
        <v>1658</v>
      </c>
      <c r="C575" s="9" t="s">
        <v>1659</v>
      </c>
      <c r="D575" s="7" t="s">
        <v>1800</v>
      </c>
      <c r="E575" s="9" t="s">
        <v>664</v>
      </c>
      <c r="F575" s="7" t="s">
        <v>1494</v>
      </c>
      <c r="G575" s="7">
        <v>72.3</v>
      </c>
      <c r="H575" s="9" t="s">
        <v>665</v>
      </c>
      <c r="I575" s="9" t="s">
        <v>667</v>
      </c>
      <c r="J575" s="7">
        <v>4</v>
      </c>
      <c r="K575" s="7">
        <v>1207.1183000000001</v>
      </c>
      <c r="L575" s="7" t="str">
        <f>HYPERLINK("http://ms.phosphosite.org:5080/cgi-bin/plot-msms.cgi?MassType=1&amp;NumAxis=1&amp;Mod3=147&amp;Mod34=184&amp;Mod43=184&amp;Pep=LAMDFGGAGAAQQGLTDSCQSGGVPTAVQNLAPRAAVAAAAPRAVAPYK&amp;Dta=/var/www/html/dta/yong/23616.20356.4.dta&amp;Global_Mod=CS57.0215", "20356")</f>
        <v>20356</v>
      </c>
      <c r="M575" s="7" t="str">
        <f>HYPERLINK("http://ms.phosphosite.org:5080/cgi-bin/plot-msms.cgi?MassType=1&amp;NumAxis=1&amp;Mod3=147&amp;Mod34=184&amp;Mod43=184&amp;Pep=LAMDFGGAGAAQQGLTDSCQSGGVPTAVQNLAPRAAVAAAAPRAVAPYK&amp;Dta=/var/www/html/dta/yong/23617.20483.4.dta&amp;Global_Mod=CS57.0215", "20483")</f>
        <v>20483</v>
      </c>
      <c r="N575" s="10">
        <v>93.31</v>
      </c>
      <c r="O575" s="10">
        <v>93.17</v>
      </c>
      <c r="P575" s="10">
        <v>5.6970000000000001</v>
      </c>
      <c r="Q575" s="10">
        <v>4.8490000000000002</v>
      </c>
      <c r="R575" s="10">
        <v>1.2263999999999999</v>
      </c>
      <c r="S575" s="10">
        <v>1.5012000000000001</v>
      </c>
      <c r="T575" s="10">
        <v>0.49340000000000001</v>
      </c>
      <c r="U575" s="10">
        <v>0.29470000000000002</v>
      </c>
      <c r="V575" s="7">
        <v>1</v>
      </c>
      <c r="W575" s="7">
        <v>1</v>
      </c>
      <c r="X575" s="10">
        <v>3.81</v>
      </c>
      <c r="Y575" s="10">
        <v>2.4500000000000002</v>
      </c>
      <c r="Z575" s="11" t="s">
        <v>1306</v>
      </c>
      <c r="AA575" s="11" t="s">
        <v>1306</v>
      </c>
      <c r="AB575" s="7" t="s">
        <v>13</v>
      </c>
    </row>
    <row r="576" spans="1:28" s="12" customFormat="1">
      <c r="A576" s="9" t="s">
        <v>580</v>
      </c>
      <c r="B576" s="9" t="s">
        <v>1658</v>
      </c>
      <c r="C576" s="9" t="s">
        <v>1659</v>
      </c>
      <c r="D576" s="7" t="s">
        <v>1800</v>
      </c>
      <c r="E576" s="9" t="s">
        <v>664</v>
      </c>
      <c r="F576" s="7" t="s">
        <v>1494</v>
      </c>
      <c r="G576" s="7">
        <v>72.3</v>
      </c>
      <c r="H576" s="9" t="s">
        <v>665</v>
      </c>
      <c r="I576" s="9" t="s">
        <v>667</v>
      </c>
      <c r="J576" s="7">
        <v>5</v>
      </c>
      <c r="K576" s="7">
        <v>965.89610000000005</v>
      </c>
      <c r="L576" s="7" t="str">
        <f>HYPERLINK("http://ms.phosphosite.org:5080/cgi-bin/plot-msms.cgi?MassType=1&amp;NumAxis=1&amp;Mod3=147&amp;Mod34=184&amp;Mod43=184&amp;Pep=LAMDFGGAGAAQQGLTDSCQSGGVPTAVQNLAPRAAVAAAAPRAVAPYK&amp;Dta=/var/www/html/dta/yong/23616.20398.5.dta&amp;Global_Mod=CS57.0215", "20398")</f>
        <v>20398</v>
      </c>
      <c r="M576" s="7"/>
      <c r="N576" s="10">
        <v>93.5</v>
      </c>
      <c r="O576" s="10"/>
      <c r="P576" s="10">
        <v>3.9870000000000001</v>
      </c>
      <c r="Q576" s="10"/>
      <c r="R576" s="10">
        <v>1.4117999999999999</v>
      </c>
      <c r="S576" s="10"/>
      <c r="T576" s="10">
        <v>0.1343</v>
      </c>
      <c r="U576" s="10"/>
      <c r="V576" s="7">
        <v>2</v>
      </c>
      <c r="W576" s="7"/>
      <c r="X576" s="10">
        <v>1.29</v>
      </c>
      <c r="Y576" s="10"/>
      <c r="Z576" s="11" t="s">
        <v>1306</v>
      </c>
      <c r="AA576" s="11"/>
      <c r="AB576" s="7" t="s">
        <v>13</v>
      </c>
    </row>
    <row r="577" spans="1:28" s="12" customFormat="1">
      <c r="A577" s="9" t="s">
        <v>580</v>
      </c>
      <c r="B577" s="9" t="s">
        <v>1658</v>
      </c>
      <c r="C577" s="9" t="s">
        <v>1659</v>
      </c>
      <c r="D577" s="7" t="s">
        <v>1800</v>
      </c>
      <c r="E577" s="9" t="s">
        <v>664</v>
      </c>
      <c r="F577" s="7" t="s">
        <v>1494</v>
      </c>
      <c r="G577" s="7">
        <v>72.3</v>
      </c>
      <c r="H577" s="9" t="s">
        <v>665</v>
      </c>
      <c r="I577" s="9" t="s">
        <v>667</v>
      </c>
      <c r="J577" s="7">
        <v>4</v>
      </c>
      <c r="K577" s="7">
        <v>1207.1183000000001</v>
      </c>
      <c r="L577" s="7" t="str">
        <f>HYPERLINK("http://ms.phosphosite.org:5080/cgi-bin/plot-msms.cgi?MassType=1&amp;NumAxis=1&amp;Mod3=147&amp;Mod34=184&amp;Mod43=184&amp;Pep=LAMDFGGAGAAQQGLTDSCQSGGVPTAVQNLAPRAAVAAAAPRAVAPYK&amp;Dta=/var/www/html/dta/yong/23616.20466.4.dta&amp;Global_Mod=CS57.0215", "20466")</f>
        <v>20466</v>
      </c>
      <c r="M577" s="7"/>
      <c r="N577" s="10">
        <v>93.79</v>
      </c>
      <c r="O577" s="10"/>
      <c r="P577" s="10">
        <v>4.907</v>
      </c>
      <c r="Q577" s="10"/>
      <c r="R577" s="10">
        <v>1.2093</v>
      </c>
      <c r="S577" s="10"/>
      <c r="T577" s="10">
        <v>0.33679999999999999</v>
      </c>
      <c r="U577" s="10"/>
      <c r="V577" s="7">
        <v>1</v>
      </c>
      <c r="W577" s="7"/>
      <c r="X577" s="10">
        <v>2.7</v>
      </c>
      <c r="Y577" s="10"/>
      <c r="Z577" s="11" t="s">
        <v>1306</v>
      </c>
      <c r="AA577" s="11"/>
      <c r="AB577" s="7" t="s">
        <v>13</v>
      </c>
    </row>
    <row r="578" spans="1:28" s="12" customFormat="1">
      <c r="A578" s="9" t="s">
        <v>580</v>
      </c>
      <c r="B578" s="9" t="s">
        <v>1658</v>
      </c>
      <c r="C578" s="9" t="s">
        <v>1659</v>
      </c>
      <c r="D578" s="7" t="s">
        <v>1800</v>
      </c>
      <c r="E578" s="9" t="s">
        <v>664</v>
      </c>
      <c r="F578" s="7" t="s">
        <v>1494</v>
      </c>
      <c r="G578" s="7">
        <v>72.3</v>
      </c>
      <c r="H578" s="9" t="s">
        <v>665</v>
      </c>
      <c r="I578" s="9" t="s">
        <v>666</v>
      </c>
      <c r="J578" s="7">
        <v>4</v>
      </c>
      <c r="K578" s="7">
        <v>1092.3062</v>
      </c>
      <c r="L578" s="7"/>
      <c r="M578" s="7" t="str">
        <f>HYPERLINK("http://ms.phosphosite.org:5080/cgi-bin/plot-msms.cgi?MassType=1&amp;NumAxis=1&amp;Mod3=147&amp;Mod34=184&amp;Mod43=184&amp;Pep=LAMDFGGAGAAQQGLTDSCQSGGVPTAVQNLAPRAAVAAAAPRAV&amp;Dta=/var/www/html/dta/yong/23617.21595.4.dta&amp;Global_Mod=CS57.0215", "21595")</f>
        <v>21595</v>
      </c>
      <c r="N578" s="10"/>
      <c r="O578" s="10">
        <v>97.86</v>
      </c>
      <c r="P578" s="10"/>
      <c r="Q578" s="10">
        <v>3.99</v>
      </c>
      <c r="R578" s="10"/>
      <c r="S578" s="10">
        <v>1.1659999999999999</v>
      </c>
      <c r="T578" s="10"/>
      <c r="U578" s="10">
        <v>0.1176</v>
      </c>
      <c r="V578" s="7"/>
      <c r="W578" s="7">
        <v>12</v>
      </c>
      <c r="X578" s="10"/>
      <c r="Y578" s="10">
        <v>1.24</v>
      </c>
      <c r="Z578" s="11"/>
      <c r="AA578" s="11" t="s">
        <v>1306</v>
      </c>
      <c r="AB578" s="7" t="s">
        <v>13</v>
      </c>
    </row>
    <row r="579" spans="1:28" s="12" customFormat="1">
      <c r="A579" s="9" t="s">
        <v>580</v>
      </c>
      <c r="B579" s="9" t="s">
        <v>1658</v>
      </c>
      <c r="C579" s="9" t="s">
        <v>1659</v>
      </c>
      <c r="D579" s="7" t="s">
        <v>1800</v>
      </c>
      <c r="E579" s="9" t="s">
        <v>664</v>
      </c>
      <c r="F579" s="7" t="s">
        <v>1494</v>
      </c>
      <c r="G579" s="7">
        <v>72.3</v>
      </c>
      <c r="H579" s="9" t="s">
        <v>665</v>
      </c>
      <c r="I579" s="9" t="s">
        <v>668</v>
      </c>
      <c r="J579" s="7">
        <v>4</v>
      </c>
      <c r="K579" s="7">
        <v>1203.1195</v>
      </c>
      <c r="L579" s="7"/>
      <c r="M579" s="7" t="str">
        <f>HYPERLINK("http://ms.phosphosite.org:5080/cgi-bin/plot-msms.cgi?MassType=1&amp;NumAxis=1&amp;Mod34=184&amp;Mod43=184&amp;Pep=LAMDFGGAGAAQQGLTDSCQSGGVPTAVQNLAPRAAVAAAAPRAVAPYK&amp;Dta=/var/www/html/dta/yong/23617.22274.4.dta&amp;Global_Mod=CS57.0215", "22274")</f>
        <v>22274</v>
      </c>
      <c r="N579" s="10"/>
      <c r="O579" s="10">
        <v>100.58</v>
      </c>
      <c r="P579" s="10"/>
      <c r="Q579" s="10">
        <v>4.43</v>
      </c>
      <c r="R579" s="10"/>
      <c r="S579" s="10">
        <v>0.94589999999999996</v>
      </c>
      <c r="T579" s="10"/>
      <c r="U579" s="10">
        <v>0.2475</v>
      </c>
      <c r="V579" s="7"/>
      <c r="W579" s="7">
        <v>1</v>
      </c>
      <c r="X579" s="10"/>
      <c r="Y579" s="10">
        <v>2.09</v>
      </c>
      <c r="Z579" s="11"/>
      <c r="AA579" s="11" t="s">
        <v>1306</v>
      </c>
      <c r="AB579" s="7" t="s">
        <v>13</v>
      </c>
    </row>
    <row r="580" spans="1:28" s="12" customFormat="1">
      <c r="A580" s="3" t="s">
        <v>580</v>
      </c>
      <c r="B580" s="3" t="s">
        <v>1660</v>
      </c>
      <c r="C580" s="3" t="s">
        <v>1661</v>
      </c>
      <c r="D580" s="4" t="s">
        <v>1801</v>
      </c>
      <c r="E580" s="3" t="s">
        <v>664</v>
      </c>
      <c r="F580" s="7" t="s">
        <v>1494</v>
      </c>
      <c r="G580" s="4">
        <v>69.5</v>
      </c>
      <c r="H580" s="3" t="s">
        <v>665</v>
      </c>
      <c r="I580" s="3" t="s">
        <v>669</v>
      </c>
      <c r="J580" s="4">
        <v>3</v>
      </c>
      <c r="K580" s="4">
        <v>721.42340000000002</v>
      </c>
      <c r="L580" s="4" t="str">
        <f>HYPERLINK("http://ms.phosphosite.org:5080/cgi-bin/plot-msms.cgi?MassType=1&amp;NumAxis=1&amp;Mod6=184&amp;Mod15=184&amp;Pep=QNLAPRAAVAAAAPRAVAPYK&amp;Dta=/var/www/html/dta/yong/23616.11058.3.dta&amp;Global_Mod=CS57.0215", "11058")</f>
        <v>11058</v>
      </c>
      <c r="M580" s="4" t="str">
        <f>HYPERLINK("http://ms.phosphosite.org:5080/cgi-bin/plot-msms.cgi?MassType=1&amp;NumAxis=1&amp;Mod6=184&amp;Mod15=184&amp;Pep=QNLAPRAAVAAAAPRAVAPYK&amp;Dta=/var/www/html/dta/yong/23617.11163.3.dta&amp;Global_Mod=CS57.0215", "11163")</f>
        <v>11163</v>
      </c>
      <c r="N580" s="5">
        <v>53.53</v>
      </c>
      <c r="O580" s="5">
        <v>53.44</v>
      </c>
      <c r="P580" s="5">
        <v>3.7890000000000001</v>
      </c>
      <c r="Q580" s="5">
        <v>4.0410000000000004</v>
      </c>
      <c r="R580" s="5">
        <v>0.78979999999999995</v>
      </c>
      <c r="S580" s="5">
        <v>1.1398999999999999</v>
      </c>
      <c r="T580" s="5">
        <v>0.32290000000000002</v>
      </c>
      <c r="U580" s="5">
        <v>0.43930000000000002</v>
      </c>
      <c r="V580" s="4">
        <v>1</v>
      </c>
      <c r="W580" s="4">
        <v>1</v>
      </c>
      <c r="X580" s="5">
        <v>2.57</v>
      </c>
      <c r="Y580" s="5">
        <v>3.32</v>
      </c>
      <c r="Z580" s="6" t="s">
        <v>1306</v>
      </c>
      <c r="AA580" s="6" t="s">
        <v>1306</v>
      </c>
      <c r="AB580" s="4" t="s">
        <v>13</v>
      </c>
    </row>
    <row r="581" spans="1:28" s="12" customFormat="1">
      <c r="A581" s="9" t="s">
        <v>580</v>
      </c>
      <c r="B581" s="3" t="s">
        <v>1660</v>
      </c>
      <c r="C581" s="3" t="s">
        <v>1661</v>
      </c>
      <c r="D581" s="7">
        <v>505</v>
      </c>
      <c r="E581" s="9" t="s">
        <v>664</v>
      </c>
      <c r="F581" s="7" t="s">
        <v>1494</v>
      </c>
      <c r="G581" s="7">
        <v>69.5</v>
      </c>
      <c r="H581" s="9" t="s">
        <v>670</v>
      </c>
      <c r="I581" s="9" t="s">
        <v>671</v>
      </c>
      <c r="J581" s="7">
        <v>2</v>
      </c>
      <c r="K581" s="7">
        <v>656.8904</v>
      </c>
      <c r="L581" s="7"/>
      <c r="M581" s="7" t="str">
        <f>HYPERLINK("http://ms.phosphosite.org:5080/cgi-bin/plot-msms.cgi?MassType=1&amp;NumAxis=1&amp;Mod7=184&amp;Pep=VAAAAPRAVAPYK&amp;Dta=/var/www/html/dta/yong/23617.6134.2.dta&amp;Global_Mod=CS57.0215", "6134")</f>
        <v>6134</v>
      </c>
      <c r="N581" s="10"/>
      <c r="O581" s="10">
        <v>32.619999999999997</v>
      </c>
      <c r="P581" s="10"/>
      <c r="Q581" s="10">
        <v>2.7570000000000001</v>
      </c>
      <c r="R581" s="10"/>
      <c r="S581" s="10">
        <v>0.8679</v>
      </c>
      <c r="T581" s="10"/>
      <c r="U581" s="10">
        <v>0.2205</v>
      </c>
      <c r="V581" s="7"/>
      <c r="W581" s="7">
        <v>1</v>
      </c>
      <c r="X581" s="10"/>
      <c r="Y581" s="10">
        <v>1.95</v>
      </c>
      <c r="Z581" s="11"/>
      <c r="AA581" s="11">
        <v>1000</v>
      </c>
      <c r="AB581" s="7" t="s">
        <v>13</v>
      </c>
    </row>
    <row r="582" spans="1:28" s="12" customFormat="1">
      <c r="A582" s="3" t="s">
        <v>580</v>
      </c>
      <c r="B582" s="3" t="s">
        <v>1660</v>
      </c>
      <c r="C582" s="3" t="s">
        <v>1661</v>
      </c>
      <c r="D582" s="4">
        <v>517</v>
      </c>
      <c r="E582" s="3" t="s">
        <v>664</v>
      </c>
      <c r="F582" s="7" t="s">
        <v>1494</v>
      </c>
      <c r="G582" s="4">
        <v>69.5</v>
      </c>
      <c r="H582" s="3" t="s">
        <v>672</v>
      </c>
      <c r="I582" s="3" t="s">
        <v>673</v>
      </c>
      <c r="J582" s="4">
        <v>2</v>
      </c>
      <c r="K582" s="4">
        <v>889.98099999999999</v>
      </c>
      <c r="L582" s="4" t="str">
        <f>HYPERLINK("http://ms.phosphosite.org:5080/cgi-bin/plot-msms.cgi?MassType=1&amp;NumAxis=1&amp;Mod6=184&amp;Pep=YASSVRSPHPAIQPLQ&amp;Dta=/var/www/html/dta/yong/23616.9681.2.dta&amp;Global_Mod=CS57.0215", "9681")</f>
        <v>9681</v>
      </c>
      <c r="M582" s="4" t="str">
        <f>HYPERLINK("http://ms.phosphosite.org:5080/cgi-bin/plot-msms.cgi?MassType=1&amp;NumAxis=1&amp;Mod6=184&amp;Pep=YASSVRSPHPAIQPLQ&amp;Dta=/var/www/html/dta/yong/23617.9778.2.dta&amp;Global_Mod=CS57.0215", "9778")</f>
        <v>9778</v>
      </c>
      <c r="N582" s="5">
        <v>47.77</v>
      </c>
      <c r="O582" s="5">
        <v>47.69</v>
      </c>
      <c r="P582" s="5">
        <v>2.7879999999999998</v>
      </c>
      <c r="Q582" s="5">
        <v>2.7959999999999998</v>
      </c>
      <c r="R582" s="5">
        <v>1.3422000000000001</v>
      </c>
      <c r="S582" s="5">
        <v>0.59219999999999995</v>
      </c>
      <c r="T582" s="5">
        <v>0.1527</v>
      </c>
      <c r="U582" s="5">
        <v>0.109</v>
      </c>
      <c r="V582" s="4">
        <v>1</v>
      </c>
      <c r="W582" s="4">
        <v>1</v>
      </c>
      <c r="X582" s="5">
        <v>1.5</v>
      </c>
      <c r="Y582" s="5">
        <v>1.32</v>
      </c>
      <c r="Z582" s="6">
        <v>1000</v>
      </c>
      <c r="AA582" s="6">
        <v>1000</v>
      </c>
      <c r="AB582" s="4" t="s">
        <v>13</v>
      </c>
    </row>
    <row r="583" spans="1:28" s="12" customFormat="1">
      <c r="A583" s="3" t="s">
        <v>580</v>
      </c>
      <c r="B583" s="3" t="s">
        <v>1660</v>
      </c>
      <c r="C583" s="3" t="s">
        <v>1661</v>
      </c>
      <c r="D583" s="4">
        <v>517</v>
      </c>
      <c r="E583" s="3" t="s">
        <v>664</v>
      </c>
      <c r="F583" s="7" t="s">
        <v>1494</v>
      </c>
      <c r="G583" s="4">
        <v>69.5</v>
      </c>
      <c r="H583" s="3" t="s">
        <v>672</v>
      </c>
      <c r="I583" s="3" t="s">
        <v>673</v>
      </c>
      <c r="J583" s="4">
        <v>2</v>
      </c>
      <c r="K583" s="4">
        <v>889.98099999999999</v>
      </c>
      <c r="L583" s="4" t="str">
        <f>HYPERLINK("http://ms.phosphosite.org:5080/cgi-bin/plot-msms.cgi?MassType=1&amp;NumAxis=1&amp;Mod6=184&amp;Pep=YASSVRSPHPAIQPLQ&amp;Dta=/var/www/html/dta/yong/23616.9703.2.dta&amp;Global_Mod=CS57.0215", "9703")</f>
        <v>9703</v>
      </c>
      <c r="M583" s="4" t="str">
        <f>HYPERLINK("http://ms.phosphosite.org:5080/cgi-bin/plot-msms.cgi?MassType=1&amp;NumAxis=1&amp;Mod6=184&amp;Pep=YASSVRSPHPAIQPLQ&amp;Dta=/var/www/html/dta/yong/23617.9810.2.dta&amp;Global_Mod=CS57.0215", "9810")</f>
        <v>9810</v>
      </c>
      <c r="N583" s="5">
        <v>47.86</v>
      </c>
      <c r="O583" s="5">
        <v>47.81</v>
      </c>
      <c r="P583" s="5">
        <v>2.7440000000000002</v>
      </c>
      <c r="Q583" s="5">
        <v>2.9670000000000001</v>
      </c>
      <c r="R583" s="5">
        <v>1.4451000000000001</v>
      </c>
      <c r="S583" s="5">
        <v>0.4425</v>
      </c>
      <c r="T583" s="5">
        <v>0.1542</v>
      </c>
      <c r="U583" s="5">
        <v>0.19819999999999999</v>
      </c>
      <c r="V583" s="4">
        <v>4</v>
      </c>
      <c r="W583" s="4">
        <v>1</v>
      </c>
      <c r="X583" s="5">
        <v>1.49</v>
      </c>
      <c r="Y583" s="5">
        <v>1.88</v>
      </c>
      <c r="Z583" s="6">
        <v>1000</v>
      </c>
      <c r="AA583" s="6">
        <v>1000</v>
      </c>
      <c r="AB583" s="4" t="s">
        <v>13</v>
      </c>
    </row>
    <row r="584" spans="1:28" s="12" customFormat="1">
      <c r="A584" s="9" t="s">
        <v>580</v>
      </c>
      <c r="B584" s="9" t="s">
        <v>1662</v>
      </c>
      <c r="C584" s="9" t="s">
        <v>1663</v>
      </c>
      <c r="D584" s="7" t="s">
        <v>1802</v>
      </c>
      <c r="E584" s="9" t="s">
        <v>674</v>
      </c>
      <c r="F584" s="7" t="s">
        <v>1404</v>
      </c>
      <c r="G584" s="7">
        <v>32.700000000000003</v>
      </c>
      <c r="H584" s="9" t="s">
        <v>675</v>
      </c>
      <c r="I584" s="9" t="s">
        <v>676</v>
      </c>
      <c r="J584" s="7">
        <v>4</v>
      </c>
      <c r="K584" s="7">
        <v>497.28030000000001</v>
      </c>
      <c r="L584" s="7"/>
      <c r="M584" s="7" t="str">
        <f>HYPERLINK("http://ms.phosphosite.org:5080/cgi-bin/plot-msms.cgi?MassType=1&amp;NumAxis=1&amp;Mod11=184&amp;Mod15=184&amp;Mod17=184&amp;Pep=TNRPGISTTDRGFPRAR&amp;Dta=/var/www/html/dta/yong/23617.7049.4.dta&amp;Global_Mod=CS57.0215", "7049")</f>
        <v>7049</v>
      </c>
      <c r="N584" s="10"/>
      <c r="O584" s="10">
        <v>36.340000000000003</v>
      </c>
      <c r="P584" s="10"/>
      <c r="Q584" s="10">
        <v>2.33</v>
      </c>
      <c r="R584" s="10"/>
      <c r="S584" s="10">
        <v>-0.44529999999999997</v>
      </c>
      <c r="T584" s="10"/>
      <c r="U584" s="10">
        <v>0.1055</v>
      </c>
      <c r="V584" s="7"/>
      <c r="W584" s="7">
        <v>104</v>
      </c>
      <c r="X584" s="10"/>
      <c r="Y584" s="10">
        <v>1.1599999999999999</v>
      </c>
      <c r="Z584" s="11"/>
      <c r="AA584" s="11" t="s">
        <v>1307</v>
      </c>
      <c r="AB584" s="7" t="s">
        <v>13</v>
      </c>
    </row>
    <row r="585" spans="1:28" s="12" customFormat="1">
      <c r="A585" s="9" t="s">
        <v>580</v>
      </c>
      <c r="B585" s="9" t="s">
        <v>1662</v>
      </c>
      <c r="C585" s="9" t="s">
        <v>1663</v>
      </c>
      <c r="D585" s="7">
        <v>279</v>
      </c>
      <c r="E585" s="9" t="s">
        <v>674</v>
      </c>
      <c r="F585" s="7" t="s">
        <v>1404</v>
      </c>
      <c r="G585" s="7">
        <v>32.700000000000003</v>
      </c>
      <c r="H585" s="9" t="s">
        <v>677</v>
      </c>
      <c r="I585" s="9" t="s">
        <v>678</v>
      </c>
      <c r="J585" s="7">
        <v>2</v>
      </c>
      <c r="K585" s="7">
        <v>503.24310000000003</v>
      </c>
      <c r="L585" s="7" t="str">
        <f>HYPERLINK("http://ms.phosphosite.org:5080/cgi-bin/plot-msms.cgi?MassType=1&amp;NumAxis=1&amp;Mod2=184&amp;Pep=SRFYSGFN&amp;Dta=/var/www/html/dta/yong/23616.10897.2.dta&amp;Global_Mod=CS57.0215", "10897")</f>
        <v>10897</v>
      </c>
      <c r="M585" s="7"/>
      <c r="N585" s="10">
        <v>52.83</v>
      </c>
      <c r="O585" s="10"/>
      <c r="P585" s="10">
        <v>1.4870000000000001</v>
      </c>
      <c r="Q585" s="10"/>
      <c r="R585" s="10">
        <v>0.59</v>
      </c>
      <c r="S585" s="10"/>
      <c r="T585" s="10">
        <v>0.1074</v>
      </c>
      <c r="U585" s="10"/>
      <c r="V585" s="7">
        <v>1</v>
      </c>
      <c r="W585" s="7"/>
      <c r="X585" s="10">
        <v>1.21</v>
      </c>
      <c r="Y585" s="10"/>
      <c r="Z585" s="11">
        <v>1000</v>
      </c>
      <c r="AA585" s="11"/>
      <c r="AB585" s="7" t="s">
        <v>13</v>
      </c>
    </row>
    <row r="586" spans="1:28" s="13" customFormat="1">
      <c r="A586" s="18" t="s">
        <v>580</v>
      </c>
      <c r="B586" s="18" t="s">
        <v>1664</v>
      </c>
      <c r="C586" s="18" t="s">
        <v>1663</v>
      </c>
      <c r="D586" s="19"/>
      <c r="E586" s="18" t="s">
        <v>674</v>
      </c>
      <c r="F586" s="15" t="s">
        <v>1404</v>
      </c>
      <c r="G586" s="19">
        <v>32.700000000000003</v>
      </c>
      <c r="H586" s="18"/>
      <c r="I586" s="18" t="s">
        <v>679</v>
      </c>
      <c r="J586" s="19">
        <v>2</v>
      </c>
      <c r="K586" s="19">
        <v>633.34040000000005</v>
      </c>
      <c r="L586" s="19" t="str">
        <f>HYPERLINK("http://ms.phosphosite.org:5080/cgi-bin/plot-msms.cgi?MassType=1&amp;NumAxis=1&amp;Mod11=170&amp;Pep=TSLALDESLFR&amp;Dta=/var/www/html/dta/yong/23616.19859.2.dta&amp;Global_Mod=CS57.0215", "19859")</f>
        <v>19859</v>
      </c>
      <c r="M586" s="19" t="str">
        <f>HYPERLINK("http://ms.phosphosite.org:5080/cgi-bin/plot-msms.cgi?MassType=1&amp;NumAxis=1&amp;Mod11=170&amp;Pep=TSLALDESLFR&amp;Dta=/var/www/html/dta/yong/23617.20022.2.dta&amp;Global_Mod=CS57.0215", "20022")</f>
        <v>20022</v>
      </c>
      <c r="N586" s="20">
        <v>91.26</v>
      </c>
      <c r="O586" s="20">
        <v>91.22</v>
      </c>
      <c r="P586" s="20">
        <v>3.5430000000000001</v>
      </c>
      <c r="Q586" s="20">
        <v>3.2240000000000002</v>
      </c>
      <c r="R586" s="20">
        <v>0.95499999999999996</v>
      </c>
      <c r="S586" s="20">
        <v>1.0336000000000001</v>
      </c>
      <c r="T586" s="20">
        <v>0.31280000000000002</v>
      </c>
      <c r="U586" s="20">
        <v>0.28560000000000002</v>
      </c>
      <c r="V586" s="19">
        <v>1</v>
      </c>
      <c r="W586" s="19">
        <v>1</v>
      </c>
      <c r="X586" s="20">
        <v>3.1</v>
      </c>
      <c r="Y586" s="20">
        <v>2.9</v>
      </c>
      <c r="Z586" s="21">
        <v>1000</v>
      </c>
      <c r="AA586" s="21">
        <v>1000</v>
      </c>
      <c r="AB586" s="19" t="s">
        <v>13</v>
      </c>
    </row>
    <row r="587" spans="1:28" s="12" customFormat="1">
      <c r="A587" s="9" t="s">
        <v>580</v>
      </c>
      <c r="B587" s="9" t="s">
        <v>680</v>
      </c>
      <c r="C587" s="9" t="s">
        <v>680</v>
      </c>
      <c r="D587" s="7">
        <v>411</v>
      </c>
      <c r="E587" s="9" t="s">
        <v>681</v>
      </c>
      <c r="F587" s="7" t="s">
        <v>1405</v>
      </c>
      <c r="G587" s="7">
        <v>118.6</v>
      </c>
      <c r="H587" s="9" t="s">
        <v>682</v>
      </c>
      <c r="I587" s="9" t="s">
        <v>683</v>
      </c>
      <c r="J587" s="7">
        <v>4</v>
      </c>
      <c r="K587" s="7">
        <v>879.7269</v>
      </c>
      <c r="L587" s="7" t="str">
        <f>HYPERLINK("http://ms.phosphosite.org:5080/cgi-bin/plot-msms.cgi?MassType=1&amp;NumAxis=1&amp;Mod17=184&amp;Pep=DQPGTSAVPNLASVGTRLPPPLPQNLLYTVSER&amp;Dta=/var/www/html/dta/yong/23616.27616.4.dta&amp;Global_Mod=CS57.0215", "27616")</f>
        <v>27616</v>
      </c>
      <c r="M587" s="7" t="str">
        <f>HYPERLINK("http://ms.phosphosite.org:5080/cgi-bin/plot-msms.cgi?MassType=1&amp;NumAxis=1&amp;Mod17=184&amp;Pep=DQPGTSAVPNLASVGTRLPPPLPQNLLYTVSER&amp;Dta=/var/www/html/dta/yong/23617.27698.4.dta&amp;Global_Mod=CS57.0215", "27698")</f>
        <v>27698</v>
      </c>
      <c r="N587" s="10">
        <v>123.57</v>
      </c>
      <c r="O587" s="10">
        <v>123.51</v>
      </c>
      <c r="P587" s="10">
        <v>3.4430000000000001</v>
      </c>
      <c r="Q587" s="10">
        <v>4.5490000000000004</v>
      </c>
      <c r="R587" s="10">
        <v>1.085</v>
      </c>
      <c r="S587" s="10">
        <v>0.27400000000000002</v>
      </c>
      <c r="T587" s="10">
        <v>0.1421</v>
      </c>
      <c r="U587" s="10">
        <v>0.29980000000000001</v>
      </c>
      <c r="V587" s="7">
        <v>5</v>
      </c>
      <c r="W587" s="7">
        <v>58</v>
      </c>
      <c r="X587" s="10">
        <v>1.39</v>
      </c>
      <c r="Y587" s="10">
        <v>2.59</v>
      </c>
      <c r="Z587" s="11">
        <v>1000</v>
      </c>
      <c r="AA587" s="11">
        <v>1000</v>
      </c>
      <c r="AB587" s="7" t="s">
        <v>13</v>
      </c>
    </row>
    <row r="588" spans="1:28" s="12" customFormat="1">
      <c r="A588" s="9" t="s">
        <v>580</v>
      </c>
      <c r="B588" s="9" t="s">
        <v>680</v>
      </c>
      <c r="C588" s="9" t="s">
        <v>680</v>
      </c>
      <c r="D588" s="7">
        <v>411</v>
      </c>
      <c r="E588" s="9" t="s">
        <v>681</v>
      </c>
      <c r="F588" s="7" t="s">
        <v>1405</v>
      </c>
      <c r="G588" s="7">
        <v>118.6</v>
      </c>
      <c r="H588" s="9" t="s">
        <v>682</v>
      </c>
      <c r="I588" s="9" t="s">
        <v>683</v>
      </c>
      <c r="J588" s="7">
        <v>3</v>
      </c>
      <c r="K588" s="7">
        <v>1172.6333999999999</v>
      </c>
      <c r="L588" s="7" t="str">
        <f>HYPERLINK("http://ms.phosphosite.org:5080/cgi-bin/plot-msms.cgi?MassType=1&amp;NumAxis=1&amp;Mod17=184&amp;Pep=DQPGTSAVPNLASVGTRLPPPLPQNLLYTVSER&amp;Dta=/var/www/html/dta/yong/23616.27706.3.dta&amp;Global_Mod=CS57.0215", "27706")</f>
        <v>27706</v>
      </c>
      <c r="M588" s="7"/>
      <c r="N588" s="10">
        <v>123.99</v>
      </c>
      <c r="O588" s="10"/>
      <c r="P588" s="10">
        <v>3.4830000000000001</v>
      </c>
      <c r="Q588" s="10"/>
      <c r="R588" s="10">
        <v>2.3733</v>
      </c>
      <c r="S588" s="10"/>
      <c r="T588" s="10">
        <v>0.29220000000000002</v>
      </c>
      <c r="U588" s="10"/>
      <c r="V588" s="7">
        <v>1</v>
      </c>
      <c r="W588" s="7"/>
      <c r="X588" s="10">
        <v>2.17</v>
      </c>
      <c r="Y588" s="10"/>
      <c r="Z588" s="11">
        <v>1000</v>
      </c>
      <c r="AA588" s="11"/>
      <c r="AB588" s="7" t="s">
        <v>13</v>
      </c>
    </row>
    <row r="589" spans="1:28" s="12" customFormat="1">
      <c r="A589" s="3" t="s">
        <v>580</v>
      </c>
      <c r="B589" s="3" t="s">
        <v>684</v>
      </c>
      <c r="C589" s="3" t="s">
        <v>685</v>
      </c>
      <c r="D589" s="4">
        <v>411</v>
      </c>
      <c r="E589" s="3" t="s">
        <v>686</v>
      </c>
      <c r="F589" s="7" t="s">
        <v>1406</v>
      </c>
      <c r="G589" s="4">
        <v>129.9</v>
      </c>
      <c r="H589" s="3" t="s">
        <v>704</v>
      </c>
      <c r="I589" s="3" t="s">
        <v>705</v>
      </c>
      <c r="J589" s="4">
        <v>3</v>
      </c>
      <c r="K589" s="4">
        <v>727.4316</v>
      </c>
      <c r="L589" s="4" t="str">
        <f>HYPERLINK("http://ms.phosphosite.org:5080/cgi-bin/plot-msms.cgi?MassType=1&amp;NumAxis=1&amp;Mod19=184&amp;Pep=GTVVTPVQVPLLPVPSQPRPA&amp;Dta=/var/www/html/dta/yong/23616.22741.3.dta&amp;Global_Mod=CS57.0215", "22741")</f>
        <v>22741</v>
      </c>
      <c r="M589" s="4" t="str">
        <f>HYPERLINK("http://ms.phosphosite.org:5080/cgi-bin/plot-msms.cgi?MassType=1&amp;NumAxis=1&amp;Mod19=184&amp;Pep=GTVVTPVQVPLLPVPSQPRPA&amp;Dta=/var/www/html/dta/yong/23617.22819.3.dta&amp;Global_Mod=CS57.0215", "22819")</f>
        <v>22819</v>
      </c>
      <c r="N589" s="5">
        <v>103.07</v>
      </c>
      <c r="O589" s="5">
        <v>102.74</v>
      </c>
      <c r="P589" s="5">
        <v>3.9830000000000001</v>
      </c>
      <c r="Q589" s="5">
        <v>3.3380000000000001</v>
      </c>
      <c r="R589" s="5">
        <v>1.0163</v>
      </c>
      <c r="S589" s="5">
        <v>0.94420000000000004</v>
      </c>
      <c r="T589" s="5">
        <v>0.40689999999999998</v>
      </c>
      <c r="U589" s="5">
        <v>0.2445</v>
      </c>
      <c r="V589" s="4">
        <v>1</v>
      </c>
      <c r="W589" s="4">
        <v>1</v>
      </c>
      <c r="X589" s="5">
        <v>4.47</v>
      </c>
      <c r="Y589" s="5">
        <v>3.28</v>
      </c>
      <c r="Z589" s="6">
        <v>1000</v>
      </c>
      <c r="AA589" s="6">
        <v>1000</v>
      </c>
      <c r="AB589" s="4" t="s">
        <v>13</v>
      </c>
    </row>
    <row r="590" spans="1:28" s="12" customFormat="1">
      <c r="A590" s="3" t="s">
        <v>580</v>
      </c>
      <c r="B590" s="3" t="s">
        <v>684</v>
      </c>
      <c r="C590" s="3" t="s">
        <v>685</v>
      </c>
      <c r="D590" s="4">
        <v>411</v>
      </c>
      <c r="E590" s="3" t="s">
        <v>686</v>
      </c>
      <c r="F590" s="7" t="s">
        <v>1406</v>
      </c>
      <c r="G590" s="4">
        <v>129.9</v>
      </c>
      <c r="H590" s="3" t="s">
        <v>704</v>
      </c>
      <c r="I590" s="3" t="s">
        <v>705</v>
      </c>
      <c r="J590" s="4">
        <v>2</v>
      </c>
      <c r="K590" s="4">
        <v>1090.6437000000001</v>
      </c>
      <c r="L590" s="4" t="str">
        <f>HYPERLINK("http://ms.phosphosite.org:5080/cgi-bin/plot-msms.cgi?MassType=1&amp;NumAxis=1&amp;Mod19=184&amp;Pep=GTVVTPVQVPLLPVPSQPRPA&amp;Dta=/var/www/html/dta/yong/23616.22777.2.dta&amp;Global_Mod=CS57.0215", "22777")</f>
        <v>22777</v>
      </c>
      <c r="M590" s="4"/>
      <c r="N590" s="5">
        <v>103.21</v>
      </c>
      <c r="O590" s="5"/>
      <c r="P590" s="5">
        <v>4.2050000000000001</v>
      </c>
      <c r="Q590" s="5"/>
      <c r="R590" s="5">
        <v>1.4964999999999999</v>
      </c>
      <c r="S590" s="5"/>
      <c r="T590" s="5">
        <v>0.31950000000000001</v>
      </c>
      <c r="U590" s="5"/>
      <c r="V590" s="4">
        <v>1</v>
      </c>
      <c r="W590" s="4"/>
      <c r="X590" s="5">
        <v>4</v>
      </c>
      <c r="Y590" s="5"/>
      <c r="Z590" s="6">
        <v>1000</v>
      </c>
      <c r="AA590" s="6"/>
      <c r="AB590" s="4" t="s">
        <v>13</v>
      </c>
    </row>
    <row r="591" spans="1:28" s="12" customFormat="1">
      <c r="A591" s="3" t="s">
        <v>580</v>
      </c>
      <c r="B591" s="3" t="s">
        <v>684</v>
      </c>
      <c r="C591" s="3" t="s">
        <v>685</v>
      </c>
      <c r="D591" s="4">
        <v>411</v>
      </c>
      <c r="E591" s="3" t="s">
        <v>686</v>
      </c>
      <c r="F591" s="7" t="s">
        <v>1406</v>
      </c>
      <c r="G591" s="4">
        <v>129.9</v>
      </c>
      <c r="H591" s="3" t="s">
        <v>704</v>
      </c>
      <c r="I591" s="3" t="s">
        <v>705</v>
      </c>
      <c r="J591" s="4">
        <v>2</v>
      </c>
      <c r="K591" s="4">
        <v>1090.6437000000001</v>
      </c>
      <c r="L591" s="4" t="str">
        <f>HYPERLINK("http://ms.phosphosite.org:5080/cgi-bin/plot-msms.cgi?MassType=1&amp;NumAxis=1&amp;Mod19=184&amp;Pep=GTVVTPVQVPLLPVPSQPRPA&amp;Dta=/var/www/html/dta/yong/23616.22850.2.dta&amp;Global_Mod=CS57.0215", "22850")</f>
        <v>22850</v>
      </c>
      <c r="M591" s="4" t="str">
        <f>HYPERLINK("http://ms.phosphosite.org:5080/cgi-bin/plot-msms.cgi?MassType=1&amp;NumAxis=1&amp;Mod19=184&amp;Pep=GTVVTPVQVPLLPVPSQPRPA&amp;Dta=/var/www/html/dta/yong/23617.22856.2.dta&amp;Global_Mod=CS57.0215", "22856")</f>
        <v>22856</v>
      </c>
      <c r="N591" s="5">
        <v>103.51</v>
      </c>
      <c r="O591" s="5">
        <v>102.88</v>
      </c>
      <c r="P591" s="5">
        <v>3.4820000000000002</v>
      </c>
      <c r="Q591" s="5">
        <v>4.5149999999999997</v>
      </c>
      <c r="R591" s="5">
        <v>1.4931000000000001</v>
      </c>
      <c r="S591" s="5">
        <v>0.84019999999999995</v>
      </c>
      <c r="T591" s="5">
        <v>0.30599999999999999</v>
      </c>
      <c r="U591" s="5">
        <v>0.3337</v>
      </c>
      <c r="V591" s="4">
        <v>1</v>
      </c>
      <c r="W591" s="4">
        <v>1</v>
      </c>
      <c r="X591" s="5">
        <v>3.71</v>
      </c>
      <c r="Y591" s="5">
        <v>4.1399999999999997</v>
      </c>
      <c r="Z591" s="6">
        <v>1000</v>
      </c>
      <c r="AA591" s="6">
        <v>1000</v>
      </c>
      <c r="AB591" s="4" t="s">
        <v>13</v>
      </c>
    </row>
    <row r="592" spans="1:28" s="12" customFormat="1">
      <c r="A592" s="3" t="s">
        <v>580</v>
      </c>
      <c r="B592" s="3" t="s">
        <v>684</v>
      </c>
      <c r="C592" s="3" t="s">
        <v>685</v>
      </c>
      <c r="D592" s="4">
        <v>411</v>
      </c>
      <c r="E592" s="3" t="s">
        <v>686</v>
      </c>
      <c r="F592" s="7" t="s">
        <v>1406</v>
      </c>
      <c r="G592" s="4">
        <v>129.9</v>
      </c>
      <c r="H592" s="3" t="s">
        <v>704</v>
      </c>
      <c r="I592" s="3" t="s">
        <v>706</v>
      </c>
      <c r="J592" s="4">
        <v>3</v>
      </c>
      <c r="K592" s="4">
        <v>854.49860000000001</v>
      </c>
      <c r="L592" s="4" t="str">
        <f>HYPERLINK("http://ms.phosphosite.org:5080/cgi-bin/plot-msms.cgi?MassType=1&amp;NumAxis=1&amp;Mod19=184&amp;Pep=GTVVTPVQVPLLPVPSQPRPAVGPQ&amp;Dta=/var/www/html/dta/yong/23616.23212.3.dta&amp;Global_Mod=CS57.0215", "23212")</f>
        <v>23212</v>
      </c>
      <c r="M592" s="4" t="str">
        <f>HYPERLINK("http://ms.phosphosite.org:5080/cgi-bin/plot-msms.cgi?MassType=1&amp;NumAxis=1&amp;Mod19=184&amp;Pep=GTVVTPVQVPLLPVPSQPRPAVGPQ&amp;Dta=/var/www/html/dta/yong/23617.23342.3.dta&amp;Global_Mod=CS57.0215", "23342")</f>
        <v>23342</v>
      </c>
      <c r="N592" s="5">
        <v>104.97</v>
      </c>
      <c r="O592" s="5">
        <v>104.89</v>
      </c>
      <c r="P592" s="5">
        <v>3.31</v>
      </c>
      <c r="Q592" s="5">
        <v>3.669</v>
      </c>
      <c r="R592" s="5">
        <v>0.93910000000000005</v>
      </c>
      <c r="S592" s="5">
        <v>0.62209999999999999</v>
      </c>
      <c r="T592" s="5">
        <v>0.30709999999999998</v>
      </c>
      <c r="U592" s="5">
        <v>0.40329999999999999</v>
      </c>
      <c r="V592" s="4">
        <v>8</v>
      </c>
      <c r="W592" s="4">
        <v>4</v>
      </c>
      <c r="X592" s="5">
        <v>3.67</v>
      </c>
      <c r="Y592" s="5">
        <v>4.25</v>
      </c>
      <c r="Z592" s="6">
        <v>1000</v>
      </c>
      <c r="AA592" s="6">
        <v>1000</v>
      </c>
      <c r="AB592" s="4" t="s">
        <v>13</v>
      </c>
    </row>
    <row r="593" spans="1:28" s="12" customFormat="1">
      <c r="A593" s="3" t="s">
        <v>580</v>
      </c>
      <c r="B593" s="3" t="s">
        <v>684</v>
      </c>
      <c r="C593" s="3" t="s">
        <v>685</v>
      </c>
      <c r="D593" s="4">
        <v>450</v>
      </c>
      <c r="E593" s="3" t="s">
        <v>686</v>
      </c>
      <c r="F593" s="7" t="s">
        <v>1406</v>
      </c>
      <c r="G593" s="4">
        <v>129.9</v>
      </c>
      <c r="H593" s="3" t="s">
        <v>720</v>
      </c>
      <c r="I593" s="3" t="s">
        <v>721</v>
      </c>
      <c r="J593" s="4">
        <v>2</v>
      </c>
      <c r="K593" s="4">
        <v>531.2962</v>
      </c>
      <c r="L593" s="4" t="str">
        <f>HYPERLINK("http://ms.phosphosite.org:5080/cgi-bin/plot-msms.cgi?MassType=1&amp;NumAxis=1&amp;Mod1=184&amp;Pep=RAPPPPQDR&amp;Dta=/var/www/html/dta/yong/23616.1221.2.dta&amp;Global_Mod=CS57.0215", "1221")</f>
        <v>1221</v>
      </c>
      <c r="M593" s="4"/>
      <c r="N593" s="5">
        <v>11.97</v>
      </c>
      <c r="O593" s="5"/>
      <c r="P593" s="5">
        <v>2.4319999999999999</v>
      </c>
      <c r="Q593" s="5"/>
      <c r="R593" s="5">
        <v>1.0925</v>
      </c>
      <c r="S593" s="5"/>
      <c r="T593" s="5">
        <v>1.77E-2</v>
      </c>
      <c r="U593" s="5"/>
      <c r="V593" s="4">
        <v>1</v>
      </c>
      <c r="W593" s="4"/>
      <c r="X593" s="5">
        <v>1.73</v>
      </c>
      <c r="Y593" s="5"/>
      <c r="Z593" s="6">
        <v>1000</v>
      </c>
      <c r="AA593" s="6"/>
      <c r="AB593" s="4" t="s">
        <v>13</v>
      </c>
    </row>
    <row r="594" spans="1:28" s="12" customFormat="1">
      <c r="A594" s="9" t="s">
        <v>580</v>
      </c>
      <c r="B594" s="9" t="s">
        <v>684</v>
      </c>
      <c r="C594" s="9" t="s">
        <v>685</v>
      </c>
      <c r="D594" s="7">
        <v>470</v>
      </c>
      <c r="E594" s="9" t="s">
        <v>686</v>
      </c>
      <c r="F594" s="7" t="s">
        <v>1406</v>
      </c>
      <c r="G594" s="7">
        <v>129.9</v>
      </c>
      <c r="H594" s="9" t="s">
        <v>690</v>
      </c>
      <c r="I594" s="9" t="s">
        <v>700</v>
      </c>
      <c r="J594" s="7">
        <v>4</v>
      </c>
      <c r="K594" s="7">
        <v>561.80359999999996</v>
      </c>
      <c r="L594" s="7" t="str">
        <f>HYPERLINK("http://ms.phosphosite.org:5080/cgi-bin/plot-msms.cgi?MassType=1&amp;NumAxis=1&amp;Mod9=184&amp;Pep=FLGVSGEPRFPSHLFLEQR&amp;Dta=/var/www/html/dta/yong/23616.20462.4.dta&amp;Global_Mod=CS57.0215", "20462")</f>
        <v>20462</v>
      </c>
      <c r="M594" s="7" t="str">
        <f>HYPERLINK("http://ms.phosphosite.org:5080/cgi-bin/plot-msms.cgi?MassType=1&amp;NumAxis=1&amp;Mod9=184&amp;Pep=FLGVSGEPRFPSHLFLEQR&amp;Dta=/var/www/html/dta/yong/23617.20776.4.dta&amp;Global_Mod=CS57.0215", "20776")</f>
        <v>20776</v>
      </c>
      <c r="N594" s="10">
        <v>93.78</v>
      </c>
      <c r="O594" s="10">
        <v>94.42</v>
      </c>
      <c r="P594" s="10">
        <v>2.4289999999999998</v>
      </c>
      <c r="Q594" s="10">
        <v>1.734</v>
      </c>
      <c r="R594" s="10">
        <v>0.5242</v>
      </c>
      <c r="S594" s="10">
        <v>0.56779999999999997</v>
      </c>
      <c r="T594" s="10">
        <v>7.0599999999999996E-2</v>
      </c>
      <c r="U594" s="10">
        <v>4.65E-2</v>
      </c>
      <c r="V594" s="7">
        <v>11</v>
      </c>
      <c r="W594" s="7">
        <v>25</v>
      </c>
      <c r="X594" s="10">
        <v>1.99</v>
      </c>
      <c r="Y594" s="10">
        <v>1.54</v>
      </c>
      <c r="Z594" s="11">
        <v>1000</v>
      </c>
      <c r="AA594" s="11">
        <v>1000</v>
      </c>
      <c r="AB594" s="7" t="s">
        <v>13</v>
      </c>
    </row>
    <row r="595" spans="1:28" s="12" customFormat="1">
      <c r="A595" s="9" t="s">
        <v>580</v>
      </c>
      <c r="B595" s="9" t="s">
        <v>684</v>
      </c>
      <c r="C595" s="9" t="s">
        <v>685</v>
      </c>
      <c r="D595" s="7">
        <v>470</v>
      </c>
      <c r="E595" s="9" t="s">
        <v>686</v>
      </c>
      <c r="F595" s="7" t="s">
        <v>1406</v>
      </c>
      <c r="G595" s="7">
        <v>129.9</v>
      </c>
      <c r="H595" s="9" t="s">
        <v>690</v>
      </c>
      <c r="I595" s="9" t="s">
        <v>700</v>
      </c>
      <c r="J595" s="7">
        <v>3</v>
      </c>
      <c r="K595" s="7">
        <v>748.73569999999995</v>
      </c>
      <c r="L595" s="7" t="str">
        <f>HYPERLINK("http://ms.phosphosite.org:5080/cgi-bin/plot-msms.cgi?MassType=1&amp;NumAxis=1&amp;Mod9=184&amp;Pep=FLGVSGEPRFPSHLFLEQR&amp;Dta=/var/www/html/dta/yong/23616.20487.3.dta&amp;Global_Mod=CS57.0215", "20487")</f>
        <v>20487</v>
      </c>
      <c r="M595" s="7"/>
      <c r="N595" s="10">
        <v>93.88</v>
      </c>
      <c r="O595" s="10"/>
      <c r="P595" s="10">
        <v>3.0910000000000002</v>
      </c>
      <c r="Q595" s="10"/>
      <c r="R595" s="10">
        <v>1.1103000000000001</v>
      </c>
      <c r="S595" s="10"/>
      <c r="T595" s="10">
        <v>0.27810000000000001</v>
      </c>
      <c r="U595" s="10"/>
      <c r="V595" s="7">
        <v>1</v>
      </c>
      <c r="W595" s="7"/>
      <c r="X595" s="10">
        <v>3.32</v>
      </c>
      <c r="Y595" s="10"/>
      <c r="Z595" s="11">
        <v>1000</v>
      </c>
      <c r="AA595" s="11"/>
      <c r="AB595" s="7" t="s">
        <v>13</v>
      </c>
    </row>
    <row r="596" spans="1:28" s="12" customFormat="1">
      <c r="A596" s="9" t="s">
        <v>580</v>
      </c>
      <c r="B596" s="9" t="s">
        <v>684</v>
      </c>
      <c r="C596" s="9" t="s">
        <v>685</v>
      </c>
      <c r="D596" s="7">
        <v>470</v>
      </c>
      <c r="E596" s="9" t="s">
        <v>686</v>
      </c>
      <c r="F596" s="7" t="s">
        <v>1406</v>
      </c>
      <c r="G596" s="7">
        <v>129.9</v>
      </c>
      <c r="H596" s="9" t="s">
        <v>690</v>
      </c>
      <c r="I596" s="9" t="s">
        <v>700</v>
      </c>
      <c r="J596" s="7">
        <v>3</v>
      </c>
      <c r="K596" s="7">
        <v>748.73569999999995</v>
      </c>
      <c r="L596" s="7" t="str">
        <f>HYPERLINK("http://ms.phosphosite.org:5080/cgi-bin/plot-msms.cgi?MassType=1&amp;NumAxis=1&amp;Mod9=184&amp;Pep=FLGVSGEPRFPSHLFLEQR&amp;Dta=/var/www/html/dta/yong/23616.20503.3.dta&amp;Global_Mod=CS57.0215", "20503")</f>
        <v>20503</v>
      </c>
      <c r="M596" s="7"/>
      <c r="N596" s="10">
        <v>93.95</v>
      </c>
      <c r="O596" s="10"/>
      <c r="P596" s="10">
        <v>2.6379999999999999</v>
      </c>
      <c r="Q596" s="10"/>
      <c r="R596" s="10">
        <v>1.1014999999999999</v>
      </c>
      <c r="S596" s="10"/>
      <c r="T596" s="10">
        <v>0.183</v>
      </c>
      <c r="U596" s="10"/>
      <c r="V596" s="7">
        <v>1</v>
      </c>
      <c r="W596" s="7"/>
      <c r="X596" s="10">
        <v>2.65</v>
      </c>
      <c r="Y596" s="10"/>
      <c r="Z596" s="11">
        <v>1000</v>
      </c>
      <c r="AA596" s="11"/>
      <c r="AB596" s="7" t="s">
        <v>13</v>
      </c>
    </row>
    <row r="597" spans="1:28" s="12" customFormat="1">
      <c r="A597" s="9" t="s">
        <v>580</v>
      </c>
      <c r="B597" s="9" t="s">
        <v>684</v>
      </c>
      <c r="C597" s="9" t="s">
        <v>685</v>
      </c>
      <c r="D597" s="7">
        <v>470</v>
      </c>
      <c r="E597" s="9" t="s">
        <v>686</v>
      </c>
      <c r="F597" s="7" t="s">
        <v>1406</v>
      </c>
      <c r="G597" s="7">
        <v>129.9</v>
      </c>
      <c r="H597" s="9" t="s">
        <v>690</v>
      </c>
      <c r="I597" s="9" t="s">
        <v>700</v>
      </c>
      <c r="J597" s="7">
        <v>3</v>
      </c>
      <c r="K597" s="7">
        <v>748.73569999999995</v>
      </c>
      <c r="L597" s="7" t="str">
        <f>HYPERLINK("http://ms.phosphosite.org:5080/cgi-bin/plot-msms.cgi?MassType=1&amp;NumAxis=1&amp;Mod9=184&amp;Pep=FLGVSGEPRFPSHLFLEQR&amp;Dta=/var/www/html/dta/yong/23616.20699.3.dta&amp;Global_Mod=CS57.0215", "20699")</f>
        <v>20699</v>
      </c>
      <c r="M597" s="7"/>
      <c r="N597" s="10">
        <v>94.78</v>
      </c>
      <c r="O597" s="10"/>
      <c r="P597" s="10">
        <v>2.4220000000000002</v>
      </c>
      <c r="Q597" s="10"/>
      <c r="R597" s="10">
        <v>1.0123</v>
      </c>
      <c r="S597" s="10"/>
      <c r="T597" s="10">
        <v>8.6199999999999999E-2</v>
      </c>
      <c r="U597" s="10"/>
      <c r="V597" s="7">
        <v>13</v>
      </c>
      <c r="W597" s="7"/>
      <c r="X597" s="10">
        <v>2.04</v>
      </c>
      <c r="Y597" s="10"/>
      <c r="Z597" s="11">
        <v>1000</v>
      </c>
      <c r="AA597" s="11"/>
      <c r="AB597" s="7" t="s">
        <v>13</v>
      </c>
    </row>
    <row r="598" spans="1:28" s="12" customFormat="1">
      <c r="A598" s="9" t="s">
        <v>580</v>
      </c>
      <c r="B598" s="9" t="s">
        <v>684</v>
      </c>
      <c r="C598" s="9" t="s">
        <v>685</v>
      </c>
      <c r="D598" s="7">
        <v>470</v>
      </c>
      <c r="E598" s="9" t="s">
        <v>686</v>
      </c>
      <c r="F598" s="7" t="s">
        <v>1406</v>
      </c>
      <c r="G598" s="7">
        <v>129.9</v>
      </c>
      <c r="H598" s="9" t="s">
        <v>690</v>
      </c>
      <c r="I598" s="9" t="s">
        <v>692</v>
      </c>
      <c r="J598" s="7">
        <v>3</v>
      </c>
      <c r="K598" s="7">
        <v>606.30539999999996</v>
      </c>
      <c r="L598" s="7" t="str">
        <f>HYPERLINK("http://ms.phosphosite.org:5080/cgi-bin/plot-msms.cgi?MassType=1&amp;NumAxis=1&amp;Mod12=184&amp;Pep=DPFFLGVSGEPRFPSH&amp;Dta=/var/www/html/dta/yong/23616.21018.3.dta&amp;Global_Mod=CS57.0215", "21018")</f>
        <v>21018</v>
      </c>
      <c r="M598" s="7"/>
      <c r="N598" s="10">
        <v>96.15</v>
      </c>
      <c r="O598" s="10"/>
      <c r="P598" s="10">
        <v>3.448</v>
      </c>
      <c r="Q598" s="10"/>
      <c r="R598" s="10">
        <v>0.97089999999999999</v>
      </c>
      <c r="S598" s="10"/>
      <c r="T598" s="10">
        <v>0.3483</v>
      </c>
      <c r="U598" s="10"/>
      <c r="V598" s="7">
        <v>1</v>
      </c>
      <c r="W598" s="7"/>
      <c r="X598" s="10">
        <v>3.85</v>
      </c>
      <c r="Y598" s="10"/>
      <c r="Z598" s="11">
        <v>1000</v>
      </c>
      <c r="AA598" s="11"/>
      <c r="AB598" s="7" t="s">
        <v>13</v>
      </c>
    </row>
    <row r="599" spans="1:28" s="12" customFormat="1">
      <c r="A599" s="9" t="s">
        <v>580</v>
      </c>
      <c r="B599" s="9" t="s">
        <v>684</v>
      </c>
      <c r="C599" s="9" t="s">
        <v>685</v>
      </c>
      <c r="D599" s="7">
        <v>470</v>
      </c>
      <c r="E599" s="9" t="s">
        <v>686</v>
      </c>
      <c r="F599" s="7" t="s">
        <v>1406</v>
      </c>
      <c r="G599" s="7">
        <v>129.9</v>
      </c>
      <c r="H599" s="9" t="s">
        <v>690</v>
      </c>
      <c r="I599" s="9" t="s">
        <v>692</v>
      </c>
      <c r="J599" s="7">
        <v>3</v>
      </c>
      <c r="K599" s="7">
        <v>606.30539999999996</v>
      </c>
      <c r="L599" s="7" t="str">
        <f>HYPERLINK("http://ms.phosphosite.org:5080/cgi-bin/plot-msms.cgi?MassType=1&amp;NumAxis=1&amp;Mod12=184&amp;Pep=DPFFLGVSGEPRFPSH&amp;Dta=/var/www/html/dta/yong/23616.21078.3.dta&amp;Global_Mod=CS57.0215", "21078")</f>
        <v>21078</v>
      </c>
      <c r="M599" s="7" t="str">
        <f>HYPERLINK("http://ms.phosphosite.org:5080/cgi-bin/plot-msms.cgi?MassType=1&amp;NumAxis=1&amp;Mod12=184&amp;Pep=DPFFLGVSGEPRFPSH&amp;Dta=/var/www/html/dta/yong/23617.21190.3.dta&amp;Global_Mod=CS57.0215", "21190")</f>
        <v>21190</v>
      </c>
      <c r="N599" s="10">
        <v>96.39</v>
      </c>
      <c r="O599" s="10">
        <v>96.17</v>
      </c>
      <c r="P599" s="10">
        <v>2.6970000000000001</v>
      </c>
      <c r="Q599" s="10">
        <v>3.3239999999999998</v>
      </c>
      <c r="R599" s="10">
        <v>0.93910000000000005</v>
      </c>
      <c r="S599" s="10">
        <v>0.80230000000000001</v>
      </c>
      <c r="T599" s="10">
        <v>0.2036</v>
      </c>
      <c r="U599" s="10">
        <v>0.37540000000000001</v>
      </c>
      <c r="V599" s="7">
        <v>2</v>
      </c>
      <c r="W599" s="7">
        <v>1</v>
      </c>
      <c r="X599" s="10">
        <v>2.82</v>
      </c>
      <c r="Y599" s="10">
        <v>3.9</v>
      </c>
      <c r="Z599" s="11">
        <v>1000</v>
      </c>
      <c r="AA599" s="11">
        <v>1000</v>
      </c>
      <c r="AB599" s="7" t="s">
        <v>13</v>
      </c>
    </row>
    <row r="600" spans="1:28" s="12" customFormat="1">
      <c r="A600" s="9" t="s">
        <v>580</v>
      </c>
      <c r="B600" s="9" t="s">
        <v>684</v>
      </c>
      <c r="C600" s="9" t="s">
        <v>685</v>
      </c>
      <c r="D600" s="7">
        <v>470</v>
      </c>
      <c r="E600" s="9" t="s">
        <v>686</v>
      </c>
      <c r="F600" s="7" t="s">
        <v>1406</v>
      </c>
      <c r="G600" s="7">
        <v>129.9</v>
      </c>
      <c r="H600" s="9" t="s">
        <v>690</v>
      </c>
      <c r="I600" s="9" t="s">
        <v>703</v>
      </c>
      <c r="J600" s="7">
        <v>4</v>
      </c>
      <c r="K600" s="7">
        <v>622.83389999999997</v>
      </c>
      <c r="L600" s="7" t="str">
        <f>HYPERLINK("http://ms.phosphosite.org:5080/cgi-bin/plot-msms.cgi?MassType=1&amp;NumAxis=1&amp;Mod11=184&amp;Pep=PFFLGVSGEPRFPSHLFLEQR&amp;Dta=/var/www/html/dta/yong/23616.24195.4.dta&amp;Global_Mod=CS57.0215", "24195")</f>
        <v>24195</v>
      </c>
      <c r="M600" s="7" t="str">
        <f>HYPERLINK("http://ms.phosphosite.org:5080/cgi-bin/plot-msms.cgi?MassType=1&amp;NumAxis=1&amp;Mod11=184&amp;Pep=PFFLGVSGEPRFPSHLFLEQR&amp;Dta=/var/www/html/dta/yong/23617.24345.4.dta&amp;Global_Mod=CS57.0215", "24345")</f>
        <v>24345</v>
      </c>
      <c r="N600" s="10">
        <v>108.93</v>
      </c>
      <c r="O600" s="10">
        <v>108.98</v>
      </c>
      <c r="P600" s="10">
        <v>3.8410000000000002</v>
      </c>
      <c r="Q600" s="10">
        <v>3.7709999999999999</v>
      </c>
      <c r="R600" s="10">
        <v>1.2279</v>
      </c>
      <c r="S600" s="10">
        <v>0.40870000000000001</v>
      </c>
      <c r="T600" s="10">
        <v>0.3105</v>
      </c>
      <c r="U600" s="10">
        <v>0.27479999999999999</v>
      </c>
      <c r="V600" s="7">
        <v>1</v>
      </c>
      <c r="W600" s="7">
        <v>1</v>
      </c>
      <c r="X600" s="10">
        <v>3.71</v>
      </c>
      <c r="Y600" s="10">
        <v>3.44</v>
      </c>
      <c r="Z600" s="11">
        <v>1000</v>
      </c>
      <c r="AA600" s="11">
        <v>1000</v>
      </c>
      <c r="AB600" s="7" t="s">
        <v>13</v>
      </c>
    </row>
    <row r="601" spans="1:28" s="12" customFormat="1">
      <c r="A601" s="9" t="s">
        <v>580</v>
      </c>
      <c r="B601" s="9" t="s">
        <v>684</v>
      </c>
      <c r="C601" s="9" t="s">
        <v>685</v>
      </c>
      <c r="D601" s="7">
        <v>470</v>
      </c>
      <c r="E601" s="9" t="s">
        <v>686</v>
      </c>
      <c r="F601" s="7" t="s">
        <v>1406</v>
      </c>
      <c r="G601" s="7">
        <v>129.9</v>
      </c>
      <c r="H601" s="9" t="s">
        <v>690</v>
      </c>
      <c r="I601" s="9" t="s">
        <v>693</v>
      </c>
      <c r="J601" s="7">
        <v>3</v>
      </c>
      <c r="K601" s="7">
        <v>644.00009999999997</v>
      </c>
      <c r="L601" s="7" t="str">
        <f>HYPERLINK("http://ms.phosphosite.org:5080/cgi-bin/plot-msms.cgi?MassType=1&amp;NumAxis=1&amp;Mod12=184&amp;Pep=DPFFLGVSGEPRFPSHL&amp;Dta=/var/www/html/dta/yong/23616.24488.3.dta&amp;Global_Mod=CS57.0215", "24488")</f>
        <v>24488</v>
      </c>
      <c r="M601" s="7" t="str">
        <f>HYPERLINK("http://ms.phosphosite.org:5080/cgi-bin/plot-msms.cgi?MassType=1&amp;NumAxis=1&amp;Mod12=184&amp;Pep=DPFFLGVSGEPRFPSHL&amp;Dta=/var/www/html/dta/yong/23617.24745.3.dta&amp;Global_Mod=CS57.0215", "24745")</f>
        <v>24745</v>
      </c>
      <c r="N601" s="10">
        <v>110.11</v>
      </c>
      <c r="O601" s="10">
        <v>110.59</v>
      </c>
      <c r="P601" s="10">
        <v>3.738</v>
      </c>
      <c r="Q601" s="10">
        <v>3.8940000000000001</v>
      </c>
      <c r="R601" s="10">
        <v>0.76200000000000001</v>
      </c>
      <c r="S601" s="10">
        <v>0.46260000000000001</v>
      </c>
      <c r="T601" s="10">
        <v>0.433</v>
      </c>
      <c r="U601" s="10">
        <v>0.44359999999999999</v>
      </c>
      <c r="V601" s="7">
        <v>1</v>
      </c>
      <c r="W601" s="7">
        <v>1</v>
      </c>
      <c r="X601" s="10">
        <v>4.42</v>
      </c>
      <c r="Y601" s="10">
        <v>4.46</v>
      </c>
      <c r="Z601" s="11">
        <v>1000</v>
      </c>
      <c r="AA601" s="11">
        <v>1000</v>
      </c>
      <c r="AB601" s="7" t="s">
        <v>13</v>
      </c>
    </row>
    <row r="602" spans="1:28" s="12" customFormat="1">
      <c r="A602" s="9" t="s">
        <v>580</v>
      </c>
      <c r="B602" s="9" t="s">
        <v>684</v>
      </c>
      <c r="C602" s="9" t="s">
        <v>685</v>
      </c>
      <c r="D602" s="7">
        <v>470</v>
      </c>
      <c r="E602" s="9" t="s">
        <v>686</v>
      </c>
      <c r="F602" s="7" t="s">
        <v>1406</v>
      </c>
      <c r="G602" s="7">
        <v>129.9</v>
      </c>
      <c r="H602" s="9" t="s">
        <v>690</v>
      </c>
      <c r="I602" s="9" t="s">
        <v>693</v>
      </c>
      <c r="J602" s="7">
        <v>3</v>
      </c>
      <c r="K602" s="7">
        <v>644.00009999999997</v>
      </c>
      <c r="L602" s="7" t="str">
        <f>HYPERLINK("http://ms.phosphosite.org:5080/cgi-bin/plot-msms.cgi?MassType=1&amp;NumAxis=1&amp;Mod12=184&amp;Pep=DPFFLGVSGEPRFPSHL&amp;Dta=/var/www/html/dta/yong/23616.24522.3.dta&amp;Global_Mod=CS57.0215", "24522")</f>
        <v>24522</v>
      </c>
      <c r="M602" s="7" t="str">
        <f>HYPERLINK("http://ms.phosphosite.org:5080/cgi-bin/plot-msms.cgi?MassType=1&amp;NumAxis=1&amp;Mod12=184&amp;Pep=DPFFLGVSGEPRFPSHL&amp;Dta=/var/www/html/dta/yong/23617.24639.3.dta&amp;Global_Mod=CS57.0215", "24639")</f>
        <v>24639</v>
      </c>
      <c r="N602" s="10">
        <v>110.26</v>
      </c>
      <c r="O602" s="10">
        <v>110.19</v>
      </c>
      <c r="P602" s="10">
        <v>4.4619999999999997</v>
      </c>
      <c r="Q602" s="10">
        <v>3.8809999999999998</v>
      </c>
      <c r="R602" s="10">
        <v>0.90639999999999998</v>
      </c>
      <c r="S602" s="10">
        <v>0.53969999999999996</v>
      </c>
      <c r="T602" s="10">
        <v>0.44629999999999997</v>
      </c>
      <c r="U602" s="10">
        <v>0.45300000000000001</v>
      </c>
      <c r="V602" s="7">
        <v>1</v>
      </c>
      <c r="W602" s="7">
        <v>1</v>
      </c>
      <c r="X602" s="10">
        <v>4.7</v>
      </c>
      <c r="Y602" s="10">
        <v>4.51</v>
      </c>
      <c r="Z602" s="11">
        <v>1000</v>
      </c>
      <c r="AA602" s="11">
        <v>1000</v>
      </c>
      <c r="AB602" s="7" t="s">
        <v>13</v>
      </c>
    </row>
    <row r="603" spans="1:28" s="12" customFormat="1">
      <c r="A603" s="9" t="s">
        <v>580</v>
      </c>
      <c r="B603" s="9" t="s">
        <v>684</v>
      </c>
      <c r="C603" s="9" t="s">
        <v>685</v>
      </c>
      <c r="D603" s="7">
        <v>470</v>
      </c>
      <c r="E603" s="9" t="s">
        <v>686</v>
      </c>
      <c r="F603" s="7" t="s">
        <v>1406</v>
      </c>
      <c r="G603" s="7">
        <v>129.9</v>
      </c>
      <c r="H603" s="9" t="s">
        <v>690</v>
      </c>
      <c r="I603" s="9" t="s">
        <v>691</v>
      </c>
      <c r="J603" s="7">
        <v>2</v>
      </c>
      <c r="K603" s="7">
        <v>840.42499999999995</v>
      </c>
      <c r="L603" s="7" t="str">
        <f>HYPERLINK("http://ms.phosphosite.org:5080/cgi-bin/plot-msms.cgi?MassType=1&amp;NumAxis=1&amp;Mod12=184&amp;Pep=DPFFLGVSGEPRFPS&amp;Dta=/var/www/html/dta/yong/23616.24908.2.dta&amp;Global_Mod=CS57.0215", "24908")</f>
        <v>24908</v>
      </c>
      <c r="M603" s="7" t="str">
        <f>HYPERLINK("http://ms.phosphosite.org:5080/cgi-bin/plot-msms.cgi?MassType=1&amp;NumAxis=1&amp;Mod12=184&amp;Pep=DPFFLGVSGEPRFPS&amp;Dta=/var/www/html/dta/yong/23617.25076.2.dta&amp;Global_Mod=CS57.0215", "25076")</f>
        <v>25076</v>
      </c>
      <c r="N603" s="10">
        <v>111.79</v>
      </c>
      <c r="O603" s="10">
        <v>111.89</v>
      </c>
      <c r="P603" s="10">
        <v>3.4460000000000002</v>
      </c>
      <c r="Q603" s="10">
        <v>3.5920000000000001</v>
      </c>
      <c r="R603" s="10">
        <v>1.3904000000000001</v>
      </c>
      <c r="S603" s="10">
        <v>1.0170999999999999</v>
      </c>
      <c r="T603" s="10">
        <v>0.374</v>
      </c>
      <c r="U603" s="10">
        <v>0.30669999999999997</v>
      </c>
      <c r="V603" s="7">
        <v>1</v>
      </c>
      <c r="W603" s="7">
        <v>1</v>
      </c>
      <c r="X603" s="10">
        <v>3.97</v>
      </c>
      <c r="Y603" s="10">
        <v>3.58</v>
      </c>
      <c r="Z603" s="11">
        <v>1000</v>
      </c>
      <c r="AA603" s="11">
        <v>1000</v>
      </c>
      <c r="AB603" s="7" t="s">
        <v>13</v>
      </c>
    </row>
    <row r="604" spans="1:28" s="12" customFormat="1">
      <c r="A604" s="9" t="s">
        <v>580</v>
      </c>
      <c r="B604" s="9" t="s">
        <v>684</v>
      </c>
      <c r="C604" s="9" t="s">
        <v>685</v>
      </c>
      <c r="D604" s="7">
        <v>470</v>
      </c>
      <c r="E604" s="9" t="s">
        <v>686</v>
      </c>
      <c r="F604" s="7" t="s">
        <v>1406</v>
      </c>
      <c r="G604" s="7">
        <v>129.9</v>
      </c>
      <c r="H604" s="9" t="s">
        <v>690</v>
      </c>
      <c r="I604" s="9" t="s">
        <v>698</v>
      </c>
      <c r="J604" s="7">
        <v>4</v>
      </c>
      <c r="K604" s="7">
        <v>651.59059999999999</v>
      </c>
      <c r="L604" s="7" t="str">
        <f>HYPERLINK("http://ms.phosphosite.org:5080/cgi-bin/plot-msms.cgi?MassType=1&amp;NumAxis=1&amp;Mod12=184&amp;Pep=DPFFLGVSGEPRFPSHLFLEQR&amp;Dta=/var/www/html/dta/yong/23616.25260.4.dta&amp;Global_Mod=CS57.0215", "25260")</f>
        <v>25260</v>
      </c>
      <c r="M604" s="7" t="str">
        <f>HYPERLINK("http://ms.phosphosite.org:5080/cgi-bin/plot-msms.cgi?MassType=1&amp;NumAxis=1&amp;Mod12=184&amp;Pep=DPFFLGVSGEPRFPSHLFLEQR&amp;Dta=/var/www/html/dta/yong/23617.25690.4.dta&amp;Global_Mod=CS57.0215", "25690")</f>
        <v>25690</v>
      </c>
      <c r="N604" s="10">
        <v>113.23</v>
      </c>
      <c r="O604" s="10">
        <v>114.45</v>
      </c>
      <c r="P604" s="10">
        <v>3.4460000000000002</v>
      </c>
      <c r="Q604" s="10">
        <v>3.202</v>
      </c>
      <c r="R604" s="10">
        <v>0.75039999999999996</v>
      </c>
      <c r="S604" s="10">
        <v>2.5899999999999999E-2</v>
      </c>
      <c r="T604" s="10">
        <v>0.30940000000000001</v>
      </c>
      <c r="U604" s="10">
        <v>0.21240000000000001</v>
      </c>
      <c r="V604" s="7">
        <v>1</v>
      </c>
      <c r="W604" s="7">
        <v>1</v>
      </c>
      <c r="X604" s="10">
        <v>3.6</v>
      </c>
      <c r="Y604" s="10">
        <v>2.9</v>
      </c>
      <c r="Z604" s="11">
        <v>1000</v>
      </c>
      <c r="AA604" s="11">
        <v>1000</v>
      </c>
      <c r="AB604" s="7" t="s">
        <v>13</v>
      </c>
    </row>
    <row r="605" spans="1:28" s="12" customFormat="1">
      <c r="A605" s="9" t="s">
        <v>580</v>
      </c>
      <c r="B605" s="9" t="s">
        <v>684</v>
      </c>
      <c r="C605" s="9" t="s">
        <v>685</v>
      </c>
      <c r="D605" s="7">
        <v>470</v>
      </c>
      <c r="E605" s="9" t="s">
        <v>686</v>
      </c>
      <c r="F605" s="7" t="s">
        <v>1406</v>
      </c>
      <c r="G605" s="7">
        <v>129.9</v>
      </c>
      <c r="H605" s="9" t="s">
        <v>690</v>
      </c>
      <c r="I605" s="9" t="s">
        <v>698</v>
      </c>
      <c r="J605" s="7">
        <v>3</v>
      </c>
      <c r="K605" s="7">
        <v>868.45169999999996</v>
      </c>
      <c r="L605" s="7" t="str">
        <f>HYPERLINK("http://ms.phosphosite.org:5080/cgi-bin/plot-msms.cgi?MassType=1&amp;NumAxis=1&amp;Mod12=184&amp;Pep=DPFFLGVSGEPRFPSHLFLEQR&amp;Dta=/var/www/html/dta/yong/23616.25266.3.dta&amp;Global_Mod=CS57.0215", "25266")</f>
        <v>25266</v>
      </c>
      <c r="M605" s="7" t="str">
        <f>HYPERLINK("http://ms.phosphosite.org:5080/cgi-bin/plot-msms.cgi?MassType=1&amp;NumAxis=1&amp;Mod12=184&amp;Pep=DPFFLGVSGEPRFPSHLFLEQR&amp;Dta=/var/www/html/dta/yong/23617.25734.3.dta&amp;Global_Mod=CS57.0215", "25734")</f>
        <v>25734</v>
      </c>
      <c r="N605" s="10">
        <v>113.25</v>
      </c>
      <c r="O605" s="10">
        <v>114.64</v>
      </c>
      <c r="P605" s="10">
        <v>3.6890000000000001</v>
      </c>
      <c r="Q605" s="10">
        <v>3.6640000000000001</v>
      </c>
      <c r="R605" s="10">
        <v>1.0717000000000001</v>
      </c>
      <c r="S605" s="10">
        <v>1.7294</v>
      </c>
      <c r="T605" s="10">
        <v>0.35549999999999998</v>
      </c>
      <c r="U605" s="10">
        <v>0.28899999999999998</v>
      </c>
      <c r="V605" s="7">
        <v>1</v>
      </c>
      <c r="W605" s="7">
        <v>1</v>
      </c>
      <c r="X605" s="10">
        <v>3.9</v>
      </c>
      <c r="Y605" s="10">
        <v>3.41</v>
      </c>
      <c r="Z605" s="11">
        <v>1000</v>
      </c>
      <c r="AA605" s="11">
        <v>1000</v>
      </c>
      <c r="AB605" s="7" t="s">
        <v>13</v>
      </c>
    </row>
    <row r="606" spans="1:28" s="12" customFormat="1">
      <c r="A606" s="9" t="s">
        <v>580</v>
      </c>
      <c r="B606" s="9" t="s">
        <v>684</v>
      </c>
      <c r="C606" s="9" t="s">
        <v>685</v>
      </c>
      <c r="D606" s="7">
        <v>470</v>
      </c>
      <c r="E606" s="9" t="s">
        <v>686</v>
      </c>
      <c r="F606" s="7" t="s">
        <v>1406</v>
      </c>
      <c r="G606" s="7">
        <v>129.9</v>
      </c>
      <c r="H606" s="9" t="s">
        <v>690</v>
      </c>
      <c r="I606" s="9" t="s">
        <v>701</v>
      </c>
      <c r="J606" s="7">
        <v>3</v>
      </c>
      <c r="K606" s="7">
        <v>580.97749999999996</v>
      </c>
      <c r="L606" s="7" t="str">
        <f>HYPERLINK("http://ms.phosphosite.org:5080/cgi-bin/plot-msms.cgi?MassType=1&amp;NumAxis=1&amp;Mod4=184&amp;Pep=GEPRFPSHLFLEQR&amp;Dta=/var/www/html/dta/yong/23616.25387.3.dta&amp;Global_Mod=CS57.0215", "25387")</f>
        <v>25387</v>
      </c>
      <c r="M606" s="7"/>
      <c r="N606" s="10">
        <v>113.76</v>
      </c>
      <c r="O606" s="10"/>
      <c r="P606" s="10">
        <v>2.9649999999999999</v>
      </c>
      <c r="Q606" s="10"/>
      <c r="R606" s="10">
        <v>-12.928100000000001</v>
      </c>
      <c r="S606" s="10"/>
      <c r="T606" s="10">
        <v>0.1371</v>
      </c>
      <c r="U606" s="10"/>
      <c r="V606" s="7">
        <v>11</v>
      </c>
      <c r="W606" s="7"/>
      <c r="X606" s="10">
        <v>1.91</v>
      </c>
      <c r="Y606" s="10"/>
      <c r="Z606" s="11">
        <v>1000</v>
      </c>
      <c r="AA606" s="11"/>
      <c r="AB606" s="7" t="s">
        <v>13</v>
      </c>
    </row>
    <row r="607" spans="1:28" s="13" customFormat="1">
      <c r="A607" s="13" t="s">
        <v>580</v>
      </c>
      <c r="B607" s="13" t="s">
        <v>684</v>
      </c>
      <c r="C607" s="13" t="s">
        <v>685</v>
      </c>
      <c r="D607" s="15">
        <v>470</v>
      </c>
      <c r="E607" s="13" t="s">
        <v>686</v>
      </c>
      <c r="F607" s="15" t="s">
        <v>1406</v>
      </c>
      <c r="G607" s="15">
        <v>129.9</v>
      </c>
      <c r="H607" s="13" t="s">
        <v>690</v>
      </c>
      <c r="I607" s="13" t="s">
        <v>699</v>
      </c>
      <c r="J607" s="15">
        <v>4</v>
      </c>
      <c r="K607" s="15">
        <v>655.09450000000004</v>
      </c>
      <c r="L607" s="15" t="str">
        <f>HYPERLINK("http://ms.phosphosite.org:5080/cgi-bin/plot-msms.cgi?MassType=1&amp;NumAxis=1&amp;Mod12=184&amp;Mod22=170&amp;Pep=DPFFLGVSGEPRFPSHLFLEQR&amp;Dta=/var/www/html/dta/yong/23616.25425.4.dta&amp;Global_Mod=CS57.0215", "25425")</f>
        <v>25425</v>
      </c>
      <c r="M607" s="15" t="str">
        <f>HYPERLINK("http://ms.phosphosite.org:5080/cgi-bin/plot-msms.cgi?MassType=1&amp;NumAxis=1&amp;Mod12=184&amp;Mod22=170&amp;Pep=DPFFLGVSGEPRFPSHLFLEQR&amp;Dta=/var/www/html/dta/yong/23617.25786.4.dta&amp;Global_Mod=CS57.0215", "25786")</f>
        <v>25786</v>
      </c>
      <c r="N607" s="16">
        <v>113.91</v>
      </c>
      <c r="O607" s="16">
        <v>114.87</v>
      </c>
      <c r="P607" s="16">
        <v>3.2749999999999999</v>
      </c>
      <c r="Q607" s="16">
        <v>2.8410000000000002</v>
      </c>
      <c r="R607" s="16">
        <v>0.35820000000000002</v>
      </c>
      <c r="S607" s="16">
        <v>0.45979999999999999</v>
      </c>
      <c r="T607" s="16">
        <v>0.22750000000000001</v>
      </c>
      <c r="U607" s="16">
        <v>0.24229999999999999</v>
      </c>
      <c r="V607" s="15">
        <v>1</v>
      </c>
      <c r="W607" s="15">
        <v>2</v>
      </c>
      <c r="X607" s="16">
        <v>3.1</v>
      </c>
      <c r="Y607" s="16">
        <v>2.96</v>
      </c>
      <c r="Z607" s="17" t="s">
        <v>1306</v>
      </c>
      <c r="AA607" s="17" t="s">
        <v>1306</v>
      </c>
      <c r="AB607" s="15" t="s">
        <v>13</v>
      </c>
    </row>
    <row r="608" spans="1:28" s="12" customFormat="1">
      <c r="A608" s="9" t="s">
        <v>580</v>
      </c>
      <c r="B608" s="9" t="s">
        <v>684</v>
      </c>
      <c r="C608" s="9" t="s">
        <v>685</v>
      </c>
      <c r="D608" s="7">
        <v>470</v>
      </c>
      <c r="E608" s="9" t="s">
        <v>686</v>
      </c>
      <c r="F608" s="7" t="s">
        <v>1406</v>
      </c>
      <c r="G608" s="7">
        <v>129.9</v>
      </c>
      <c r="H608" s="9" t="s">
        <v>690</v>
      </c>
      <c r="I608" s="9" t="s">
        <v>698</v>
      </c>
      <c r="J608" s="7">
        <v>4</v>
      </c>
      <c r="K608" s="7">
        <v>651.59059999999999</v>
      </c>
      <c r="L608" s="7" t="str">
        <f>HYPERLINK("http://ms.phosphosite.org:5080/cgi-bin/plot-msms.cgi?MassType=1&amp;NumAxis=1&amp;Mod12=184&amp;Pep=DPFFLGVSGEPRFPSHLFLEQR&amp;Dta=/var/www/html/dta/yong/23616.25428.4.dta&amp;Global_Mod=CS57.0215", "25428")</f>
        <v>25428</v>
      </c>
      <c r="M608" s="7" t="str">
        <f>HYPERLINK("http://ms.phosphosite.org:5080/cgi-bin/plot-msms.cgi?MassType=1&amp;NumAxis=1&amp;Mod12=184&amp;Pep=DPFFLGVSGEPRFPSHLFLEQR&amp;Dta=/var/www/html/dta/yong/23617.26131.4.dta&amp;Global_Mod=CS57.0215", "26131")</f>
        <v>26131</v>
      </c>
      <c r="N608" s="10">
        <v>113.93</v>
      </c>
      <c r="O608" s="10">
        <v>116.4</v>
      </c>
      <c r="P608" s="10">
        <v>3.653</v>
      </c>
      <c r="Q608" s="10">
        <v>2.2370000000000001</v>
      </c>
      <c r="R608" s="10">
        <v>0.63859999999999995</v>
      </c>
      <c r="S608" s="10">
        <v>0.86439999999999995</v>
      </c>
      <c r="T608" s="10">
        <v>0.2329</v>
      </c>
      <c r="U608" s="10">
        <v>4.8300000000000003E-2</v>
      </c>
      <c r="V608" s="7">
        <v>1</v>
      </c>
      <c r="W608" s="7">
        <v>14</v>
      </c>
      <c r="X608" s="10">
        <v>3.24</v>
      </c>
      <c r="Y608" s="10">
        <v>1.66</v>
      </c>
      <c r="Z608" s="11">
        <v>1000</v>
      </c>
      <c r="AA608" s="11">
        <v>1000</v>
      </c>
      <c r="AB608" s="7" t="s">
        <v>13</v>
      </c>
    </row>
    <row r="609" spans="1:28" s="12" customFormat="1">
      <c r="A609" s="9" t="s">
        <v>580</v>
      </c>
      <c r="B609" s="9" t="s">
        <v>684</v>
      </c>
      <c r="C609" s="9" t="s">
        <v>685</v>
      </c>
      <c r="D609" s="7">
        <v>470</v>
      </c>
      <c r="E609" s="9" t="s">
        <v>686</v>
      </c>
      <c r="F609" s="7" t="s">
        <v>1406</v>
      </c>
      <c r="G609" s="7">
        <v>129.9</v>
      </c>
      <c r="H609" s="9" t="s">
        <v>690</v>
      </c>
      <c r="I609" s="9" t="s">
        <v>698</v>
      </c>
      <c r="J609" s="7">
        <v>3</v>
      </c>
      <c r="K609" s="7">
        <v>868.45169999999996</v>
      </c>
      <c r="L609" s="7" t="str">
        <f>HYPERLINK("http://ms.phosphosite.org:5080/cgi-bin/plot-msms.cgi?MassType=1&amp;NumAxis=1&amp;Mod12=184&amp;Pep=DPFFLGVSGEPRFPSHLFLEQR&amp;Dta=/var/www/html/dta/yong/23616.25429.3.dta&amp;Global_Mod=CS57.0215", "25429")</f>
        <v>25429</v>
      </c>
      <c r="M609" s="7" t="str">
        <f>HYPERLINK("http://ms.phosphosite.org:5080/cgi-bin/plot-msms.cgi?MassType=1&amp;NumAxis=1&amp;Mod12=184&amp;Pep=DPFFLGVSGEPRFPSHLFLEQR&amp;Dta=/var/www/html/dta/yong/23617.25556.3.dta&amp;Global_Mod=CS57.0215", "25556")</f>
        <v>25556</v>
      </c>
      <c r="N609" s="10">
        <v>113.93</v>
      </c>
      <c r="O609" s="10">
        <v>113.92</v>
      </c>
      <c r="P609" s="10">
        <v>3.5569999999999999</v>
      </c>
      <c r="Q609" s="10">
        <v>3.4950000000000001</v>
      </c>
      <c r="R609" s="10">
        <v>1.0646</v>
      </c>
      <c r="S609" s="10">
        <v>0.97030000000000005</v>
      </c>
      <c r="T609" s="10">
        <v>0.3775</v>
      </c>
      <c r="U609" s="10">
        <v>0.27160000000000001</v>
      </c>
      <c r="V609" s="7">
        <v>1</v>
      </c>
      <c r="W609" s="7">
        <v>1</v>
      </c>
      <c r="X609" s="10">
        <v>3.99</v>
      </c>
      <c r="Y609" s="10">
        <v>3.29</v>
      </c>
      <c r="Z609" s="11">
        <v>1000</v>
      </c>
      <c r="AA609" s="11">
        <v>1000</v>
      </c>
      <c r="AB609" s="7" t="s">
        <v>13</v>
      </c>
    </row>
    <row r="610" spans="1:28" s="13" customFormat="1">
      <c r="A610" s="13" t="s">
        <v>580</v>
      </c>
      <c r="B610" s="13" t="s">
        <v>684</v>
      </c>
      <c r="C610" s="13" t="s">
        <v>685</v>
      </c>
      <c r="D610" s="15">
        <v>470</v>
      </c>
      <c r="E610" s="13" t="s">
        <v>686</v>
      </c>
      <c r="F610" s="15" t="s">
        <v>1406</v>
      </c>
      <c r="G610" s="15">
        <v>129.9</v>
      </c>
      <c r="H610" s="13" t="s">
        <v>690</v>
      </c>
      <c r="I610" s="13" t="s">
        <v>699</v>
      </c>
      <c r="J610" s="15">
        <v>4</v>
      </c>
      <c r="K610" s="15">
        <v>655.09450000000004</v>
      </c>
      <c r="L610" s="15" t="str">
        <f>HYPERLINK("http://ms.phosphosite.org:5080/cgi-bin/plot-msms.cgi?MassType=1&amp;NumAxis=1&amp;Mod12=184&amp;Mod22=170&amp;Pep=DPFFLGVSGEPRFPSHLFLEQR&amp;Dta=/var/www/html/dta/yong/23616.25433.4.dta&amp;Global_Mod=CS57.0215", "25433")</f>
        <v>25433</v>
      </c>
      <c r="M610" s="15"/>
      <c r="N610" s="16">
        <v>113.94</v>
      </c>
      <c r="O610" s="16"/>
      <c r="P610" s="16">
        <v>2.681</v>
      </c>
      <c r="Q610" s="16"/>
      <c r="R610" s="16">
        <v>0.46889999999999998</v>
      </c>
      <c r="S610" s="16"/>
      <c r="T610" s="16">
        <v>0.3427</v>
      </c>
      <c r="U610" s="16"/>
      <c r="V610" s="15">
        <v>1</v>
      </c>
      <c r="W610" s="15"/>
      <c r="X610" s="16">
        <v>3.58</v>
      </c>
      <c r="Y610" s="16"/>
      <c r="Z610" s="17" t="s">
        <v>1306</v>
      </c>
      <c r="AA610" s="17"/>
      <c r="AB610" s="15" t="s">
        <v>13</v>
      </c>
    </row>
    <row r="611" spans="1:28" s="13" customFormat="1">
      <c r="A611" s="13" t="s">
        <v>580</v>
      </c>
      <c r="B611" s="13" t="s">
        <v>684</v>
      </c>
      <c r="C611" s="13" t="s">
        <v>685</v>
      </c>
      <c r="D611" s="15">
        <v>470</v>
      </c>
      <c r="E611" s="13" t="s">
        <v>686</v>
      </c>
      <c r="F611" s="15" t="s">
        <v>1406</v>
      </c>
      <c r="G611" s="15">
        <v>129.9</v>
      </c>
      <c r="H611" s="13" t="s">
        <v>690</v>
      </c>
      <c r="I611" s="13" t="s">
        <v>699</v>
      </c>
      <c r="J611" s="15">
        <v>4</v>
      </c>
      <c r="K611" s="15">
        <v>655.09450000000004</v>
      </c>
      <c r="L611" s="15" t="str">
        <f>HYPERLINK("http://ms.phosphosite.org:5080/cgi-bin/plot-msms.cgi?MassType=1&amp;NumAxis=1&amp;Mod12=184&amp;Mod22=170&amp;Pep=DPFFLGVSGEPRFPSHLFLEQR&amp;Dta=/var/www/html/dta/yong/23616.25448.4.dta&amp;Global_Mod=CS57.0215", "25448")</f>
        <v>25448</v>
      </c>
      <c r="M611" s="15" t="str">
        <f>HYPERLINK("http://ms.phosphosite.org:5080/cgi-bin/plot-msms.cgi?MassType=1&amp;NumAxis=1&amp;Mod12=184&amp;Mod22=170&amp;Pep=DPFFLGVSGEPRFPSHLFLEQR&amp;Dta=/var/www/html/dta/yong/23617.25584.4.dta&amp;Global_Mod=CS57.0215", "25584")</f>
        <v>25584</v>
      </c>
      <c r="N611" s="16">
        <v>114</v>
      </c>
      <c r="O611" s="16">
        <v>114.03</v>
      </c>
      <c r="P611" s="16">
        <v>3.3439999999999999</v>
      </c>
      <c r="Q611" s="16">
        <v>2.944</v>
      </c>
      <c r="R611" s="16">
        <v>9.6799999999999997E-2</v>
      </c>
      <c r="S611" s="16">
        <v>-0.21310000000000001</v>
      </c>
      <c r="T611" s="16">
        <v>0.30330000000000001</v>
      </c>
      <c r="U611" s="16">
        <v>0.25829999999999997</v>
      </c>
      <c r="V611" s="15">
        <v>1</v>
      </c>
      <c r="W611" s="15">
        <v>1</v>
      </c>
      <c r="X611" s="16">
        <v>3.54</v>
      </c>
      <c r="Y611" s="16">
        <v>3.07</v>
      </c>
      <c r="Z611" s="17" t="s">
        <v>1306</v>
      </c>
      <c r="AA611" s="17" t="s">
        <v>1306</v>
      </c>
      <c r="AB611" s="15" t="s">
        <v>13</v>
      </c>
    </row>
    <row r="612" spans="1:28" s="13" customFormat="1">
      <c r="A612" s="13" t="s">
        <v>580</v>
      </c>
      <c r="B612" s="13" t="s">
        <v>684</v>
      </c>
      <c r="C612" s="13" t="s">
        <v>685</v>
      </c>
      <c r="D612" s="15">
        <v>470</v>
      </c>
      <c r="E612" s="13" t="s">
        <v>686</v>
      </c>
      <c r="F612" s="15" t="s">
        <v>1406</v>
      </c>
      <c r="G612" s="15">
        <v>129.9</v>
      </c>
      <c r="H612" s="13" t="s">
        <v>690</v>
      </c>
      <c r="I612" s="13" t="s">
        <v>699</v>
      </c>
      <c r="J612" s="15">
        <v>3</v>
      </c>
      <c r="K612" s="15">
        <v>873.12360000000001</v>
      </c>
      <c r="L612" s="15" t="str">
        <f>HYPERLINK("http://ms.phosphosite.org:5080/cgi-bin/plot-msms.cgi?MassType=1&amp;NumAxis=1&amp;Mod12=184&amp;Mod22=170&amp;Pep=DPFFLGVSGEPRFPSHLFLEQR&amp;Dta=/var/www/html/dta/yong/23616.25460.3.dta&amp;Global_Mod=CS57.0215", "25460")</f>
        <v>25460</v>
      </c>
      <c r="M612" s="15" t="str">
        <f>HYPERLINK("http://ms.phosphosite.org:5080/cgi-bin/plot-msms.cgi?MassType=1&amp;NumAxis=1&amp;Mod12=184&amp;Mod22=170&amp;Pep=DPFFLGVSGEPRFPSHLFLEQR&amp;Dta=/var/www/html/dta/yong/23617.25746.3.dta&amp;Global_Mod=CS57.0215", "25746")</f>
        <v>25746</v>
      </c>
      <c r="N612" s="16">
        <v>114.05</v>
      </c>
      <c r="O612" s="16">
        <v>114.7</v>
      </c>
      <c r="P612" s="16">
        <v>3.1560000000000001</v>
      </c>
      <c r="Q612" s="16">
        <v>2.7370000000000001</v>
      </c>
      <c r="R612" s="16">
        <v>1.29E-2</v>
      </c>
      <c r="S612" s="16">
        <v>1.7322</v>
      </c>
      <c r="T612" s="16">
        <v>0.15029999999999999</v>
      </c>
      <c r="U612" s="16">
        <v>2.9899999999999999E-2</v>
      </c>
      <c r="V612" s="15">
        <v>17</v>
      </c>
      <c r="W612" s="15">
        <v>4</v>
      </c>
      <c r="X612" s="16">
        <v>2.59</v>
      </c>
      <c r="Y612" s="16">
        <v>1.66</v>
      </c>
      <c r="Z612" s="17" t="s">
        <v>1306</v>
      </c>
      <c r="AA612" s="17" t="s">
        <v>1306</v>
      </c>
      <c r="AB612" s="15" t="s">
        <v>13</v>
      </c>
    </row>
    <row r="613" spans="1:28" s="12" customFormat="1">
      <c r="A613" s="9" t="s">
        <v>580</v>
      </c>
      <c r="B613" s="9" t="s">
        <v>684</v>
      </c>
      <c r="C613" s="9" t="s">
        <v>685</v>
      </c>
      <c r="D613" s="7">
        <v>470</v>
      </c>
      <c r="E613" s="9" t="s">
        <v>686</v>
      </c>
      <c r="F613" s="7" t="s">
        <v>1406</v>
      </c>
      <c r="G613" s="7">
        <v>129.9</v>
      </c>
      <c r="H613" s="9" t="s">
        <v>690</v>
      </c>
      <c r="I613" s="9" t="s">
        <v>702</v>
      </c>
      <c r="J613" s="7">
        <v>3</v>
      </c>
      <c r="K613" s="7">
        <v>662.01819999999998</v>
      </c>
      <c r="L613" s="7" t="str">
        <f>HYPERLINK("http://ms.phosphosite.org:5080/cgi-bin/plot-msms.cgi?MassType=1&amp;NumAxis=1&amp;Mod7=184&amp;Pep=GVSGEPRFPSHLFLEQR&amp;Dta=/var/www/html/dta/yong/23616.25461.3.dta&amp;Global_Mod=CS57.0215", "25461")</f>
        <v>25461</v>
      </c>
      <c r="M613" s="7"/>
      <c r="N613" s="10">
        <v>114.05</v>
      </c>
      <c r="O613" s="10"/>
      <c r="P613" s="10">
        <v>3.1150000000000002</v>
      </c>
      <c r="Q613" s="10"/>
      <c r="R613" s="10">
        <v>31.3307</v>
      </c>
      <c r="S613" s="10"/>
      <c r="T613" s="10">
        <v>0.251</v>
      </c>
      <c r="U613" s="10"/>
      <c r="V613" s="7">
        <v>1</v>
      </c>
      <c r="W613" s="7"/>
      <c r="X613" s="10">
        <v>1.72</v>
      </c>
      <c r="Y613" s="10"/>
      <c r="Z613" s="11">
        <v>1000</v>
      </c>
      <c r="AA613" s="11"/>
      <c r="AB613" s="7" t="s">
        <v>13</v>
      </c>
    </row>
    <row r="614" spans="1:28" s="13" customFormat="1">
      <c r="A614" s="13" t="s">
        <v>580</v>
      </c>
      <c r="B614" s="13" t="s">
        <v>684</v>
      </c>
      <c r="C614" s="13" t="s">
        <v>685</v>
      </c>
      <c r="D614" s="15">
        <v>470</v>
      </c>
      <c r="E614" s="13" t="s">
        <v>686</v>
      </c>
      <c r="F614" s="15" t="s">
        <v>1406</v>
      </c>
      <c r="G614" s="15">
        <v>129.9</v>
      </c>
      <c r="H614" s="13" t="s">
        <v>690</v>
      </c>
      <c r="I614" s="13" t="s">
        <v>699</v>
      </c>
      <c r="J614" s="15">
        <v>3</v>
      </c>
      <c r="K614" s="15">
        <v>873.12360000000001</v>
      </c>
      <c r="L614" s="15" t="str">
        <f>HYPERLINK("http://ms.phosphosite.org:5080/cgi-bin/plot-msms.cgi?MassType=1&amp;NumAxis=1&amp;Mod12=184&amp;Mod22=170&amp;Pep=DPFFLGVSGEPRFPSHLFLEQR&amp;Dta=/var/www/html/dta/yong/23616.25465.3.dta&amp;Global_Mod=CS57.0215", "25465")</f>
        <v>25465</v>
      </c>
      <c r="M614" s="15" t="str">
        <f>HYPERLINK("http://ms.phosphosite.org:5080/cgi-bin/plot-msms.cgi?MassType=1&amp;NumAxis=1&amp;Mod12=184&amp;Mod22=170&amp;Pep=DPFFLGVSGEPRFPSHLFLEQR&amp;Dta=/var/www/html/dta/yong/23617.25615.3.dta&amp;Global_Mod=CS57.0215", "25615")</f>
        <v>25615</v>
      </c>
      <c r="N614" s="16">
        <v>114.07</v>
      </c>
      <c r="O614" s="16">
        <v>114.14</v>
      </c>
      <c r="P614" s="16">
        <v>3.4390000000000001</v>
      </c>
      <c r="Q614" s="16">
        <v>3.7639999999999998</v>
      </c>
      <c r="R614" s="16">
        <v>0.2994</v>
      </c>
      <c r="S614" s="16">
        <v>-0.11940000000000001</v>
      </c>
      <c r="T614" s="16">
        <v>0.12759999999999999</v>
      </c>
      <c r="U614" s="16">
        <v>0.27539999999999998</v>
      </c>
      <c r="V614" s="15">
        <v>4</v>
      </c>
      <c r="W614" s="15">
        <v>4</v>
      </c>
      <c r="X614" s="16">
        <v>2.56</v>
      </c>
      <c r="Y614" s="16">
        <v>3.41</v>
      </c>
      <c r="Z614" s="17" t="s">
        <v>1306</v>
      </c>
      <c r="AA614" s="17" t="s">
        <v>1306</v>
      </c>
      <c r="AB614" s="15" t="s">
        <v>13</v>
      </c>
    </row>
    <row r="615" spans="1:28" s="12" customFormat="1">
      <c r="A615" s="9" t="s">
        <v>580</v>
      </c>
      <c r="B615" s="9" t="s">
        <v>684</v>
      </c>
      <c r="C615" s="9" t="s">
        <v>685</v>
      </c>
      <c r="D615" s="7">
        <v>470</v>
      </c>
      <c r="E615" s="9" t="s">
        <v>686</v>
      </c>
      <c r="F615" s="7" t="s">
        <v>1406</v>
      </c>
      <c r="G615" s="7">
        <v>129.9</v>
      </c>
      <c r="H615" s="9" t="s">
        <v>690</v>
      </c>
      <c r="I615" s="9" t="s">
        <v>698</v>
      </c>
      <c r="J615" s="7">
        <v>4</v>
      </c>
      <c r="K615" s="7">
        <v>651.59059999999999</v>
      </c>
      <c r="L615" s="7" t="str">
        <f>HYPERLINK("http://ms.phosphosite.org:5080/cgi-bin/plot-msms.cgi?MassType=1&amp;NumAxis=1&amp;Mod12=184&amp;Pep=DPFFLGVSGEPRFPSHLFLEQR&amp;Dta=/var/www/html/dta/yong/23616.25537.4.dta&amp;Global_Mod=CS57.0215", "25537")</f>
        <v>25537</v>
      </c>
      <c r="M615" s="7" t="str">
        <f>HYPERLINK("http://ms.phosphosite.org:5080/cgi-bin/plot-msms.cgi?MassType=1&amp;NumAxis=1&amp;Mod12=184&amp;Pep=DPFFLGVSGEPRFPSHLFLEQR&amp;Dta=/var/www/html/dta/yong/23617.25920.4.dta&amp;Global_Mod=CS57.0215", "25920")</f>
        <v>25920</v>
      </c>
      <c r="N615" s="10">
        <v>114.35</v>
      </c>
      <c r="O615" s="10">
        <v>115.48</v>
      </c>
      <c r="P615" s="10">
        <v>3.274</v>
      </c>
      <c r="Q615" s="10">
        <v>3.117</v>
      </c>
      <c r="R615" s="10">
        <v>0.25750000000000001</v>
      </c>
      <c r="S615" s="10">
        <v>0.86360000000000003</v>
      </c>
      <c r="T615" s="10">
        <v>0.19980000000000001</v>
      </c>
      <c r="U615" s="10">
        <v>0.38229999999999997</v>
      </c>
      <c r="V615" s="7">
        <v>1</v>
      </c>
      <c r="W615" s="7">
        <v>2</v>
      </c>
      <c r="X615" s="10">
        <v>2.94</v>
      </c>
      <c r="Y615" s="10">
        <v>3.82</v>
      </c>
      <c r="Z615" s="11">
        <v>1000</v>
      </c>
      <c r="AA615" s="11">
        <v>1000</v>
      </c>
      <c r="AB615" s="7" t="s">
        <v>13</v>
      </c>
    </row>
    <row r="616" spans="1:28" s="12" customFormat="1">
      <c r="A616" s="9" t="s">
        <v>580</v>
      </c>
      <c r="B616" s="9" t="s">
        <v>684</v>
      </c>
      <c r="C616" s="9" t="s">
        <v>685</v>
      </c>
      <c r="D616" s="7">
        <v>470</v>
      </c>
      <c r="E616" s="9" t="s">
        <v>686</v>
      </c>
      <c r="F616" s="7" t="s">
        <v>1406</v>
      </c>
      <c r="G616" s="7">
        <v>129.9</v>
      </c>
      <c r="H616" s="9" t="s">
        <v>690</v>
      </c>
      <c r="I616" s="9" t="s">
        <v>698</v>
      </c>
      <c r="J616" s="7">
        <v>4</v>
      </c>
      <c r="K616" s="7">
        <v>651.59059999999999</v>
      </c>
      <c r="L616" s="7" t="str">
        <f>HYPERLINK("http://ms.phosphosite.org:5080/cgi-bin/plot-msms.cgi?MassType=1&amp;NumAxis=1&amp;Mod12=184&amp;Pep=DPFFLGVSGEPRFPSHLFLEQR&amp;Dta=/var/www/html/dta/yong/23616.25581.4.dta&amp;Global_Mod=CS57.0215", "25581")</f>
        <v>25581</v>
      </c>
      <c r="M616" s="7" t="str">
        <f>HYPERLINK("http://ms.phosphosite.org:5080/cgi-bin/plot-msms.cgi?MassType=1&amp;NumAxis=1&amp;Mod12=184&amp;Pep=DPFFLGVSGEPRFPSHLFLEQR&amp;Dta=/var/www/html/dta/yong/23617.25883.4.dta&amp;Global_Mod=CS57.0215", "25883")</f>
        <v>25883</v>
      </c>
      <c r="N616" s="10">
        <v>114.52</v>
      </c>
      <c r="O616" s="10">
        <v>115.31</v>
      </c>
      <c r="P616" s="10">
        <v>3.3079999999999998</v>
      </c>
      <c r="Q616" s="10">
        <v>3.1339999999999999</v>
      </c>
      <c r="R616" s="10">
        <v>1.2058</v>
      </c>
      <c r="S616" s="10">
        <v>0.78710000000000002</v>
      </c>
      <c r="T616" s="10">
        <v>0.16520000000000001</v>
      </c>
      <c r="U616" s="10">
        <v>0.14649999999999999</v>
      </c>
      <c r="V616" s="7">
        <v>2</v>
      </c>
      <c r="W616" s="7">
        <v>2</v>
      </c>
      <c r="X616" s="10">
        <v>2.72</v>
      </c>
      <c r="Y616" s="10">
        <v>2.5</v>
      </c>
      <c r="Z616" s="11">
        <v>1000</v>
      </c>
      <c r="AA616" s="11">
        <v>1000</v>
      </c>
      <c r="AB616" s="7" t="s">
        <v>13</v>
      </c>
    </row>
    <row r="617" spans="1:28" s="13" customFormat="1">
      <c r="A617" s="13" t="s">
        <v>580</v>
      </c>
      <c r="B617" s="13" t="s">
        <v>684</v>
      </c>
      <c r="C617" s="13" t="s">
        <v>685</v>
      </c>
      <c r="D617" s="15">
        <v>470</v>
      </c>
      <c r="E617" s="13" t="s">
        <v>686</v>
      </c>
      <c r="F617" s="15" t="s">
        <v>1406</v>
      </c>
      <c r="G617" s="15">
        <v>129.9</v>
      </c>
      <c r="H617" s="13" t="s">
        <v>690</v>
      </c>
      <c r="I617" s="13" t="s">
        <v>699</v>
      </c>
      <c r="J617" s="15">
        <v>3</v>
      </c>
      <c r="K617" s="15">
        <v>873.12360000000001</v>
      </c>
      <c r="L617" s="15" t="str">
        <f>HYPERLINK("http://ms.phosphosite.org:5080/cgi-bin/plot-msms.cgi?MassType=1&amp;NumAxis=1&amp;Mod12=184&amp;Mod22=170&amp;Pep=DPFFLGVSGEPRFPSHLFLEQR&amp;Dta=/var/www/html/dta/yong/23616.25608.3.dta&amp;Global_Mod=CS57.0215", "25608")</f>
        <v>25608</v>
      </c>
      <c r="M617" s="15" t="str">
        <f>HYPERLINK("http://ms.phosphosite.org:5080/cgi-bin/plot-msms.cgi?MassType=1&amp;NumAxis=1&amp;Mod12=184&amp;Mod22=170&amp;Pep=DPFFLGVSGEPRFPSHLFLEQR&amp;Dta=/var/www/html/dta/yong/23617.25697.3.dta&amp;Global_Mod=CS57.0215", "25697")</f>
        <v>25697</v>
      </c>
      <c r="N617" s="16">
        <v>114.62</v>
      </c>
      <c r="O617" s="16">
        <v>114.48</v>
      </c>
      <c r="P617" s="16">
        <v>3.714</v>
      </c>
      <c r="Q617" s="16">
        <v>3.8980000000000001</v>
      </c>
      <c r="R617" s="16">
        <v>1.2670999999999999</v>
      </c>
      <c r="S617" s="16">
        <v>1.3321000000000001</v>
      </c>
      <c r="T617" s="16">
        <v>0.32700000000000001</v>
      </c>
      <c r="U617" s="16">
        <v>0.27829999999999999</v>
      </c>
      <c r="V617" s="15">
        <v>3</v>
      </c>
      <c r="W617" s="15">
        <v>3</v>
      </c>
      <c r="X617" s="16">
        <v>3.74</v>
      </c>
      <c r="Y617" s="16">
        <v>3.44</v>
      </c>
      <c r="Z617" s="17" t="s">
        <v>1306</v>
      </c>
      <c r="AA617" s="17" t="s">
        <v>1306</v>
      </c>
      <c r="AB617" s="15" t="s">
        <v>13</v>
      </c>
    </row>
    <row r="618" spans="1:28" s="13" customFormat="1">
      <c r="A618" s="13" t="s">
        <v>580</v>
      </c>
      <c r="B618" s="13" t="s">
        <v>684</v>
      </c>
      <c r="C618" s="13" t="s">
        <v>685</v>
      </c>
      <c r="D618" s="15">
        <v>470</v>
      </c>
      <c r="E618" s="13" t="s">
        <v>686</v>
      </c>
      <c r="F618" s="15" t="s">
        <v>1406</v>
      </c>
      <c r="G618" s="15">
        <v>129.9</v>
      </c>
      <c r="H618" s="13" t="s">
        <v>690</v>
      </c>
      <c r="I618" s="13" t="s">
        <v>699</v>
      </c>
      <c r="J618" s="15">
        <v>4</v>
      </c>
      <c r="K618" s="15">
        <v>655.09450000000004</v>
      </c>
      <c r="L618" s="15" t="str">
        <f>HYPERLINK("http://ms.phosphosite.org:5080/cgi-bin/plot-msms.cgi?MassType=1&amp;NumAxis=1&amp;Mod12=184&amp;Mod22=170&amp;Pep=DPFFLGVSGEPRFPSHLFLEQR&amp;Dta=/var/www/html/dta/yong/23616.25617.4.dta&amp;Global_Mod=CS57.0215", "25617")</f>
        <v>25617</v>
      </c>
      <c r="M618" s="15" t="str">
        <f>HYPERLINK("http://ms.phosphosite.org:5080/cgi-bin/plot-msms.cgi?MassType=1&amp;NumAxis=1&amp;Mod12=184&amp;Mod22=170&amp;Pep=DPFFLGVSGEPRFPSHLFLEQR&amp;Dta=/var/www/html/dta/yong/23617.25571.4.dta&amp;Global_Mod=CS57.0215", "25571")</f>
        <v>25571</v>
      </c>
      <c r="N618" s="16">
        <v>114.66</v>
      </c>
      <c r="O618" s="16">
        <v>113.98</v>
      </c>
      <c r="P618" s="16">
        <v>3.472</v>
      </c>
      <c r="Q618" s="16">
        <v>3.7210000000000001</v>
      </c>
      <c r="R618" s="16">
        <v>0.43459999999999999</v>
      </c>
      <c r="S618" s="16">
        <v>1.0699999999999999E-2</v>
      </c>
      <c r="T618" s="16">
        <v>0.40439999999999998</v>
      </c>
      <c r="U618" s="16">
        <v>0.38279999999999997</v>
      </c>
      <c r="V618" s="15">
        <v>1</v>
      </c>
      <c r="W618" s="15">
        <v>1</v>
      </c>
      <c r="X618" s="16">
        <v>4.16</v>
      </c>
      <c r="Y618" s="16">
        <v>4.0199999999999996</v>
      </c>
      <c r="Z618" s="17" t="s">
        <v>1306</v>
      </c>
      <c r="AA618" s="17" t="s">
        <v>1306</v>
      </c>
      <c r="AB618" s="15" t="s">
        <v>13</v>
      </c>
    </row>
    <row r="619" spans="1:28" s="12" customFormat="1">
      <c r="A619" s="9" t="s">
        <v>580</v>
      </c>
      <c r="B619" s="9" t="s">
        <v>684</v>
      </c>
      <c r="C619" s="9" t="s">
        <v>685</v>
      </c>
      <c r="D619" s="7">
        <v>470</v>
      </c>
      <c r="E619" s="9" t="s">
        <v>686</v>
      </c>
      <c r="F619" s="7" t="s">
        <v>1406</v>
      </c>
      <c r="G619" s="7">
        <v>129.9</v>
      </c>
      <c r="H619" s="9" t="s">
        <v>690</v>
      </c>
      <c r="I619" s="9" t="s">
        <v>698</v>
      </c>
      <c r="J619" s="7">
        <v>4</v>
      </c>
      <c r="K619" s="7">
        <v>651.59059999999999</v>
      </c>
      <c r="L619" s="7" t="str">
        <f>HYPERLINK("http://ms.phosphosite.org:5080/cgi-bin/plot-msms.cgi?MassType=1&amp;NumAxis=1&amp;Mod12=184&amp;Pep=DPFFLGVSGEPRFPSHLFLEQR&amp;Dta=/var/www/html/dta/yong/23616.25620.4.dta&amp;Global_Mod=CS57.0215", "25620")</f>
        <v>25620</v>
      </c>
      <c r="M619" s="7" t="str">
        <f>HYPERLINK("http://ms.phosphosite.org:5080/cgi-bin/plot-msms.cgi?MassType=1&amp;NumAxis=1&amp;Mod12=184&amp;Pep=DPFFLGVSGEPRFPSHLFLEQR&amp;Dta=/var/www/html/dta/yong/23617.26110.4.dta&amp;Global_Mod=CS57.0215", "26110")</f>
        <v>26110</v>
      </c>
      <c r="N619" s="10">
        <v>114.68</v>
      </c>
      <c r="O619" s="10">
        <v>116.32</v>
      </c>
      <c r="P619" s="10">
        <v>3.56</v>
      </c>
      <c r="Q619" s="10">
        <v>3.133</v>
      </c>
      <c r="R619" s="10">
        <v>0.83789999999999998</v>
      </c>
      <c r="S619" s="10">
        <v>0.97699999999999998</v>
      </c>
      <c r="T619" s="10">
        <v>0.37180000000000002</v>
      </c>
      <c r="U619" s="10">
        <v>0.13539999999999999</v>
      </c>
      <c r="V619" s="7">
        <v>2</v>
      </c>
      <c r="W619" s="7">
        <v>2</v>
      </c>
      <c r="X619" s="10">
        <v>3.98</v>
      </c>
      <c r="Y619" s="10">
        <v>2.42</v>
      </c>
      <c r="Z619" s="11">
        <v>1000</v>
      </c>
      <c r="AA619" s="11">
        <v>1000</v>
      </c>
      <c r="AB619" s="7" t="s">
        <v>13</v>
      </c>
    </row>
    <row r="620" spans="1:28" s="12" customFormat="1">
      <c r="A620" s="9" t="s">
        <v>580</v>
      </c>
      <c r="B620" s="9" t="s">
        <v>684</v>
      </c>
      <c r="C620" s="9" t="s">
        <v>685</v>
      </c>
      <c r="D620" s="7">
        <v>470</v>
      </c>
      <c r="E620" s="9" t="s">
        <v>686</v>
      </c>
      <c r="F620" s="7" t="s">
        <v>1406</v>
      </c>
      <c r="G620" s="7">
        <v>129.9</v>
      </c>
      <c r="H620" s="9" t="s">
        <v>690</v>
      </c>
      <c r="I620" s="9" t="s">
        <v>698</v>
      </c>
      <c r="J620" s="7">
        <v>3</v>
      </c>
      <c r="K620" s="7">
        <v>868.45169999999996</v>
      </c>
      <c r="L620" s="7" t="str">
        <f>HYPERLINK("http://ms.phosphosite.org:5080/cgi-bin/plot-msms.cgi?MassType=1&amp;NumAxis=1&amp;Mod12=184&amp;Pep=DPFFLGVSGEPRFPSHLFLEQR&amp;Dta=/var/www/html/dta/yong/23616.25623.3.dta&amp;Global_Mod=CS57.0215", "25623")</f>
        <v>25623</v>
      </c>
      <c r="M620" s="7" t="str">
        <f>HYPERLINK("http://ms.phosphosite.org:5080/cgi-bin/plot-msms.cgi?MassType=1&amp;NumAxis=1&amp;Mod12=184&amp;Pep=DPFFLGVSGEPRFPSHLFLEQR&amp;Dta=/var/www/html/dta/yong/23617.25759.3.dta&amp;Global_Mod=CS57.0215", "25759")</f>
        <v>25759</v>
      </c>
      <c r="N620" s="10">
        <v>114.69</v>
      </c>
      <c r="O620" s="10">
        <v>114.75</v>
      </c>
      <c r="P620" s="10">
        <v>3.5840000000000001</v>
      </c>
      <c r="Q620" s="10">
        <v>2.36</v>
      </c>
      <c r="R620" s="10">
        <v>2.7002999999999999</v>
      </c>
      <c r="S620" s="10">
        <v>1.9908999999999999</v>
      </c>
      <c r="T620" s="10">
        <v>0.35399999999999998</v>
      </c>
      <c r="U620" s="10">
        <v>2.1899999999999999E-2</v>
      </c>
      <c r="V620" s="7">
        <v>40</v>
      </c>
      <c r="W620" s="7">
        <v>19</v>
      </c>
      <c r="X620" s="10">
        <v>3.77</v>
      </c>
      <c r="Y620" s="10">
        <v>1.48</v>
      </c>
      <c r="Z620" s="11">
        <v>1000</v>
      </c>
      <c r="AA620" s="11">
        <v>1000</v>
      </c>
      <c r="AB620" s="7" t="s">
        <v>13</v>
      </c>
    </row>
    <row r="621" spans="1:28" s="13" customFormat="1">
      <c r="A621" s="13" t="s">
        <v>580</v>
      </c>
      <c r="B621" s="13" t="s">
        <v>684</v>
      </c>
      <c r="C621" s="13" t="s">
        <v>685</v>
      </c>
      <c r="D621" s="15">
        <v>470</v>
      </c>
      <c r="E621" s="13" t="s">
        <v>686</v>
      </c>
      <c r="F621" s="15" t="s">
        <v>1406</v>
      </c>
      <c r="G621" s="15">
        <v>129.9</v>
      </c>
      <c r="H621" s="13" t="s">
        <v>690</v>
      </c>
      <c r="I621" s="13" t="s">
        <v>699</v>
      </c>
      <c r="J621" s="15">
        <v>4</v>
      </c>
      <c r="K621" s="15">
        <v>655.09450000000004</v>
      </c>
      <c r="L621" s="15" t="str">
        <f>HYPERLINK("http://ms.phosphosite.org:5080/cgi-bin/plot-msms.cgi?MassType=1&amp;NumAxis=1&amp;Mod12=184&amp;Mod22=170&amp;Pep=DPFFLGVSGEPRFPSHLFLEQR&amp;Dta=/var/www/html/dta/yong/23616.25646.4.dta&amp;Global_Mod=CS57.0215", "25646")</f>
        <v>25646</v>
      </c>
      <c r="M621" s="15" t="str">
        <f>HYPERLINK("http://ms.phosphosite.org:5080/cgi-bin/plot-msms.cgi?MassType=1&amp;NumAxis=1&amp;Mod12=184&amp;Mod22=170&amp;Pep=DPFFLGVSGEPRFPSHLFLEQR&amp;Dta=/var/www/html/dta/yong/23617.25757.4.dta&amp;Global_Mod=CS57.0215", "25757")</f>
        <v>25757</v>
      </c>
      <c r="N621" s="16">
        <v>114.79</v>
      </c>
      <c r="O621" s="16">
        <v>114.75</v>
      </c>
      <c r="P621" s="16">
        <v>3.6419999999999999</v>
      </c>
      <c r="Q621" s="16">
        <v>3.7440000000000002</v>
      </c>
      <c r="R621" s="16">
        <v>0.71509999999999996</v>
      </c>
      <c r="S621" s="16">
        <v>0.52639999999999998</v>
      </c>
      <c r="T621" s="16">
        <v>0.28749999999999998</v>
      </c>
      <c r="U621" s="16">
        <v>0.3775</v>
      </c>
      <c r="V621" s="15">
        <v>1</v>
      </c>
      <c r="W621" s="15">
        <v>1</v>
      </c>
      <c r="X621" s="16">
        <v>3.54</v>
      </c>
      <c r="Y621" s="16">
        <v>4</v>
      </c>
      <c r="Z621" s="17" t="s">
        <v>1306</v>
      </c>
      <c r="AA621" s="17" t="s">
        <v>1306</v>
      </c>
      <c r="AB621" s="15" t="s">
        <v>13</v>
      </c>
    </row>
    <row r="622" spans="1:28" s="12" customFormat="1">
      <c r="A622" s="9" t="s">
        <v>580</v>
      </c>
      <c r="B622" s="9" t="s">
        <v>684</v>
      </c>
      <c r="C622" s="9" t="s">
        <v>685</v>
      </c>
      <c r="D622" s="7">
        <v>470</v>
      </c>
      <c r="E622" s="9" t="s">
        <v>686</v>
      </c>
      <c r="F622" s="7" t="s">
        <v>1406</v>
      </c>
      <c r="G622" s="7">
        <v>129.9</v>
      </c>
      <c r="H622" s="9" t="s">
        <v>690</v>
      </c>
      <c r="I622" s="9" t="s">
        <v>698</v>
      </c>
      <c r="J622" s="7">
        <v>4</v>
      </c>
      <c r="K622" s="7">
        <v>651.59059999999999</v>
      </c>
      <c r="L622" s="7" t="str">
        <f>HYPERLINK("http://ms.phosphosite.org:5080/cgi-bin/plot-msms.cgi?MassType=1&amp;NumAxis=1&amp;Mod12=184&amp;Pep=DPFFLGVSGEPRFPSHLFLEQR&amp;Dta=/var/www/html/dta/yong/23616.25742.4.dta&amp;Global_Mod=CS57.0215", "25742")</f>
        <v>25742</v>
      </c>
      <c r="M622" s="7" t="str">
        <f>HYPERLINK("http://ms.phosphosite.org:5080/cgi-bin/plot-msms.cgi?MassType=1&amp;NumAxis=1&amp;Mod12=184&amp;Pep=DPFFLGVSGEPRFPSHLFLEQR&amp;Dta=/var/www/html/dta/yong/23617.25822.4.dta&amp;Global_Mod=CS57.0215", "25822")</f>
        <v>25822</v>
      </c>
      <c r="N622" s="10">
        <v>115.22</v>
      </c>
      <c r="O622" s="10">
        <v>115.04</v>
      </c>
      <c r="P622" s="10">
        <v>3.3170000000000002</v>
      </c>
      <c r="Q622" s="10">
        <v>2.7029999999999998</v>
      </c>
      <c r="R622" s="10">
        <v>0.43709999999999999</v>
      </c>
      <c r="S622" s="10">
        <v>1.3421000000000001</v>
      </c>
      <c r="T622" s="10">
        <v>0.20680000000000001</v>
      </c>
      <c r="U622" s="10">
        <v>0.1827</v>
      </c>
      <c r="V622" s="7">
        <v>2</v>
      </c>
      <c r="W622" s="7">
        <v>2</v>
      </c>
      <c r="X622" s="10">
        <v>3</v>
      </c>
      <c r="Y622" s="10">
        <v>2.54</v>
      </c>
      <c r="Z622" s="11">
        <v>1000</v>
      </c>
      <c r="AA622" s="11">
        <v>1000</v>
      </c>
      <c r="AB622" s="7" t="s">
        <v>13</v>
      </c>
    </row>
    <row r="623" spans="1:28" s="12" customFormat="1">
      <c r="A623" s="9" t="s">
        <v>580</v>
      </c>
      <c r="B623" s="9" t="s">
        <v>684</v>
      </c>
      <c r="C623" s="9" t="s">
        <v>685</v>
      </c>
      <c r="D623" s="7">
        <v>470</v>
      </c>
      <c r="E623" s="9" t="s">
        <v>686</v>
      </c>
      <c r="F623" s="7" t="s">
        <v>1406</v>
      </c>
      <c r="G623" s="7">
        <v>129.9</v>
      </c>
      <c r="H623" s="9" t="s">
        <v>690</v>
      </c>
      <c r="I623" s="9" t="s">
        <v>698</v>
      </c>
      <c r="J623" s="7">
        <v>3</v>
      </c>
      <c r="K623" s="7">
        <v>868.45169999999996</v>
      </c>
      <c r="L623" s="7" t="str">
        <f>HYPERLINK("http://ms.phosphosite.org:5080/cgi-bin/plot-msms.cgi?MassType=1&amp;NumAxis=1&amp;Mod12=184&amp;Pep=DPFFLGVSGEPRFPSHLFLEQR&amp;Dta=/var/www/html/dta/yong/23616.25766.3.dta&amp;Global_Mod=CS57.0215", "25766")</f>
        <v>25766</v>
      </c>
      <c r="M623" s="7" t="str">
        <f>HYPERLINK("http://ms.phosphosite.org:5080/cgi-bin/plot-msms.cgi?MassType=1&amp;NumAxis=1&amp;Mod12=184&amp;Pep=DPFFLGVSGEPRFPSHLFLEQR&amp;Dta=/var/www/html/dta/yong/23617.25903.3.dta&amp;Global_Mod=CS57.0215", "25903")</f>
        <v>25903</v>
      </c>
      <c r="N623" s="10">
        <v>115.33</v>
      </c>
      <c r="O623" s="10">
        <v>115.41</v>
      </c>
      <c r="P623" s="10">
        <v>3.0640000000000001</v>
      </c>
      <c r="Q623" s="10">
        <v>2.536</v>
      </c>
      <c r="R623" s="10">
        <v>2.2496999999999998</v>
      </c>
      <c r="S623" s="10">
        <v>2.3711000000000002</v>
      </c>
      <c r="T623" s="10">
        <v>0.1195</v>
      </c>
      <c r="U623" s="10">
        <v>3.8800000000000001E-2</v>
      </c>
      <c r="V623" s="7">
        <v>1</v>
      </c>
      <c r="W623" s="7">
        <v>1</v>
      </c>
      <c r="X623" s="10">
        <v>2.33</v>
      </c>
      <c r="Y623" s="10">
        <v>1.62</v>
      </c>
      <c r="Z623" s="11">
        <v>1000</v>
      </c>
      <c r="AA623" s="11">
        <v>1000</v>
      </c>
      <c r="AB623" s="7" t="s">
        <v>13</v>
      </c>
    </row>
    <row r="624" spans="1:28" s="12" customFormat="1">
      <c r="A624" s="9" t="s">
        <v>580</v>
      </c>
      <c r="B624" s="9" t="s">
        <v>684</v>
      </c>
      <c r="C624" s="9" t="s">
        <v>685</v>
      </c>
      <c r="D624" s="7">
        <v>470</v>
      </c>
      <c r="E624" s="9" t="s">
        <v>686</v>
      </c>
      <c r="F624" s="7" t="s">
        <v>1406</v>
      </c>
      <c r="G624" s="7">
        <v>129.9</v>
      </c>
      <c r="H624" s="9" t="s">
        <v>690</v>
      </c>
      <c r="I624" s="9" t="s">
        <v>698</v>
      </c>
      <c r="J624" s="7">
        <v>4</v>
      </c>
      <c r="K624" s="7">
        <v>651.59059999999999</v>
      </c>
      <c r="L624" s="7" t="str">
        <f>HYPERLINK("http://ms.phosphosite.org:5080/cgi-bin/plot-msms.cgi?MassType=1&amp;NumAxis=1&amp;Mod12=184&amp;Pep=DPFFLGVSGEPRFPSHLFLEQR&amp;Dta=/var/www/html/dta/yong/23616.25813.4.dta&amp;Global_Mod=CS57.0215", "25813")</f>
        <v>25813</v>
      </c>
      <c r="M624" s="7" t="str">
        <f>HYPERLINK("http://ms.phosphosite.org:5080/cgi-bin/plot-msms.cgi?MassType=1&amp;NumAxis=1&amp;Mod12=184&amp;Pep=DPFFLGVSGEPRFPSHLFLEQR&amp;Dta=/var/www/html/dta/yong/23617.25709.4.dta&amp;Global_Mod=CS57.0215", "25709")</f>
        <v>25709</v>
      </c>
      <c r="N624" s="10">
        <v>115.55</v>
      </c>
      <c r="O624" s="10">
        <v>114.53</v>
      </c>
      <c r="P624" s="10">
        <v>2.819</v>
      </c>
      <c r="Q624" s="10">
        <v>3.0350000000000001</v>
      </c>
      <c r="R624" s="10">
        <v>1.3548</v>
      </c>
      <c r="S624" s="10">
        <v>0.25850000000000001</v>
      </c>
      <c r="T624" s="10">
        <v>0.19550000000000001</v>
      </c>
      <c r="U624" s="10">
        <v>0.24759999999999999</v>
      </c>
      <c r="V624" s="7">
        <v>7</v>
      </c>
      <c r="W624" s="7">
        <v>2</v>
      </c>
      <c r="X624" s="10">
        <v>2.74</v>
      </c>
      <c r="Y624" s="10">
        <v>3.06</v>
      </c>
      <c r="Z624" s="11">
        <v>1000</v>
      </c>
      <c r="AA624" s="11">
        <v>1000</v>
      </c>
      <c r="AB624" s="7" t="s">
        <v>13</v>
      </c>
    </row>
    <row r="625" spans="1:28" s="12" customFormat="1">
      <c r="A625" s="9" t="s">
        <v>580</v>
      </c>
      <c r="B625" s="9" t="s">
        <v>684</v>
      </c>
      <c r="C625" s="9" t="s">
        <v>685</v>
      </c>
      <c r="D625" s="7">
        <v>470</v>
      </c>
      <c r="E625" s="9" t="s">
        <v>686</v>
      </c>
      <c r="F625" s="7" t="s">
        <v>1406</v>
      </c>
      <c r="G625" s="7">
        <v>129.9</v>
      </c>
      <c r="H625" s="9" t="s">
        <v>690</v>
      </c>
      <c r="I625" s="9" t="s">
        <v>698</v>
      </c>
      <c r="J625" s="7">
        <v>4</v>
      </c>
      <c r="K625" s="7">
        <v>651.59059999999999</v>
      </c>
      <c r="L625" s="7" t="str">
        <f>HYPERLINK("http://ms.phosphosite.org:5080/cgi-bin/plot-msms.cgi?MassType=1&amp;NumAxis=1&amp;Mod12=184&amp;Pep=DPFFLGVSGEPRFPSHLFLEQR&amp;Dta=/var/www/html/dta/yong/23616.25872.4.dta&amp;Global_Mod=CS57.0215", "25872")</f>
        <v>25872</v>
      </c>
      <c r="M625" s="7" t="str">
        <f>HYPERLINK("http://ms.phosphosite.org:5080/cgi-bin/plot-msms.cgi?MassType=1&amp;NumAxis=1&amp;Mod12=184&amp;Pep=DPFFLGVSGEPRFPSHLFLEQR&amp;Dta=/var/www/html/dta/yong/23617.25376.4.dta&amp;Global_Mod=CS57.0215", "25376")</f>
        <v>25376</v>
      </c>
      <c r="N625" s="10">
        <v>115.81</v>
      </c>
      <c r="O625" s="10">
        <v>113.16</v>
      </c>
      <c r="P625" s="10">
        <v>2.8969999999999998</v>
      </c>
      <c r="Q625" s="10">
        <v>2.9220000000000002</v>
      </c>
      <c r="R625" s="10">
        <v>1.8494999999999999</v>
      </c>
      <c r="S625" s="10">
        <v>0.65169999999999995</v>
      </c>
      <c r="T625" s="10">
        <v>0.1017</v>
      </c>
      <c r="U625" s="10">
        <v>0.1308</v>
      </c>
      <c r="V625" s="7">
        <v>2</v>
      </c>
      <c r="W625" s="7">
        <v>2</v>
      </c>
      <c r="X625" s="10">
        <v>2.21</v>
      </c>
      <c r="Y625" s="10">
        <v>2.35</v>
      </c>
      <c r="Z625" s="11">
        <v>1000</v>
      </c>
      <c r="AA625" s="11">
        <v>1000</v>
      </c>
      <c r="AB625" s="7" t="s">
        <v>13</v>
      </c>
    </row>
    <row r="626" spans="1:28" s="12" customFormat="1">
      <c r="A626" s="9" t="s">
        <v>580</v>
      </c>
      <c r="B626" s="9" t="s">
        <v>684</v>
      </c>
      <c r="C626" s="9" t="s">
        <v>685</v>
      </c>
      <c r="D626" s="7">
        <v>470</v>
      </c>
      <c r="E626" s="9" t="s">
        <v>686</v>
      </c>
      <c r="F626" s="7" t="s">
        <v>1406</v>
      </c>
      <c r="G626" s="7">
        <v>129.9</v>
      </c>
      <c r="H626" s="9" t="s">
        <v>690</v>
      </c>
      <c r="I626" s="9" t="s">
        <v>694</v>
      </c>
      <c r="J626" s="7">
        <v>3</v>
      </c>
      <c r="K626" s="7">
        <v>693.02290000000005</v>
      </c>
      <c r="L626" s="7" t="str">
        <f>HYPERLINK("http://ms.phosphosite.org:5080/cgi-bin/plot-msms.cgi?MassType=1&amp;NumAxis=1&amp;Mod12=184&amp;Pep=DPFFLGVSGEPRFPSHLF&amp;Dta=/var/www/html/dta/yong/23616.27878.3.dta&amp;Global_Mod=CS57.0215", "27878")</f>
        <v>27878</v>
      </c>
      <c r="M626" s="7" t="str">
        <f>HYPERLINK("http://ms.phosphosite.org:5080/cgi-bin/plot-msms.cgi?MassType=1&amp;NumAxis=1&amp;Mod12=184&amp;Pep=DPFFLGVSGEPRFPSHLF&amp;Dta=/var/www/html/dta/yong/23617.28095.3.dta&amp;Global_Mod=CS57.0215", "28095")</f>
        <v>28095</v>
      </c>
      <c r="N626" s="10">
        <v>124.78</v>
      </c>
      <c r="O626" s="10">
        <v>125.34</v>
      </c>
      <c r="P626" s="10">
        <v>3.5329999999999999</v>
      </c>
      <c r="Q626" s="10">
        <v>2.83</v>
      </c>
      <c r="R626" s="10">
        <v>0.75570000000000004</v>
      </c>
      <c r="S626" s="10">
        <v>0.73970000000000002</v>
      </c>
      <c r="T626" s="10">
        <v>0.38100000000000001</v>
      </c>
      <c r="U626" s="10">
        <v>0.27260000000000001</v>
      </c>
      <c r="V626" s="7">
        <v>1</v>
      </c>
      <c r="W626" s="7">
        <v>1</v>
      </c>
      <c r="X626" s="10">
        <v>4.05</v>
      </c>
      <c r="Y626" s="10">
        <v>3.15</v>
      </c>
      <c r="Z626" s="11">
        <v>1000</v>
      </c>
      <c r="AA626" s="11">
        <v>1000</v>
      </c>
      <c r="AB626" s="7" t="s">
        <v>13</v>
      </c>
    </row>
    <row r="627" spans="1:28" s="12" customFormat="1">
      <c r="A627" s="9" t="s">
        <v>580</v>
      </c>
      <c r="B627" s="9" t="s">
        <v>684</v>
      </c>
      <c r="C627" s="9" t="s">
        <v>685</v>
      </c>
      <c r="D627" s="7">
        <v>470</v>
      </c>
      <c r="E627" s="9" t="s">
        <v>686</v>
      </c>
      <c r="F627" s="7" t="s">
        <v>1406</v>
      </c>
      <c r="G627" s="7">
        <v>129.9</v>
      </c>
      <c r="H627" s="9" t="s">
        <v>690</v>
      </c>
      <c r="I627" s="9" t="s">
        <v>694</v>
      </c>
      <c r="J627" s="7">
        <v>3</v>
      </c>
      <c r="K627" s="7">
        <v>693.02290000000005</v>
      </c>
      <c r="L627" s="7" t="str">
        <f>HYPERLINK("http://ms.phosphosite.org:5080/cgi-bin/plot-msms.cgi?MassType=1&amp;NumAxis=1&amp;Mod12=184&amp;Pep=DPFFLGVSGEPRFPSHLF&amp;Dta=/var/www/html/dta/yong/23616.28026.3.dta&amp;Global_Mod=CS57.0215", "28026")</f>
        <v>28026</v>
      </c>
      <c r="M627" s="7" t="str">
        <f>HYPERLINK("http://ms.phosphosite.org:5080/cgi-bin/plot-msms.cgi?MassType=1&amp;NumAxis=1&amp;Mod12=184&amp;Pep=DPFFLGVSGEPRFPSHLF&amp;Dta=/var/www/html/dta/yong/23617.27937.3.dta&amp;Global_Mod=CS57.0215", "27937")</f>
        <v>27937</v>
      </c>
      <c r="N627" s="10">
        <v>125.43</v>
      </c>
      <c r="O627" s="10">
        <v>124.62</v>
      </c>
      <c r="P627" s="10">
        <v>2.8170000000000002</v>
      </c>
      <c r="Q627" s="10">
        <v>3.5720000000000001</v>
      </c>
      <c r="R627" s="10">
        <v>0.81920000000000004</v>
      </c>
      <c r="S627" s="10">
        <v>0.754</v>
      </c>
      <c r="T627" s="10">
        <v>0.29809999999999998</v>
      </c>
      <c r="U627" s="10">
        <v>0.20680000000000001</v>
      </c>
      <c r="V627" s="7">
        <v>2</v>
      </c>
      <c r="W627" s="7">
        <v>2</v>
      </c>
      <c r="X627" s="10">
        <v>3.37</v>
      </c>
      <c r="Y627" s="10">
        <v>3</v>
      </c>
      <c r="Z627" s="11">
        <v>1000</v>
      </c>
      <c r="AA627" s="11">
        <v>1000</v>
      </c>
      <c r="AB627" s="7" t="s">
        <v>13</v>
      </c>
    </row>
    <row r="628" spans="1:28" s="12" customFormat="1">
      <c r="A628" s="9" t="s">
        <v>580</v>
      </c>
      <c r="B628" s="9" t="s">
        <v>684</v>
      </c>
      <c r="C628" s="9" t="s">
        <v>685</v>
      </c>
      <c r="D628" s="7">
        <v>470</v>
      </c>
      <c r="E628" s="9" t="s">
        <v>686</v>
      </c>
      <c r="F628" s="7" t="s">
        <v>1406</v>
      </c>
      <c r="G628" s="7">
        <v>129.9</v>
      </c>
      <c r="H628" s="9" t="s">
        <v>690</v>
      </c>
      <c r="I628" s="9" t="s">
        <v>694</v>
      </c>
      <c r="J628" s="7">
        <v>3</v>
      </c>
      <c r="K628" s="7">
        <v>693.02290000000005</v>
      </c>
      <c r="L628" s="7" t="str">
        <f>HYPERLINK("http://ms.phosphosite.org:5080/cgi-bin/plot-msms.cgi?MassType=1&amp;NumAxis=1&amp;Mod12=184&amp;Pep=DPFFLGVSGEPRFPSHLF&amp;Dta=/var/www/html/dta/yong/23616.28045.3.dta&amp;Global_Mod=CS57.0215", "28045")</f>
        <v>28045</v>
      </c>
      <c r="M628" s="7" t="str">
        <f>HYPERLINK("http://ms.phosphosite.org:5080/cgi-bin/plot-msms.cgi?MassType=1&amp;NumAxis=1&amp;Mod12=184&amp;Pep=DPFFLGVSGEPRFPSHLF&amp;Dta=/var/www/html/dta/yong/23617.28143.3.dta&amp;Global_Mod=CS57.0215", "28143")</f>
        <v>28143</v>
      </c>
      <c r="N628" s="10">
        <v>125.51</v>
      </c>
      <c r="O628" s="10">
        <v>125.56</v>
      </c>
      <c r="P628" s="10">
        <v>3.52</v>
      </c>
      <c r="Q628" s="10">
        <v>2.5270000000000001</v>
      </c>
      <c r="R628" s="10">
        <v>0.90969999999999995</v>
      </c>
      <c r="S628" s="10">
        <v>0.85340000000000005</v>
      </c>
      <c r="T628" s="10">
        <v>0.315</v>
      </c>
      <c r="U628" s="10">
        <v>0.16220000000000001</v>
      </c>
      <c r="V628" s="7">
        <v>1</v>
      </c>
      <c r="W628" s="7">
        <v>1</v>
      </c>
      <c r="X628" s="10">
        <v>3.67</v>
      </c>
      <c r="Y628" s="10">
        <v>2.4300000000000002</v>
      </c>
      <c r="Z628" s="11">
        <v>1000</v>
      </c>
      <c r="AA628" s="11">
        <v>1000</v>
      </c>
      <c r="AB628" s="7" t="s">
        <v>13</v>
      </c>
    </row>
    <row r="629" spans="1:28" s="12" customFormat="1">
      <c r="A629" s="9" t="s">
        <v>580</v>
      </c>
      <c r="B629" s="9" t="s">
        <v>684</v>
      </c>
      <c r="C629" s="9" t="s">
        <v>685</v>
      </c>
      <c r="D629" s="7">
        <v>470</v>
      </c>
      <c r="E629" s="9" t="s">
        <v>686</v>
      </c>
      <c r="F629" s="7" t="s">
        <v>1406</v>
      </c>
      <c r="G629" s="7">
        <v>129.9</v>
      </c>
      <c r="H629" s="9" t="s">
        <v>690</v>
      </c>
      <c r="I629" s="9" t="s">
        <v>697</v>
      </c>
      <c r="J629" s="7">
        <v>3</v>
      </c>
      <c r="K629" s="7">
        <v>816.41800000000001</v>
      </c>
      <c r="L629" s="7" t="str">
        <f>HYPERLINK("http://ms.phosphosite.org:5080/cgi-bin/plot-msms.cgi?MassType=1&amp;NumAxis=1&amp;Mod12=184&amp;Pep=DPFFLGVSGEPRFPSHLFLEQ&amp;Dta=/var/www/html/dta/yong/23616.28269.3.dta&amp;Global_Mod=CS57.0215", "28269")</f>
        <v>28269</v>
      </c>
      <c r="M629" s="7" t="str">
        <f>HYPERLINK("http://ms.phosphosite.org:5080/cgi-bin/plot-msms.cgi?MassType=1&amp;NumAxis=1&amp;Mod12=184&amp;Pep=DPFFLGVSGEPRFPSHLFLEQ&amp;Dta=/var/www/html/dta/yong/23617.28363.3.dta&amp;Global_Mod=CS57.0215", "28363")</f>
        <v>28363</v>
      </c>
      <c r="N629" s="10">
        <v>126.54</v>
      </c>
      <c r="O629" s="10">
        <v>126.61</v>
      </c>
      <c r="P629" s="10">
        <v>3.617</v>
      </c>
      <c r="Q629" s="10">
        <v>3.9929999999999999</v>
      </c>
      <c r="R629" s="10">
        <v>1.2184999999999999</v>
      </c>
      <c r="S629" s="10">
        <v>1.0919000000000001</v>
      </c>
      <c r="T629" s="10">
        <v>0.3488</v>
      </c>
      <c r="U629" s="10">
        <v>0.32319999999999999</v>
      </c>
      <c r="V629" s="7">
        <v>1</v>
      </c>
      <c r="W629" s="7">
        <v>1</v>
      </c>
      <c r="X629" s="10">
        <v>3.85</v>
      </c>
      <c r="Y629" s="10">
        <v>3.74</v>
      </c>
      <c r="Z629" s="11">
        <v>1000</v>
      </c>
      <c r="AA629" s="11">
        <v>1000</v>
      </c>
      <c r="AB629" s="7" t="s">
        <v>13</v>
      </c>
    </row>
    <row r="630" spans="1:28" s="12" customFormat="1">
      <c r="A630" s="9" t="s">
        <v>580</v>
      </c>
      <c r="B630" s="9" t="s">
        <v>684</v>
      </c>
      <c r="C630" s="9" t="s">
        <v>685</v>
      </c>
      <c r="D630" s="7">
        <v>470</v>
      </c>
      <c r="E630" s="9" t="s">
        <v>686</v>
      </c>
      <c r="F630" s="7" t="s">
        <v>1406</v>
      </c>
      <c r="G630" s="7">
        <v>129.9</v>
      </c>
      <c r="H630" s="9" t="s">
        <v>690</v>
      </c>
      <c r="I630" s="9" t="s">
        <v>696</v>
      </c>
      <c r="J630" s="7">
        <v>3</v>
      </c>
      <c r="K630" s="7">
        <v>773.73180000000002</v>
      </c>
      <c r="L630" s="7" t="str">
        <f>HYPERLINK("http://ms.phosphosite.org:5080/cgi-bin/plot-msms.cgi?MassType=1&amp;NumAxis=1&amp;Mod12=184&amp;Pep=DPFFLGVSGEPRFPSHLFLE&amp;Dta=/var/www/html/dta/yong/23616.28858.3.dta&amp;Global_Mod=CS57.0215", "28858")</f>
        <v>28858</v>
      </c>
      <c r="M630" s="7" t="str">
        <f>HYPERLINK("http://ms.phosphosite.org:5080/cgi-bin/plot-msms.cgi?MassType=1&amp;NumAxis=1&amp;Mod12=184&amp;Pep=DPFFLGVSGEPRFPSHLFLE&amp;Dta=/var/www/html/dta/yong/23617.28921.3.dta&amp;Global_Mod=CS57.0215", "28921")</f>
        <v>28921</v>
      </c>
      <c r="N630" s="10">
        <v>129.37</v>
      </c>
      <c r="O630" s="10">
        <v>129.31</v>
      </c>
      <c r="P630" s="10">
        <v>3.2930000000000001</v>
      </c>
      <c r="Q630" s="10">
        <v>3.9809999999999999</v>
      </c>
      <c r="R630" s="10">
        <v>1.2350000000000001</v>
      </c>
      <c r="S630" s="10">
        <v>1.0089999999999999</v>
      </c>
      <c r="T630" s="10">
        <v>0.2767</v>
      </c>
      <c r="U630" s="10">
        <v>0.32169999999999999</v>
      </c>
      <c r="V630" s="7">
        <v>1</v>
      </c>
      <c r="W630" s="7">
        <v>1</v>
      </c>
      <c r="X630" s="10">
        <v>3.35</v>
      </c>
      <c r="Y630" s="10">
        <v>3.74</v>
      </c>
      <c r="Z630" s="11">
        <v>1000</v>
      </c>
      <c r="AA630" s="11">
        <v>1000</v>
      </c>
      <c r="AB630" s="7" t="s">
        <v>13</v>
      </c>
    </row>
    <row r="631" spans="1:28" s="12" customFormat="1">
      <c r="A631" s="9" t="s">
        <v>580</v>
      </c>
      <c r="B631" s="9" t="s">
        <v>684</v>
      </c>
      <c r="C631" s="9" t="s">
        <v>685</v>
      </c>
      <c r="D631" s="7">
        <v>470</v>
      </c>
      <c r="E631" s="9" t="s">
        <v>686</v>
      </c>
      <c r="F631" s="7" t="s">
        <v>1406</v>
      </c>
      <c r="G631" s="7">
        <v>129.9</v>
      </c>
      <c r="H631" s="9" t="s">
        <v>690</v>
      </c>
      <c r="I631" s="9" t="s">
        <v>696</v>
      </c>
      <c r="J631" s="7">
        <v>3</v>
      </c>
      <c r="K631" s="7">
        <v>773.73180000000002</v>
      </c>
      <c r="L631" s="7" t="str">
        <f>HYPERLINK("http://ms.phosphosite.org:5080/cgi-bin/plot-msms.cgi?MassType=1&amp;NumAxis=1&amp;Mod12=184&amp;Pep=DPFFLGVSGEPRFPSHLFLE&amp;Dta=/var/www/html/dta/yong/23616.29010.3.dta&amp;Global_Mod=CS57.0215", "29010")</f>
        <v>29010</v>
      </c>
      <c r="M631" s="7" t="str">
        <f>HYPERLINK("http://ms.phosphosite.org:5080/cgi-bin/plot-msms.cgi?MassType=1&amp;NumAxis=1&amp;Mod12=184&amp;Pep=DPFFLGVSGEPRFPSHLFLE&amp;Dta=/var/www/html/dta/yong/23617.29064.3.dta&amp;Global_Mod=CS57.0215", "29064")</f>
        <v>29064</v>
      </c>
      <c r="N631" s="10">
        <v>130.1</v>
      </c>
      <c r="O631" s="10">
        <v>129.99</v>
      </c>
      <c r="P631" s="10">
        <v>3.5939999999999999</v>
      </c>
      <c r="Q631" s="10">
        <v>3.3069999999999999</v>
      </c>
      <c r="R631" s="10">
        <v>1.2161999999999999</v>
      </c>
      <c r="S631" s="10">
        <v>0.97829999999999995</v>
      </c>
      <c r="T631" s="10">
        <v>0.2772</v>
      </c>
      <c r="U631" s="10">
        <v>0.27050000000000002</v>
      </c>
      <c r="V631" s="7">
        <v>1</v>
      </c>
      <c r="W631" s="7">
        <v>3</v>
      </c>
      <c r="X631" s="10">
        <v>3.44</v>
      </c>
      <c r="Y631" s="10">
        <v>3.25</v>
      </c>
      <c r="Z631" s="11">
        <v>1000</v>
      </c>
      <c r="AA631" s="11">
        <v>1000</v>
      </c>
      <c r="AB631" s="7" t="s">
        <v>13</v>
      </c>
    </row>
    <row r="632" spans="1:28" s="12" customFormat="1">
      <c r="A632" s="9" t="s">
        <v>580</v>
      </c>
      <c r="B632" s="9" t="s">
        <v>684</v>
      </c>
      <c r="C632" s="9" t="s">
        <v>685</v>
      </c>
      <c r="D632" s="7">
        <v>470</v>
      </c>
      <c r="E632" s="9" t="s">
        <v>686</v>
      </c>
      <c r="F632" s="7" t="s">
        <v>1406</v>
      </c>
      <c r="G632" s="7">
        <v>129.9</v>
      </c>
      <c r="H632" s="9" t="s">
        <v>690</v>
      </c>
      <c r="I632" s="9" t="s">
        <v>695</v>
      </c>
      <c r="J632" s="7">
        <v>3</v>
      </c>
      <c r="K632" s="7">
        <v>730.71759999999995</v>
      </c>
      <c r="L632" s="7" t="str">
        <f>HYPERLINK("http://ms.phosphosite.org:5080/cgi-bin/plot-msms.cgi?MassType=1&amp;NumAxis=1&amp;Mod12=184&amp;Pep=DPFFLGVSGEPRFPSHLFL&amp;Dta=/var/www/html/dta/yong/23616.29744.3.dta&amp;Global_Mod=CS57.0215", "29744")</f>
        <v>29744</v>
      </c>
      <c r="M632" s="7"/>
      <c r="N632" s="10">
        <v>133.47999999999999</v>
      </c>
      <c r="O632" s="10"/>
      <c r="P632" s="10">
        <v>3.786</v>
      </c>
      <c r="Q632" s="10"/>
      <c r="R632" s="10">
        <v>1.9095</v>
      </c>
      <c r="S632" s="10"/>
      <c r="T632" s="10">
        <v>0.31979999999999997</v>
      </c>
      <c r="U632" s="10"/>
      <c r="V632" s="7">
        <v>1</v>
      </c>
      <c r="W632" s="7"/>
      <c r="X632" s="10">
        <v>3.72</v>
      </c>
      <c r="Y632" s="10"/>
      <c r="Z632" s="11">
        <v>1000</v>
      </c>
      <c r="AA632" s="11"/>
      <c r="AB632" s="7" t="s">
        <v>13</v>
      </c>
    </row>
    <row r="633" spans="1:28" s="12" customFormat="1">
      <c r="A633" s="9" t="s">
        <v>580</v>
      </c>
      <c r="B633" s="9" t="s">
        <v>684</v>
      </c>
      <c r="C633" s="9" t="s">
        <v>685</v>
      </c>
      <c r="D633" s="7">
        <v>470</v>
      </c>
      <c r="E633" s="9" t="s">
        <v>686</v>
      </c>
      <c r="F633" s="7" t="s">
        <v>1406</v>
      </c>
      <c r="G633" s="7">
        <v>129.9</v>
      </c>
      <c r="H633" s="9" t="s">
        <v>690</v>
      </c>
      <c r="I633" s="9" t="s">
        <v>695</v>
      </c>
      <c r="J633" s="7">
        <v>3</v>
      </c>
      <c r="K633" s="7">
        <v>730.71759999999995</v>
      </c>
      <c r="L633" s="7" t="str">
        <f>HYPERLINK("http://ms.phosphosite.org:5080/cgi-bin/plot-msms.cgi?MassType=1&amp;NumAxis=1&amp;Mod12=184&amp;Pep=DPFFLGVSGEPRFPSHLFL&amp;Dta=/var/www/html/dta/yong/23616.29759.3.dta&amp;Global_Mod=CS57.0215", "29759")</f>
        <v>29759</v>
      </c>
      <c r="M633" s="7" t="str">
        <f>HYPERLINK("http://ms.phosphosite.org:5080/cgi-bin/plot-msms.cgi?MassType=1&amp;NumAxis=1&amp;Mod12=184&amp;Pep=DPFFLGVSGEPRFPSHLFL&amp;Dta=/var/www/html/dta/yong/23617.29822.3.dta&amp;Global_Mod=CS57.0215", "29822")</f>
        <v>29822</v>
      </c>
      <c r="N633" s="10">
        <v>133.55000000000001</v>
      </c>
      <c r="O633" s="10">
        <v>133.57</v>
      </c>
      <c r="P633" s="10">
        <v>3.52</v>
      </c>
      <c r="Q633" s="10">
        <v>3.3420000000000001</v>
      </c>
      <c r="R633" s="10">
        <v>1.7553000000000001</v>
      </c>
      <c r="S633" s="10">
        <v>0.37969999999999998</v>
      </c>
      <c r="T633" s="10">
        <v>0.28170000000000001</v>
      </c>
      <c r="U633" s="10">
        <v>0.1754</v>
      </c>
      <c r="V633" s="7">
        <v>1</v>
      </c>
      <c r="W633" s="7">
        <v>1</v>
      </c>
      <c r="X633" s="10">
        <v>3.43</v>
      </c>
      <c r="Y633" s="10">
        <v>2.76</v>
      </c>
      <c r="Z633" s="11">
        <v>1000</v>
      </c>
      <c r="AA633" s="11">
        <v>1000</v>
      </c>
      <c r="AB633" s="7" t="s">
        <v>13</v>
      </c>
    </row>
    <row r="634" spans="1:28" s="12" customFormat="1">
      <c r="A634" s="9" t="s">
        <v>580</v>
      </c>
      <c r="B634" s="9" t="s">
        <v>684</v>
      </c>
      <c r="C634" s="9" t="s">
        <v>685</v>
      </c>
      <c r="D634" s="7">
        <v>470</v>
      </c>
      <c r="E634" s="9" t="s">
        <v>686</v>
      </c>
      <c r="F634" s="7" t="s">
        <v>1406</v>
      </c>
      <c r="G634" s="7">
        <v>129.9</v>
      </c>
      <c r="H634" s="9" t="s">
        <v>690</v>
      </c>
      <c r="I634" s="9" t="s">
        <v>695</v>
      </c>
      <c r="J634" s="7">
        <v>3</v>
      </c>
      <c r="K634" s="7">
        <v>730.71759999999995</v>
      </c>
      <c r="L634" s="7" t="str">
        <f>HYPERLINK("http://ms.phosphosite.org:5080/cgi-bin/plot-msms.cgi?MassType=1&amp;NumAxis=1&amp;Mod12=184&amp;Pep=DPFFLGVSGEPRFPSHLFL&amp;Dta=/var/www/html/dta/yong/23616.29775.3.dta&amp;Global_Mod=CS57.0215", "29775")</f>
        <v>29775</v>
      </c>
      <c r="M634" s="7" t="str">
        <f>HYPERLINK("http://ms.phosphosite.org:5080/cgi-bin/plot-msms.cgi?MassType=1&amp;NumAxis=1&amp;Mod12=184&amp;Pep=DPFFLGVSGEPRFPSHLFL&amp;Dta=/var/www/html/dta/yong/23617.29838.3.dta&amp;Global_Mod=CS57.0215", "29838")</f>
        <v>29838</v>
      </c>
      <c r="N634" s="10">
        <v>133.62</v>
      </c>
      <c r="O634" s="10">
        <v>133.65</v>
      </c>
      <c r="P634" s="10">
        <v>3.552</v>
      </c>
      <c r="Q634" s="10">
        <v>3.8639999999999999</v>
      </c>
      <c r="R634" s="10">
        <v>1.5159</v>
      </c>
      <c r="S634" s="10">
        <v>0.46210000000000001</v>
      </c>
      <c r="T634" s="10">
        <v>0.23599999999999999</v>
      </c>
      <c r="U634" s="10">
        <v>0.32319999999999999</v>
      </c>
      <c r="V634" s="7">
        <v>1</v>
      </c>
      <c r="W634" s="7">
        <v>2</v>
      </c>
      <c r="X634" s="10">
        <v>3.19</v>
      </c>
      <c r="Y634" s="10">
        <v>3.75</v>
      </c>
      <c r="Z634" s="11">
        <v>1000</v>
      </c>
      <c r="AA634" s="11">
        <v>1000</v>
      </c>
      <c r="AB634" s="7" t="s">
        <v>13</v>
      </c>
    </row>
    <row r="635" spans="1:28" s="12" customFormat="1">
      <c r="A635" s="9" t="s">
        <v>580</v>
      </c>
      <c r="B635" s="9" t="s">
        <v>684</v>
      </c>
      <c r="C635" s="9" t="s">
        <v>685</v>
      </c>
      <c r="D635" s="7">
        <v>470</v>
      </c>
      <c r="E635" s="9" t="s">
        <v>686</v>
      </c>
      <c r="F635" s="7" t="s">
        <v>1406</v>
      </c>
      <c r="G635" s="7">
        <v>129.9</v>
      </c>
      <c r="H635" s="9" t="s">
        <v>690</v>
      </c>
      <c r="I635" s="9" t="s">
        <v>695</v>
      </c>
      <c r="J635" s="7">
        <v>3</v>
      </c>
      <c r="K635" s="7">
        <v>730.71759999999995</v>
      </c>
      <c r="L635" s="7" t="str">
        <f>HYPERLINK("http://ms.phosphosite.org:5080/cgi-bin/plot-msms.cgi?MassType=1&amp;NumAxis=1&amp;Mod12=184&amp;Pep=DPFFLGVSGEPRFPSHLFL&amp;Dta=/var/www/html/dta/yong/23616.29803.3.dta&amp;Global_Mod=CS57.0215", "29803")</f>
        <v>29803</v>
      </c>
      <c r="M635" s="7" t="str">
        <f>HYPERLINK("http://ms.phosphosite.org:5080/cgi-bin/plot-msms.cgi?MassType=1&amp;NumAxis=1&amp;Mod12=184&amp;Pep=DPFFLGVSGEPRFPSHLFL&amp;Dta=/var/www/html/dta/yong/23617.29815.3.dta&amp;Global_Mod=CS57.0215", "29815")</f>
        <v>29815</v>
      </c>
      <c r="N635" s="10">
        <v>133.75</v>
      </c>
      <c r="O635" s="10">
        <v>133.53</v>
      </c>
      <c r="P635" s="10">
        <v>3.726</v>
      </c>
      <c r="Q635" s="10">
        <v>3.7869999999999999</v>
      </c>
      <c r="R635" s="10">
        <v>1.4145000000000001</v>
      </c>
      <c r="S635" s="10">
        <v>0.31609999999999999</v>
      </c>
      <c r="T635" s="10">
        <v>0.2868</v>
      </c>
      <c r="U635" s="10">
        <v>0.32479999999999998</v>
      </c>
      <c r="V635" s="7">
        <v>2</v>
      </c>
      <c r="W635" s="7">
        <v>1</v>
      </c>
      <c r="X635" s="10">
        <v>3.54</v>
      </c>
      <c r="Y635" s="10">
        <v>3.74</v>
      </c>
      <c r="Z635" s="11">
        <v>1000</v>
      </c>
      <c r="AA635" s="11">
        <v>1000</v>
      </c>
      <c r="AB635" s="7" t="s">
        <v>13</v>
      </c>
    </row>
    <row r="636" spans="1:28" s="12" customFormat="1">
      <c r="A636" s="9" t="s">
        <v>580</v>
      </c>
      <c r="B636" s="9" t="s">
        <v>684</v>
      </c>
      <c r="C636" s="9" t="s">
        <v>685</v>
      </c>
      <c r="D636" s="7">
        <v>470</v>
      </c>
      <c r="E636" s="9" t="s">
        <v>686</v>
      </c>
      <c r="F636" s="7" t="s">
        <v>1406</v>
      </c>
      <c r="G636" s="7">
        <v>129.9</v>
      </c>
      <c r="H636" s="9" t="s">
        <v>690</v>
      </c>
      <c r="I636" s="9" t="s">
        <v>703</v>
      </c>
      <c r="J636" s="7">
        <v>4</v>
      </c>
      <c r="K636" s="7">
        <v>622.83389999999997</v>
      </c>
      <c r="L636" s="7"/>
      <c r="M636" s="7" t="str">
        <f>HYPERLINK("http://ms.phosphosite.org:5080/cgi-bin/plot-msms.cgi?MassType=1&amp;NumAxis=1&amp;Mod11=184&amp;Pep=PFFLGVSGEPRFPSHLFLEQR&amp;Dta=/var/www/html/dta/yong/23617.24324.4.dta&amp;Global_Mod=CS57.0215", "24324")</f>
        <v>24324</v>
      </c>
      <c r="N636" s="10"/>
      <c r="O636" s="10">
        <v>108.9</v>
      </c>
      <c r="P636" s="10"/>
      <c r="Q636" s="10">
        <v>3.9079999999999999</v>
      </c>
      <c r="R636" s="10"/>
      <c r="S636" s="10">
        <v>0.40870000000000001</v>
      </c>
      <c r="T636" s="10"/>
      <c r="U636" s="10">
        <v>0.27839999999999998</v>
      </c>
      <c r="V636" s="7"/>
      <c r="W636" s="7">
        <v>1</v>
      </c>
      <c r="X636" s="10"/>
      <c r="Y636" s="10">
        <v>3.51</v>
      </c>
      <c r="Z636" s="11"/>
      <c r="AA636" s="11">
        <v>1000</v>
      </c>
      <c r="AB636" s="7" t="s">
        <v>13</v>
      </c>
    </row>
    <row r="637" spans="1:28" s="12" customFormat="1">
      <c r="A637" s="9" t="s">
        <v>580</v>
      </c>
      <c r="B637" s="9" t="s">
        <v>684</v>
      </c>
      <c r="C637" s="9" t="s">
        <v>685</v>
      </c>
      <c r="D637" s="7">
        <v>470</v>
      </c>
      <c r="E637" s="9" t="s">
        <v>686</v>
      </c>
      <c r="F637" s="7" t="s">
        <v>1406</v>
      </c>
      <c r="G637" s="7">
        <v>129.9</v>
      </c>
      <c r="H637" s="9" t="s">
        <v>690</v>
      </c>
      <c r="I637" s="9" t="s">
        <v>691</v>
      </c>
      <c r="J637" s="7">
        <v>2</v>
      </c>
      <c r="K637" s="7">
        <v>840.42499999999995</v>
      </c>
      <c r="L637" s="7"/>
      <c r="M637" s="7" t="str">
        <f>HYPERLINK("http://ms.phosphosite.org:5080/cgi-bin/plot-msms.cgi?MassType=1&amp;NumAxis=1&amp;Mod12=184&amp;Pep=DPFFLGVSGEPRFPS&amp;Dta=/var/www/html/dta/yong/23617.25022.2.dta&amp;Global_Mod=CS57.0215", "25022")</f>
        <v>25022</v>
      </c>
      <c r="N637" s="10"/>
      <c r="O637" s="10">
        <v>111.68</v>
      </c>
      <c r="P637" s="10"/>
      <c r="Q637" s="10">
        <v>3.5089999999999999</v>
      </c>
      <c r="R637" s="10"/>
      <c r="S637" s="10">
        <v>1.3628</v>
      </c>
      <c r="T637" s="10"/>
      <c r="U637" s="10">
        <v>0.43630000000000002</v>
      </c>
      <c r="V637" s="7"/>
      <c r="W637" s="7">
        <v>1</v>
      </c>
      <c r="X637" s="10"/>
      <c r="Y637" s="10">
        <v>4.2699999999999996</v>
      </c>
      <c r="Z637" s="11"/>
      <c r="AA637" s="11">
        <v>1000</v>
      </c>
      <c r="AB637" s="7" t="s">
        <v>13</v>
      </c>
    </row>
    <row r="638" spans="1:28" s="12" customFormat="1">
      <c r="A638" s="9" t="s">
        <v>580</v>
      </c>
      <c r="B638" s="9" t="s">
        <v>684</v>
      </c>
      <c r="C638" s="9" t="s">
        <v>685</v>
      </c>
      <c r="D638" s="7">
        <v>470</v>
      </c>
      <c r="E638" s="9" t="s">
        <v>686</v>
      </c>
      <c r="F638" s="7" t="s">
        <v>1406</v>
      </c>
      <c r="G638" s="7">
        <v>129.9</v>
      </c>
      <c r="H638" s="9" t="s">
        <v>690</v>
      </c>
      <c r="I638" s="9" t="s">
        <v>698</v>
      </c>
      <c r="J638" s="7">
        <v>3</v>
      </c>
      <c r="K638" s="7">
        <v>868.45169999999996</v>
      </c>
      <c r="L638" s="7"/>
      <c r="M638" s="7" t="str">
        <f>HYPERLINK("http://ms.phosphosite.org:5080/cgi-bin/plot-msms.cgi?MassType=1&amp;NumAxis=1&amp;Mod12=184&amp;Pep=DPFFLGVSGEPRFPSHLFLEQR&amp;Dta=/var/www/html/dta/yong/23617.25385.3.dta&amp;Global_Mod=CS57.0215", "25385")</f>
        <v>25385</v>
      </c>
      <c r="N638" s="10"/>
      <c r="O638" s="10">
        <v>113.2</v>
      </c>
      <c r="P638" s="10"/>
      <c r="Q638" s="10">
        <v>3.516</v>
      </c>
      <c r="R638" s="10"/>
      <c r="S638" s="10">
        <v>0.9274</v>
      </c>
      <c r="T638" s="10"/>
      <c r="U638" s="10">
        <v>0.39789999999999998</v>
      </c>
      <c r="V638" s="7"/>
      <c r="W638" s="7">
        <v>1</v>
      </c>
      <c r="X638" s="10"/>
      <c r="Y638" s="10">
        <v>4.01</v>
      </c>
      <c r="Z638" s="11"/>
      <c r="AA638" s="11">
        <v>1000</v>
      </c>
      <c r="AB638" s="7" t="s">
        <v>13</v>
      </c>
    </row>
    <row r="639" spans="1:28" s="12" customFormat="1">
      <c r="A639" s="9" t="s">
        <v>580</v>
      </c>
      <c r="B639" s="9" t="s">
        <v>684</v>
      </c>
      <c r="C639" s="9" t="s">
        <v>685</v>
      </c>
      <c r="D639" s="7">
        <v>470</v>
      </c>
      <c r="E639" s="9" t="s">
        <v>686</v>
      </c>
      <c r="F639" s="7" t="s">
        <v>1406</v>
      </c>
      <c r="G639" s="7">
        <v>129.9</v>
      </c>
      <c r="H639" s="9" t="s">
        <v>690</v>
      </c>
      <c r="I639" s="9" t="s">
        <v>698</v>
      </c>
      <c r="J639" s="7">
        <v>4</v>
      </c>
      <c r="K639" s="7">
        <v>651.59059999999999</v>
      </c>
      <c r="L639" s="7"/>
      <c r="M639" s="7" t="str">
        <f>HYPERLINK("http://ms.phosphosite.org:5080/cgi-bin/plot-msms.cgi?MassType=1&amp;NumAxis=1&amp;Mod12=184&amp;Pep=DPFFLGVSGEPRFPSHLFLEQR&amp;Dta=/var/www/html/dta/yong/23617.25534.4.dta&amp;Global_Mod=CS57.0215", "25534")</f>
        <v>25534</v>
      </c>
      <c r="N639" s="10"/>
      <c r="O639" s="10">
        <v>113.83</v>
      </c>
      <c r="P639" s="10"/>
      <c r="Q639" s="10">
        <v>3.4329999999999998</v>
      </c>
      <c r="R639" s="10"/>
      <c r="S639" s="10">
        <v>0.63390000000000002</v>
      </c>
      <c r="T639" s="10"/>
      <c r="U639" s="10">
        <v>0.28199999999999997</v>
      </c>
      <c r="V639" s="7"/>
      <c r="W639" s="7">
        <v>2</v>
      </c>
      <c r="X639" s="10"/>
      <c r="Y639" s="10">
        <v>3.36</v>
      </c>
      <c r="Z639" s="11"/>
      <c r="AA639" s="11">
        <v>1000</v>
      </c>
      <c r="AB639" s="7" t="s">
        <v>13</v>
      </c>
    </row>
    <row r="640" spans="1:28" s="12" customFormat="1">
      <c r="A640" s="9" t="s">
        <v>580</v>
      </c>
      <c r="B640" s="9" t="s">
        <v>684</v>
      </c>
      <c r="C640" s="9" t="s">
        <v>685</v>
      </c>
      <c r="D640" s="7">
        <v>470</v>
      </c>
      <c r="E640" s="9" t="s">
        <v>686</v>
      </c>
      <c r="F640" s="7" t="s">
        <v>1406</v>
      </c>
      <c r="G640" s="7">
        <v>129.9</v>
      </c>
      <c r="H640" s="9" t="s">
        <v>690</v>
      </c>
      <c r="I640" s="9" t="s">
        <v>694</v>
      </c>
      <c r="J640" s="7">
        <v>3</v>
      </c>
      <c r="K640" s="7">
        <v>693.02290000000005</v>
      </c>
      <c r="L640" s="7"/>
      <c r="M640" s="7" t="str">
        <f>HYPERLINK("http://ms.phosphosite.org:5080/cgi-bin/plot-msms.cgi?MassType=1&amp;NumAxis=1&amp;Mod12=184&amp;Pep=DPFFLGVSGEPRFPSHLF&amp;Dta=/var/www/html/dta/yong/23617.27950.3.dta&amp;Global_Mod=CS57.0215", "27950")</f>
        <v>27950</v>
      </c>
      <c r="N640" s="10"/>
      <c r="O640" s="10">
        <v>124.68</v>
      </c>
      <c r="P640" s="10"/>
      <c r="Q640" s="10">
        <v>3.3</v>
      </c>
      <c r="R640" s="10"/>
      <c r="S640" s="10">
        <v>0.70930000000000004</v>
      </c>
      <c r="T640" s="10"/>
      <c r="U640" s="10">
        <v>0.2455</v>
      </c>
      <c r="V640" s="7"/>
      <c r="W640" s="7">
        <v>1</v>
      </c>
      <c r="X640" s="10"/>
      <c r="Y640" s="10">
        <v>3.14</v>
      </c>
      <c r="Z640" s="11"/>
      <c r="AA640" s="11">
        <v>1000</v>
      </c>
      <c r="AB640" s="7" t="s">
        <v>13</v>
      </c>
    </row>
    <row r="641" spans="1:28" s="12" customFormat="1">
      <c r="A641" s="9" t="s">
        <v>580</v>
      </c>
      <c r="B641" s="9" t="s">
        <v>684</v>
      </c>
      <c r="C641" s="9" t="s">
        <v>685</v>
      </c>
      <c r="D641" s="7">
        <v>470</v>
      </c>
      <c r="E641" s="9" t="s">
        <v>686</v>
      </c>
      <c r="F641" s="7" t="s">
        <v>1406</v>
      </c>
      <c r="G641" s="7">
        <v>129.9</v>
      </c>
      <c r="H641" s="9" t="s">
        <v>690</v>
      </c>
      <c r="I641" s="9" t="s">
        <v>697</v>
      </c>
      <c r="J641" s="7">
        <v>3</v>
      </c>
      <c r="K641" s="7">
        <v>816.41800000000001</v>
      </c>
      <c r="L641" s="7"/>
      <c r="M641" s="7" t="str">
        <f>HYPERLINK("http://ms.phosphosite.org:5080/cgi-bin/plot-msms.cgi?MassType=1&amp;NumAxis=1&amp;Mod12=184&amp;Pep=DPFFLGVSGEPRFPSHLFLEQ&amp;Dta=/var/www/html/dta/yong/23617.28331.3.dta&amp;Global_Mod=CS57.0215", "28331")</f>
        <v>28331</v>
      </c>
      <c r="N641" s="10"/>
      <c r="O641" s="10">
        <v>126.46</v>
      </c>
      <c r="P641" s="10"/>
      <c r="Q641" s="10">
        <v>4.0140000000000002</v>
      </c>
      <c r="R641" s="10"/>
      <c r="S641" s="10">
        <v>1.1212</v>
      </c>
      <c r="T641" s="10"/>
      <c r="U641" s="10">
        <v>0.39029999999999998</v>
      </c>
      <c r="V641" s="7"/>
      <c r="W641" s="7">
        <v>1</v>
      </c>
      <c r="X641" s="10"/>
      <c r="Y641" s="10">
        <v>4.12</v>
      </c>
      <c r="Z641" s="11"/>
      <c r="AA641" s="11">
        <v>1000</v>
      </c>
      <c r="AB641" s="7" t="s">
        <v>13</v>
      </c>
    </row>
    <row r="642" spans="1:28" s="13" customFormat="1">
      <c r="A642" s="13" t="s">
        <v>580</v>
      </c>
      <c r="B642" s="13" t="s">
        <v>684</v>
      </c>
      <c r="C642" s="13" t="s">
        <v>685</v>
      </c>
      <c r="D642" s="15">
        <v>672</v>
      </c>
      <c r="E642" s="13" t="s">
        <v>686</v>
      </c>
      <c r="F642" s="15" t="s">
        <v>1406</v>
      </c>
      <c r="G642" s="15">
        <v>129.9</v>
      </c>
      <c r="H642" s="13" t="s">
        <v>722</v>
      </c>
      <c r="I642" s="13" t="s">
        <v>723</v>
      </c>
      <c r="J642" s="15">
        <v>4</v>
      </c>
      <c r="K642" s="15">
        <v>415.71870000000001</v>
      </c>
      <c r="L642" s="15"/>
      <c r="M642" s="15" t="str">
        <f>HYPERLINK("http://ms.phosphosite.org:5080/cgi-bin/plot-msms.cgi?MassType=1&amp;NumAxis=1&amp;Mod3=184&amp;Mod9=170&amp;Mod13=170&amp;Pep=SSRMQCPQRQGLR&amp;Dta=/var/www/html/dta/yong/23617.3552.4.dta&amp;Global_Mod=CS57.0215", "3552")</f>
        <v>3552</v>
      </c>
      <c r="N642" s="16"/>
      <c r="O642" s="16">
        <v>21.67</v>
      </c>
      <c r="P642" s="16"/>
      <c r="Q642" s="16">
        <v>1.986</v>
      </c>
      <c r="R642" s="16"/>
      <c r="S642" s="16">
        <v>7.9799999999999996E-2</v>
      </c>
      <c r="T642" s="16"/>
      <c r="U642" s="16">
        <v>8.7099999999999997E-2</v>
      </c>
      <c r="V642" s="15"/>
      <c r="W642" s="15">
        <v>62</v>
      </c>
      <c r="X642" s="16"/>
      <c r="Y642" s="16">
        <v>1.71</v>
      </c>
      <c r="Z642" s="17"/>
      <c r="AA642" s="17" t="s">
        <v>1307</v>
      </c>
      <c r="AB642" s="15" t="s">
        <v>13</v>
      </c>
    </row>
    <row r="643" spans="1:28" s="12" customFormat="1">
      <c r="A643" s="9" t="s">
        <v>580</v>
      </c>
      <c r="B643" s="9" t="s">
        <v>684</v>
      </c>
      <c r="C643" s="9" t="s">
        <v>685</v>
      </c>
      <c r="D643" s="7" t="s">
        <v>707</v>
      </c>
      <c r="E643" s="9" t="s">
        <v>686</v>
      </c>
      <c r="F643" s="7" t="s">
        <v>1406</v>
      </c>
      <c r="G643" s="7">
        <v>129.9</v>
      </c>
      <c r="H643" s="9" t="s">
        <v>708</v>
      </c>
      <c r="I643" s="9" t="s">
        <v>709</v>
      </c>
      <c r="J643" s="7">
        <v>4</v>
      </c>
      <c r="K643" s="7">
        <v>1136.126</v>
      </c>
      <c r="L643" s="7" t="str">
        <f>HYPERLINK("http://ms.phosphosite.org:5080/cgi-bin/plot-msms.cgi?MassType=1&amp;NumAxis=1&amp;Mod19=184&amp;Mod26=184&amp;Pep=GTVVTPVQVPLLPVPSQPRPAVGPQRFPGPPEFPQHTPGPVPN&amp;Dta=/var/www/html/dta/yong/23616.23506.4.dta&amp;Global_Mod=CS57.0215", "23506")</f>
        <v>23506</v>
      </c>
      <c r="M643" s="7"/>
      <c r="N643" s="10">
        <v>106.18</v>
      </c>
      <c r="O643" s="10"/>
      <c r="P643" s="10">
        <v>2.8279999999999998</v>
      </c>
      <c r="Q643" s="10"/>
      <c r="R643" s="10">
        <v>0.45569999999999999</v>
      </c>
      <c r="S643" s="10"/>
      <c r="T643" s="10">
        <v>8.8999999999999999E-3</v>
      </c>
      <c r="U643" s="10"/>
      <c r="V643" s="7">
        <v>354</v>
      </c>
      <c r="W643" s="7"/>
      <c r="X643" s="10">
        <v>1.4</v>
      </c>
      <c r="Y643" s="10"/>
      <c r="Z643" s="11" t="s">
        <v>1306</v>
      </c>
      <c r="AA643" s="11"/>
      <c r="AB643" s="7" t="s">
        <v>13</v>
      </c>
    </row>
    <row r="644" spans="1:28" s="13" customFormat="1">
      <c r="A644" s="18" t="s">
        <v>580</v>
      </c>
      <c r="B644" s="18" t="s">
        <v>684</v>
      </c>
      <c r="C644" s="18" t="s">
        <v>685</v>
      </c>
      <c r="D644" s="19" t="s">
        <v>1515</v>
      </c>
      <c r="E644" s="18" t="s">
        <v>686</v>
      </c>
      <c r="F644" s="15" t="s">
        <v>1406</v>
      </c>
      <c r="G644" s="19">
        <v>129.9</v>
      </c>
      <c r="H644" s="18" t="s">
        <v>713</v>
      </c>
      <c r="I644" s="18" t="s">
        <v>714</v>
      </c>
      <c r="J644" s="19">
        <v>6</v>
      </c>
      <c r="K644" s="19">
        <v>855.94939999999997</v>
      </c>
      <c r="L644" s="19" t="str">
        <f>HYPERLINK("http://ms.phosphosite.org:5080/cgi-bin/plot-msms.cgi?MassType=1&amp;NumAxis=1&amp;Mod5=184&amp;Mod29=184&amp;Mod37=170&amp;Mod45=170&amp;Pep=VGPQRFPGPPEFPQHTPGPVPNSFSQPPRLPLQDQWRAPPPPQDR&amp;Dta=/var/www/html/dta/yong/23616.19938.6.dta&amp;Global_Mod=CS57.0215", "19938")</f>
        <v>19938</v>
      </c>
      <c r="M644" s="19" t="str">
        <f>HYPERLINK("http://ms.phosphosite.org:5080/cgi-bin/plot-msms.cgi?MassType=1&amp;NumAxis=1&amp;Mod5=184&amp;Mod29=184&amp;Mod37=170&amp;Mod45=170&amp;Pep=VGPQRFPGPPEFPQHTPGPVPNSFSQPPRLPLQDQWRAPPPPQDR&amp;Dta=/var/www/html/dta/yong/23617.20087.6.dta&amp;Global_Mod=CS57.0215", "20087")</f>
        <v>20087</v>
      </c>
      <c r="N644" s="20">
        <v>91.6</v>
      </c>
      <c r="O644" s="20">
        <v>91.51</v>
      </c>
      <c r="P644" s="20">
        <v>2.9740000000000002</v>
      </c>
      <c r="Q644" s="20">
        <v>3.048</v>
      </c>
      <c r="R644" s="20">
        <v>1.5884</v>
      </c>
      <c r="S644" s="20">
        <v>0.50490000000000002</v>
      </c>
      <c r="T644" s="20">
        <v>0.1875</v>
      </c>
      <c r="U644" s="20">
        <v>1.78E-2</v>
      </c>
      <c r="V644" s="19">
        <v>16</v>
      </c>
      <c r="W644" s="19">
        <v>16</v>
      </c>
      <c r="X644" s="20">
        <v>2.19</v>
      </c>
      <c r="Y644" s="20">
        <v>1.18</v>
      </c>
      <c r="Z644" s="21" t="s">
        <v>1305</v>
      </c>
      <c r="AA644" s="21" t="s">
        <v>1305</v>
      </c>
      <c r="AB644" s="19" t="s">
        <v>13</v>
      </c>
    </row>
    <row r="645" spans="1:28" s="13" customFormat="1">
      <c r="A645" s="18" t="s">
        <v>580</v>
      </c>
      <c r="B645" s="18" t="s">
        <v>684</v>
      </c>
      <c r="C645" s="18" t="s">
        <v>685</v>
      </c>
      <c r="D645" s="19" t="s">
        <v>1515</v>
      </c>
      <c r="E645" s="18" t="s">
        <v>686</v>
      </c>
      <c r="F645" s="15" t="s">
        <v>1406</v>
      </c>
      <c r="G645" s="19">
        <v>129.9</v>
      </c>
      <c r="H645" s="18" t="s">
        <v>713</v>
      </c>
      <c r="I645" s="18" t="s">
        <v>714</v>
      </c>
      <c r="J645" s="19">
        <v>5</v>
      </c>
      <c r="K645" s="19">
        <v>1026.9378999999999</v>
      </c>
      <c r="L645" s="19" t="str">
        <f>HYPERLINK("http://ms.phosphosite.org:5080/cgi-bin/plot-msms.cgi?MassType=1&amp;NumAxis=1&amp;Mod5=184&amp;Mod29=184&amp;Mod37=170&amp;Mod45=170&amp;Pep=VGPQRFPGPPEFPQHTPGPVPNSFSQPPRLPLQDQWRAPPPPQDR&amp;Dta=/var/www/html/dta/yong/23616.19972.5.dta&amp;Global_Mod=CS57.0215", "19972")</f>
        <v>19972</v>
      </c>
      <c r="M645" s="19"/>
      <c r="N645" s="20">
        <v>91.73</v>
      </c>
      <c r="O645" s="20"/>
      <c r="P645" s="20">
        <v>3.3719999999999999</v>
      </c>
      <c r="Q645" s="20"/>
      <c r="R645" s="20">
        <v>1.6843999999999999</v>
      </c>
      <c r="S645" s="20"/>
      <c r="T645" s="20">
        <v>5.0500000000000003E-2</v>
      </c>
      <c r="U645" s="20"/>
      <c r="V645" s="19">
        <v>12</v>
      </c>
      <c r="W645" s="19"/>
      <c r="X645" s="20">
        <v>1.51</v>
      </c>
      <c r="Y645" s="20"/>
      <c r="Z645" s="21" t="s">
        <v>1305</v>
      </c>
      <c r="AA645" s="21"/>
      <c r="AB645" s="19" t="s">
        <v>13</v>
      </c>
    </row>
    <row r="646" spans="1:28" s="13" customFormat="1">
      <c r="A646" s="18" t="s">
        <v>580</v>
      </c>
      <c r="B646" s="18" t="s">
        <v>684</v>
      </c>
      <c r="C646" s="18" t="s">
        <v>685</v>
      </c>
      <c r="D646" s="19" t="s">
        <v>1515</v>
      </c>
      <c r="E646" s="18" t="s">
        <v>686</v>
      </c>
      <c r="F646" s="15" t="s">
        <v>1406</v>
      </c>
      <c r="G646" s="19">
        <v>129.9</v>
      </c>
      <c r="H646" s="18" t="s">
        <v>710</v>
      </c>
      <c r="I646" s="18" t="s">
        <v>711</v>
      </c>
      <c r="J646" s="19">
        <v>6</v>
      </c>
      <c r="K646" s="19">
        <v>883.96439999999996</v>
      </c>
      <c r="L646" s="19" t="str">
        <f>HYPERLINK("http://ms.phosphosite.org:5080/cgi-bin/plot-msms.cgi?MassType=1&amp;NumAxis=1&amp;Mod7=184&amp;Mod31=184&amp;Mod39=170&amp;Mod47=170&amp;Pep=PAVGPQRFPGPPEFPQHTPGPVPNSFSQPPRLPLQDQWRAPPPPQDR&amp;Dta=/var/www/html/dta/yong/23616.20252.6.dta&amp;Global_Mod=CS57.0215", "20252")</f>
        <v>20252</v>
      </c>
      <c r="M646" s="19"/>
      <c r="N646" s="20">
        <v>92.88</v>
      </c>
      <c r="O646" s="20"/>
      <c r="P646" s="20">
        <v>3.246</v>
      </c>
      <c r="Q646" s="20"/>
      <c r="R646" s="20">
        <v>0.82120000000000004</v>
      </c>
      <c r="S646" s="20"/>
      <c r="T646" s="20">
        <v>0.26379999999999998</v>
      </c>
      <c r="U646" s="20"/>
      <c r="V646" s="19">
        <v>5</v>
      </c>
      <c r="W646" s="19"/>
      <c r="X646" s="20">
        <v>2.72</v>
      </c>
      <c r="Y646" s="20"/>
      <c r="Z646" s="21" t="s">
        <v>1305</v>
      </c>
      <c r="AA646" s="21"/>
      <c r="AB646" s="19" t="s">
        <v>13</v>
      </c>
    </row>
    <row r="647" spans="1:28" s="13" customFormat="1">
      <c r="A647" s="18" t="s">
        <v>580</v>
      </c>
      <c r="B647" s="18" t="s">
        <v>684</v>
      </c>
      <c r="C647" s="18" t="s">
        <v>685</v>
      </c>
      <c r="D647" s="19" t="s">
        <v>1515</v>
      </c>
      <c r="E647" s="18" t="s">
        <v>686</v>
      </c>
      <c r="F647" s="15" t="s">
        <v>1406</v>
      </c>
      <c r="G647" s="19">
        <v>129.9</v>
      </c>
      <c r="H647" s="18" t="s">
        <v>710</v>
      </c>
      <c r="I647" s="18" t="s">
        <v>711</v>
      </c>
      <c r="J647" s="19">
        <v>5</v>
      </c>
      <c r="K647" s="19">
        <v>1060.5558000000001</v>
      </c>
      <c r="L647" s="19"/>
      <c r="M647" s="19" t="str">
        <f>HYPERLINK("http://ms.phosphosite.org:5080/cgi-bin/plot-msms.cgi?MassType=1&amp;NumAxis=1&amp;Mod7=184&amp;Mod31=184&amp;Mod39=170&amp;Mod47=170&amp;Pep=PAVGPQRFPGPPEFPQHTPGPVPNSFSQPPRLPLQDQWRAPPPPQDR&amp;Dta=/var/www/html/dta/yong/23617.20486.5.dta&amp;Global_Mod=CS57.0215", "20486")</f>
        <v>20486</v>
      </c>
      <c r="N647" s="20"/>
      <c r="O647" s="20">
        <v>93.18</v>
      </c>
      <c r="P647" s="20"/>
      <c r="Q647" s="20">
        <v>3.4830000000000001</v>
      </c>
      <c r="R647" s="20"/>
      <c r="S647" s="20">
        <v>1.6969000000000001</v>
      </c>
      <c r="T647" s="20"/>
      <c r="U647" s="20">
        <v>2.3E-2</v>
      </c>
      <c r="V647" s="19"/>
      <c r="W647" s="19">
        <v>4</v>
      </c>
      <c r="X647" s="20"/>
      <c r="Y647" s="20">
        <v>1.26</v>
      </c>
      <c r="Z647" s="21"/>
      <c r="AA647" s="21" t="s">
        <v>1305</v>
      </c>
      <c r="AB647" s="19" t="s">
        <v>13</v>
      </c>
    </row>
    <row r="648" spans="1:28" s="12" customFormat="1">
      <c r="A648" s="9" t="s">
        <v>580</v>
      </c>
      <c r="B648" s="9" t="s">
        <v>684</v>
      </c>
      <c r="C648" s="9" t="s">
        <v>685</v>
      </c>
      <c r="D648" s="7" t="s">
        <v>1513</v>
      </c>
      <c r="E648" s="9" t="s">
        <v>686</v>
      </c>
      <c r="F648" s="7" t="s">
        <v>1406</v>
      </c>
      <c r="G648" s="7">
        <v>129.9</v>
      </c>
      <c r="H648" s="9" t="s">
        <v>715</v>
      </c>
      <c r="I648" s="9" t="s">
        <v>716</v>
      </c>
      <c r="J648" s="7">
        <v>6</v>
      </c>
      <c r="K648" s="7">
        <v>883.96439999999996</v>
      </c>
      <c r="L648" s="7"/>
      <c r="M648" s="7" t="str">
        <f>HYPERLINK("http://ms.phosphosite.org:5080/cgi-bin/plot-msms.cgi?MassType=1&amp;NumAxis=1&amp;Mod7=184&amp;Mod31=184&amp;Mod39=184&amp;Pep=PAVGPQRFPGPPEFPQHTPGPVPNSFSQPPRLPLQDQWRAPPPPQDR&amp;Dta=/var/www/html/dta/yong/23617.20398.6.dta&amp;Global_Mod=CS57.0215", "20398")</f>
        <v>20398</v>
      </c>
      <c r="N648" s="10"/>
      <c r="O648" s="10">
        <v>92.82</v>
      </c>
      <c r="P648" s="10"/>
      <c r="Q648" s="10">
        <v>3.5529999999999999</v>
      </c>
      <c r="R648" s="10"/>
      <c r="S648" s="10">
        <v>0.79330000000000001</v>
      </c>
      <c r="T648" s="10"/>
      <c r="U648" s="10">
        <v>0.2626</v>
      </c>
      <c r="V648" s="7"/>
      <c r="W648" s="7">
        <v>9</v>
      </c>
      <c r="X648" s="10"/>
      <c r="Y648" s="10">
        <v>2.69</v>
      </c>
      <c r="Z648" s="11"/>
      <c r="AA648" s="11" t="s">
        <v>1307</v>
      </c>
      <c r="AB648" s="7" t="s">
        <v>13</v>
      </c>
    </row>
    <row r="649" spans="1:28" s="12" customFormat="1">
      <c r="A649" s="3" t="s">
        <v>580</v>
      </c>
      <c r="B649" s="3" t="s">
        <v>684</v>
      </c>
      <c r="C649" s="3" t="s">
        <v>685</v>
      </c>
      <c r="D649" s="4" t="s">
        <v>1516</v>
      </c>
      <c r="E649" s="3" t="s">
        <v>686</v>
      </c>
      <c r="F649" s="7" t="s">
        <v>1406</v>
      </c>
      <c r="G649" s="4">
        <v>129.9</v>
      </c>
      <c r="H649" s="3" t="s">
        <v>715</v>
      </c>
      <c r="I649" s="3" t="s">
        <v>717</v>
      </c>
      <c r="J649" s="4">
        <v>5</v>
      </c>
      <c r="K649" s="4">
        <v>950.69759999999997</v>
      </c>
      <c r="L649" s="4" t="str">
        <f>HYPERLINK("http://ms.phosphosite.org:5080/cgi-bin/plot-msms.cgi?MassType=1&amp;NumAxis=1&amp;Mod1=184&amp;Mod25=184&amp;Mod41=184&amp;Pep=RFPGPPEFPQHTPGPVPNSFSQPPRLPLQDQWRAPPPPQDR&amp;Dta=/var/www/html/dta/yong/23616.19714.5.dta&amp;Global_Mod=CS57.0215", "19714")</f>
        <v>19714</v>
      </c>
      <c r="M649" s="4"/>
      <c r="N649" s="5">
        <v>90.67</v>
      </c>
      <c r="O649" s="5"/>
      <c r="P649" s="5">
        <v>3.37</v>
      </c>
      <c r="Q649" s="5"/>
      <c r="R649" s="5">
        <v>2.1873</v>
      </c>
      <c r="S649" s="5"/>
      <c r="T649" s="5">
        <v>8.5000000000000006E-3</v>
      </c>
      <c r="U649" s="5"/>
      <c r="V649" s="4">
        <v>42</v>
      </c>
      <c r="W649" s="4"/>
      <c r="X649" s="5">
        <v>1.27</v>
      </c>
      <c r="Y649" s="5"/>
      <c r="Z649" s="6" t="s">
        <v>1307</v>
      </c>
      <c r="AA649" s="6"/>
      <c r="AB649" s="4" t="s">
        <v>13</v>
      </c>
    </row>
    <row r="650" spans="1:28" s="12" customFormat="1">
      <c r="A650" s="3" t="s">
        <v>580</v>
      </c>
      <c r="B650" s="3" t="s">
        <v>684</v>
      </c>
      <c r="C650" s="3" t="s">
        <v>685</v>
      </c>
      <c r="D650" s="4" t="s">
        <v>1516</v>
      </c>
      <c r="E650" s="3" t="s">
        <v>686</v>
      </c>
      <c r="F650" s="7" t="s">
        <v>1406</v>
      </c>
      <c r="G650" s="4">
        <v>129.9</v>
      </c>
      <c r="H650" s="3" t="s">
        <v>715</v>
      </c>
      <c r="I650" s="3" t="s">
        <v>718</v>
      </c>
      <c r="J650" s="4">
        <v>6</v>
      </c>
      <c r="K650" s="4">
        <v>855.94939999999997</v>
      </c>
      <c r="L650" s="4" t="str">
        <f>HYPERLINK("http://ms.phosphosite.org:5080/cgi-bin/plot-msms.cgi?MassType=1&amp;NumAxis=1&amp;Mod5=184&amp;Mod29=184&amp;Mod45=184&amp;Pep=VGPQRFPGPPEFPQHTPGPVPNSFSQPPRLPLQDQWRAPPPPQDR&amp;Dta=/var/www/html/dta/yong/23616.20106.6.dta&amp;Global_Mod=CS57.0215", "20106")</f>
        <v>20106</v>
      </c>
      <c r="M650" s="4"/>
      <c r="N650" s="5">
        <v>92.29</v>
      </c>
      <c r="O650" s="5"/>
      <c r="P650" s="5">
        <v>2.7850000000000001</v>
      </c>
      <c r="Q650" s="5"/>
      <c r="R650" s="5">
        <v>1.2374000000000001</v>
      </c>
      <c r="S650" s="5"/>
      <c r="T650" s="5">
        <v>0.15429999999999999</v>
      </c>
      <c r="U650" s="5"/>
      <c r="V650" s="4">
        <v>6</v>
      </c>
      <c r="W650" s="4"/>
      <c r="X650" s="5">
        <v>1.96</v>
      </c>
      <c r="Y650" s="5"/>
      <c r="Z650" s="6" t="s">
        <v>1307</v>
      </c>
      <c r="AA650" s="6"/>
      <c r="AB650" s="4" t="s">
        <v>13</v>
      </c>
    </row>
    <row r="651" spans="1:28" s="13" customFormat="1">
      <c r="A651" s="13" t="s">
        <v>580</v>
      </c>
      <c r="B651" s="13" t="s">
        <v>684</v>
      </c>
      <c r="C651" s="13" t="s">
        <v>685</v>
      </c>
      <c r="D651" s="15" t="s">
        <v>719</v>
      </c>
      <c r="E651" s="13" t="s">
        <v>686</v>
      </c>
      <c r="F651" s="15" t="s">
        <v>1406</v>
      </c>
      <c r="G651" s="15">
        <v>129.9</v>
      </c>
      <c r="H651" s="13" t="s">
        <v>710</v>
      </c>
      <c r="I651" s="13" t="s">
        <v>712</v>
      </c>
      <c r="J651" s="15">
        <v>5</v>
      </c>
      <c r="K651" s="15">
        <v>1060.5558000000001</v>
      </c>
      <c r="L651" s="15" t="str">
        <f>HYPERLINK("http://ms.phosphosite.org:5080/cgi-bin/plot-msms.cgi?MassType=1&amp;NumAxis=1&amp;Mod7=184&amp;Mod31=170&amp;Mod39=184&amp;Mod47=170&amp;Pep=PAVGPQRFPGPPEFPQHTPGPVPNSFSQPPRLPLQDQWRAPPPPQDR&amp;Dta=/var/www/html/dta/yong/23616.20293.5.dta&amp;Global_Mod=CS57.0215", "20293")</f>
        <v>20293</v>
      </c>
      <c r="M651" s="15"/>
      <c r="N651" s="16">
        <v>93.04</v>
      </c>
      <c r="O651" s="16"/>
      <c r="P651" s="16">
        <v>3.4649999999999999</v>
      </c>
      <c r="Q651" s="16"/>
      <c r="R651" s="16">
        <v>2.0886999999999998</v>
      </c>
      <c r="S651" s="16"/>
      <c r="T651" s="16">
        <v>3.2599999999999997E-2</v>
      </c>
      <c r="U651" s="16"/>
      <c r="V651" s="15">
        <v>1</v>
      </c>
      <c r="W651" s="15"/>
      <c r="X651" s="16">
        <v>1.4</v>
      </c>
      <c r="Y651" s="16"/>
      <c r="Z651" s="17" t="s">
        <v>1305</v>
      </c>
      <c r="AA651" s="17"/>
      <c r="AB651" s="15" t="s">
        <v>13</v>
      </c>
    </row>
    <row r="652" spans="1:28" s="12" customFormat="1">
      <c r="A652" s="3" t="s">
        <v>580</v>
      </c>
      <c r="B652" s="3" t="s">
        <v>684</v>
      </c>
      <c r="C652" s="3" t="s">
        <v>685</v>
      </c>
      <c r="D652" s="4" t="s">
        <v>1514</v>
      </c>
      <c r="E652" s="3" t="s">
        <v>686</v>
      </c>
      <c r="F652" s="7" t="s">
        <v>1406</v>
      </c>
      <c r="G652" s="4">
        <v>129.9</v>
      </c>
      <c r="H652" s="3" t="s">
        <v>687</v>
      </c>
      <c r="I652" s="3" t="s">
        <v>689</v>
      </c>
      <c r="J652" s="4">
        <v>3</v>
      </c>
      <c r="K652" s="4">
        <v>845.79079999999999</v>
      </c>
      <c r="L652" s="4" t="str">
        <f>HYPERLINK("http://ms.phosphosite.org:5080/cgi-bin/plot-msms.cgi?MassType=1&amp;NumAxis=1&amp;Mod5=184&amp;Mod13=184&amp;Pep=SQPPRLPLQDQWRAPPPPQDR&amp;Dta=/var/www/html/dta/yong/23616.13448.3.dta&amp;Global_Mod=CS57.0215", "13448")</f>
        <v>13448</v>
      </c>
      <c r="M652" s="4"/>
      <c r="N652" s="5">
        <v>63.93</v>
      </c>
      <c r="O652" s="5"/>
      <c r="P652" s="5">
        <v>3.585</v>
      </c>
      <c r="Q652" s="5"/>
      <c r="R652" s="5">
        <v>1.2728999999999999</v>
      </c>
      <c r="S652" s="5"/>
      <c r="T652" s="5">
        <v>0.23089999999999999</v>
      </c>
      <c r="U652" s="5"/>
      <c r="V652" s="4">
        <v>1</v>
      </c>
      <c r="W652" s="4"/>
      <c r="X652" s="5">
        <v>2.99</v>
      </c>
      <c r="Y652" s="5"/>
      <c r="Z652" s="6" t="s">
        <v>1306</v>
      </c>
      <c r="AA652" s="6"/>
      <c r="AB652" s="4" t="s">
        <v>13</v>
      </c>
    </row>
    <row r="653" spans="1:28" s="12" customFormat="1">
      <c r="A653" s="3" t="s">
        <v>580</v>
      </c>
      <c r="B653" s="3" t="s">
        <v>684</v>
      </c>
      <c r="C653" s="3" t="s">
        <v>685</v>
      </c>
      <c r="D653" s="4" t="s">
        <v>1514</v>
      </c>
      <c r="E653" s="3" t="s">
        <v>686</v>
      </c>
      <c r="F653" s="7" t="s">
        <v>1406</v>
      </c>
      <c r="G653" s="4">
        <v>129.9</v>
      </c>
      <c r="H653" s="3" t="s">
        <v>687</v>
      </c>
      <c r="I653" s="3" t="s">
        <v>689</v>
      </c>
      <c r="J653" s="4">
        <v>3</v>
      </c>
      <c r="K653" s="4">
        <v>845.79079999999999</v>
      </c>
      <c r="L653" s="4" t="str">
        <f>HYPERLINK("http://ms.phosphosite.org:5080/cgi-bin/plot-msms.cgi?MassType=1&amp;NumAxis=1&amp;Mod5=184&amp;Mod13=184&amp;Pep=SQPPRLPLQDQWRAPPPPQDR&amp;Dta=/var/www/html/dta/yong/23616.13619.3.dta&amp;Global_Mod=CS57.0215", "13619")</f>
        <v>13619</v>
      </c>
      <c r="M653" s="4" t="str">
        <f>HYPERLINK("http://ms.phosphosite.org:5080/cgi-bin/plot-msms.cgi?MassType=1&amp;NumAxis=1&amp;Mod5=184&amp;Mod13=184&amp;Pep=SQPPRLPLQDQWRAPPPPQDR&amp;Dta=/var/www/html/dta/yong/23617.13604.3.dta&amp;Global_Mod=CS57.0215", "13604")</f>
        <v>13604</v>
      </c>
      <c r="N653" s="5">
        <v>64.69</v>
      </c>
      <c r="O653" s="5">
        <v>63.88</v>
      </c>
      <c r="P653" s="5">
        <v>3.008</v>
      </c>
      <c r="Q653" s="5">
        <v>2.6640000000000001</v>
      </c>
      <c r="R653" s="5">
        <v>1.3573</v>
      </c>
      <c r="S653" s="5">
        <v>1.4887999999999999</v>
      </c>
      <c r="T653" s="5">
        <v>0.15210000000000001</v>
      </c>
      <c r="U653" s="5">
        <v>8.3500000000000005E-2</v>
      </c>
      <c r="V653" s="4">
        <v>1</v>
      </c>
      <c r="W653" s="4">
        <v>1</v>
      </c>
      <c r="X653" s="5">
        <v>2.37</v>
      </c>
      <c r="Y653" s="5">
        <v>1.79</v>
      </c>
      <c r="Z653" s="6" t="s">
        <v>1306</v>
      </c>
      <c r="AA653" s="6" t="s">
        <v>1306</v>
      </c>
      <c r="AB653" s="4" t="s">
        <v>13</v>
      </c>
    </row>
    <row r="654" spans="1:28" s="12" customFormat="1">
      <c r="A654" s="3" t="s">
        <v>580</v>
      </c>
      <c r="B654" s="3" t="s">
        <v>684</v>
      </c>
      <c r="C654" s="3" t="s">
        <v>685</v>
      </c>
      <c r="D654" s="4" t="s">
        <v>1514</v>
      </c>
      <c r="E654" s="3" t="s">
        <v>686</v>
      </c>
      <c r="F654" s="7" t="s">
        <v>1406</v>
      </c>
      <c r="G654" s="4">
        <v>129.9</v>
      </c>
      <c r="H654" s="3" t="s">
        <v>687</v>
      </c>
      <c r="I654" s="3" t="s">
        <v>688</v>
      </c>
      <c r="J654" s="4">
        <v>3</v>
      </c>
      <c r="K654" s="4">
        <v>923.82429999999999</v>
      </c>
      <c r="L654" s="4" t="str">
        <f>HYPERLINK("http://ms.phosphosite.org:5080/cgi-bin/plot-msms.cgi?MassType=1&amp;NumAxis=1&amp;Mod7=184&amp;Mod15=184&amp;Pep=SFSQPPRLPLQDQWRAPPPPQDR&amp;Dta=/var/www/html/dta/yong/23616.15652.3.dta&amp;Global_Mod=CS57.0215", "15652")</f>
        <v>15652</v>
      </c>
      <c r="M654" s="4" t="str">
        <f>HYPERLINK("http://ms.phosphosite.org:5080/cgi-bin/plot-msms.cgi?MassType=1&amp;NumAxis=1&amp;Mod7=184&amp;Mod15=184&amp;Pep=SFSQPPRLPLQDQWRAPPPPQDR&amp;Dta=/var/www/html/dta/yong/23617.16043.3.dta&amp;Global_Mod=CS57.0215", "16043")</f>
        <v>16043</v>
      </c>
      <c r="N654" s="5">
        <v>73.45</v>
      </c>
      <c r="O654" s="5">
        <v>74.23</v>
      </c>
      <c r="P654" s="5">
        <v>3.605</v>
      </c>
      <c r="Q654" s="5">
        <v>2.8780000000000001</v>
      </c>
      <c r="R654" s="5">
        <v>0.97219999999999995</v>
      </c>
      <c r="S654" s="5">
        <v>0.61509999999999998</v>
      </c>
      <c r="T654" s="5">
        <v>0.25069999999999998</v>
      </c>
      <c r="U654" s="5">
        <v>2.23E-2</v>
      </c>
      <c r="V654" s="4">
        <v>1</v>
      </c>
      <c r="W654" s="4">
        <v>12</v>
      </c>
      <c r="X654" s="5">
        <v>3.1</v>
      </c>
      <c r="Y654" s="5">
        <v>1.52</v>
      </c>
      <c r="Z654" s="6" t="s">
        <v>1306</v>
      </c>
      <c r="AA654" s="6" t="s">
        <v>1306</v>
      </c>
      <c r="AB654" s="4" t="s">
        <v>13</v>
      </c>
    </row>
    <row r="655" spans="1:28" s="12" customFormat="1">
      <c r="A655" s="3" t="s">
        <v>580</v>
      </c>
      <c r="B655" s="3" t="s">
        <v>684</v>
      </c>
      <c r="C655" s="3" t="s">
        <v>685</v>
      </c>
      <c r="D655" s="4" t="s">
        <v>1514</v>
      </c>
      <c r="E655" s="3" t="s">
        <v>686</v>
      </c>
      <c r="F655" s="7" t="s">
        <v>1406</v>
      </c>
      <c r="G655" s="4">
        <v>129.9</v>
      </c>
      <c r="H655" s="3" t="s">
        <v>687</v>
      </c>
      <c r="I655" s="3" t="s">
        <v>688</v>
      </c>
      <c r="J655" s="4">
        <v>3</v>
      </c>
      <c r="K655" s="4">
        <v>923.82429999999999</v>
      </c>
      <c r="L655" s="4" t="str">
        <f>HYPERLINK("http://ms.phosphosite.org:5080/cgi-bin/plot-msms.cgi?MassType=1&amp;NumAxis=1&amp;Mod7=184&amp;Mod15=184&amp;Pep=SFSQPPRLPLQDQWRAPPPPQDR&amp;Dta=/var/www/html/dta/yong/23616.15667.3.dta&amp;Global_Mod=CS57.0215", "15667")</f>
        <v>15667</v>
      </c>
      <c r="M655" s="4" t="str">
        <f>HYPERLINK("http://ms.phosphosite.org:5080/cgi-bin/plot-msms.cgi?MassType=1&amp;NumAxis=1&amp;Mod7=184&amp;Mod15=184&amp;Pep=SFSQPPRLPLQDQWRAPPPPQDR&amp;Dta=/var/www/html/dta/yong/23617.15827.3.dta&amp;Global_Mod=CS57.0215", "15827")</f>
        <v>15827</v>
      </c>
      <c r="N655" s="5">
        <v>73.510000000000005</v>
      </c>
      <c r="O655" s="5">
        <v>73.36</v>
      </c>
      <c r="P655" s="5">
        <v>3.7269999999999999</v>
      </c>
      <c r="Q655" s="5">
        <v>4.3159999999999998</v>
      </c>
      <c r="R655" s="5">
        <v>1.0163</v>
      </c>
      <c r="S655" s="5">
        <v>0.76319999999999999</v>
      </c>
      <c r="T655" s="5">
        <v>0.27179999999999999</v>
      </c>
      <c r="U655" s="5">
        <v>0.28370000000000001</v>
      </c>
      <c r="V655" s="4">
        <v>1</v>
      </c>
      <c r="W655" s="4">
        <v>1</v>
      </c>
      <c r="X655" s="5">
        <v>3.25</v>
      </c>
      <c r="Y655" s="5">
        <v>3.44</v>
      </c>
      <c r="Z655" s="6" t="s">
        <v>1306</v>
      </c>
      <c r="AA655" s="6" t="s">
        <v>1306</v>
      </c>
      <c r="AB655" s="4" t="s">
        <v>13</v>
      </c>
    </row>
    <row r="656" spans="1:28" s="12" customFormat="1">
      <c r="A656" s="3" t="s">
        <v>580</v>
      </c>
      <c r="B656" s="3" t="s">
        <v>684</v>
      </c>
      <c r="C656" s="3" t="s">
        <v>685</v>
      </c>
      <c r="D656" s="4" t="s">
        <v>1514</v>
      </c>
      <c r="E656" s="3" t="s">
        <v>686</v>
      </c>
      <c r="F656" s="7" t="s">
        <v>1406</v>
      </c>
      <c r="G656" s="4">
        <v>129.9</v>
      </c>
      <c r="H656" s="3" t="s">
        <v>687</v>
      </c>
      <c r="I656" s="3" t="s">
        <v>688</v>
      </c>
      <c r="J656" s="4">
        <v>3</v>
      </c>
      <c r="K656" s="4">
        <v>923.82429999999999</v>
      </c>
      <c r="L656" s="4" t="str">
        <f>HYPERLINK("http://ms.phosphosite.org:5080/cgi-bin/plot-msms.cgi?MassType=1&amp;NumAxis=1&amp;Mod7=184&amp;Mod15=184&amp;Pep=SFSQPPRLPLQDQWRAPPPPQDR&amp;Dta=/var/www/html/dta/yong/23616.15839.3.dta&amp;Global_Mod=CS57.0215", "15839")</f>
        <v>15839</v>
      </c>
      <c r="M656" s="4" t="str">
        <f>HYPERLINK("http://ms.phosphosite.org:5080/cgi-bin/plot-msms.cgi?MassType=1&amp;NumAxis=1&amp;Mod7=184&amp;Mod15=184&amp;Pep=SFSQPPRLPLQDQWRAPPPPQDR&amp;Dta=/var/www/html/dta/yong/23617.15841.3.dta&amp;Global_Mod=CS57.0215", "15841")</f>
        <v>15841</v>
      </c>
      <c r="N656" s="5">
        <v>74.180000000000007</v>
      </c>
      <c r="O656" s="5">
        <v>73.42</v>
      </c>
      <c r="P656" s="5">
        <v>3.5259999999999998</v>
      </c>
      <c r="Q656" s="5">
        <v>3.6440000000000001</v>
      </c>
      <c r="R656" s="5">
        <v>1.1595</v>
      </c>
      <c r="S656" s="5">
        <v>0.72529999999999994</v>
      </c>
      <c r="T656" s="5">
        <v>0.28810000000000002</v>
      </c>
      <c r="U656" s="5">
        <v>0.22819999999999999</v>
      </c>
      <c r="V656" s="4">
        <v>2</v>
      </c>
      <c r="W656" s="4">
        <v>1</v>
      </c>
      <c r="X656" s="5">
        <v>3.28</v>
      </c>
      <c r="Y656" s="5">
        <v>2.92</v>
      </c>
      <c r="Z656" s="6" t="s">
        <v>1306</v>
      </c>
      <c r="AA656" s="6" t="s">
        <v>1306</v>
      </c>
      <c r="AB656" s="4" t="s">
        <v>13</v>
      </c>
    </row>
    <row r="657" spans="1:28" s="12" customFormat="1">
      <c r="A657" s="3" t="s">
        <v>580</v>
      </c>
      <c r="B657" s="3" t="s">
        <v>684</v>
      </c>
      <c r="C657" s="3" t="s">
        <v>685</v>
      </c>
      <c r="D657" s="4" t="s">
        <v>1514</v>
      </c>
      <c r="E657" s="3" t="s">
        <v>686</v>
      </c>
      <c r="F657" s="7" t="s">
        <v>1406</v>
      </c>
      <c r="G657" s="4">
        <v>129.9</v>
      </c>
      <c r="H657" s="3" t="s">
        <v>687</v>
      </c>
      <c r="I657" s="3" t="s">
        <v>688</v>
      </c>
      <c r="J657" s="4">
        <v>3</v>
      </c>
      <c r="K657" s="4">
        <v>923.82429999999999</v>
      </c>
      <c r="L657" s="4"/>
      <c r="M657" s="4" t="str">
        <f>HYPERLINK("http://ms.phosphosite.org:5080/cgi-bin/plot-msms.cgi?MassType=1&amp;NumAxis=1&amp;Mod7=184&amp;Mod15=184&amp;Pep=SFSQPPRLPLQDQWRAPPPPQDR&amp;Dta=/var/www/html/dta/yong/23617.16016.3.dta&amp;Global_Mod=CS57.0215", "16016")</f>
        <v>16016</v>
      </c>
      <c r="N657" s="5"/>
      <c r="O657" s="5">
        <v>74.12</v>
      </c>
      <c r="P657" s="5"/>
      <c r="Q657" s="5">
        <v>2.879</v>
      </c>
      <c r="R657" s="5"/>
      <c r="S657" s="5">
        <v>0.68559999999999999</v>
      </c>
      <c r="T657" s="5"/>
      <c r="U657" s="5">
        <v>5.3199999999999997E-2</v>
      </c>
      <c r="V657" s="4"/>
      <c r="W657" s="4">
        <v>2</v>
      </c>
      <c r="X657" s="5"/>
      <c r="Y657" s="5">
        <v>1.7</v>
      </c>
      <c r="Z657" s="6"/>
      <c r="AA657" s="6" t="s">
        <v>1306</v>
      </c>
      <c r="AB657" s="4" t="s">
        <v>13</v>
      </c>
    </row>
    <row r="658" spans="1:28" s="18" customFormat="1">
      <c r="A658" s="18" t="s">
        <v>580</v>
      </c>
      <c r="B658" s="18" t="s">
        <v>684</v>
      </c>
      <c r="C658" s="18" t="s">
        <v>685</v>
      </c>
      <c r="D658" s="19"/>
      <c r="E658" s="18" t="s">
        <v>686</v>
      </c>
      <c r="F658" s="15" t="s">
        <v>1406</v>
      </c>
      <c r="G658" s="19">
        <v>129.9</v>
      </c>
      <c r="I658" s="18" t="s">
        <v>724</v>
      </c>
      <c r="J658" s="19">
        <v>2</v>
      </c>
      <c r="K658" s="19">
        <v>667.84059999999999</v>
      </c>
      <c r="L658" s="19" t="str">
        <f>HYPERLINK("http://ms.phosphosite.org:5080/cgi-bin/plot-msms.cgi?MassType=1&amp;NumAxis=1&amp;Mod12=170&amp;Pep=DPFFLGVSGEPR&amp;Dta=/var/www/html/dta/yong/23616.19455.2.dta&amp;Global_Mod=CS57.0215", "19455")</f>
        <v>19455</v>
      </c>
      <c r="M658" s="19"/>
      <c r="N658" s="20">
        <v>89.6</v>
      </c>
      <c r="O658" s="20"/>
      <c r="P658" s="20">
        <v>3.641</v>
      </c>
      <c r="Q658" s="20"/>
      <c r="R658" s="20">
        <v>0.19439999999999999</v>
      </c>
      <c r="S658" s="20"/>
      <c r="T658" s="20">
        <v>0.39369999999999999</v>
      </c>
      <c r="U658" s="20"/>
      <c r="V658" s="19">
        <v>1</v>
      </c>
      <c r="W658" s="19"/>
      <c r="X658" s="20">
        <v>4.38</v>
      </c>
      <c r="Y658" s="20"/>
      <c r="Z658" s="21">
        <v>1000</v>
      </c>
      <c r="AA658" s="21"/>
      <c r="AB658" s="19" t="s">
        <v>13</v>
      </c>
    </row>
    <row r="659" spans="1:28" s="18" customFormat="1">
      <c r="A659" s="18" t="s">
        <v>580</v>
      </c>
      <c r="B659" s="18" t="s">
        <v>684</v>
      </c>
      <c r="C659" s="18" t="s">
        <v>685</v>
      </c>
      <c r="D659" s="19"/>
      <c r="E659" s="18" t="s">
        <v>686</v>
      </c>
      <c r="F659" s="15" t="s">
        <v>1406</v>
      </c>
      <c r="G659" s="19">
        <v>129.9</v>
      </c>
      <c r="I659" s="18" t="s">
        <v>725</v>
      </c>
      <c r="J659" s="19">
        <v>4</v>
      </c>
      <c r="K659" s="19">
        <v>648.08669999999995</v>
      </c>
      <c r="L659" s="19"/>
      <c r="M659" s="19" t="str">
        <f>HYPERLINK("http://ms.phosphosite.org:5080/cgi-bin/plot-msms.cgi?MassType=1&amp;NumAxis=1&amp;Mod12=170&amp;Pep=DPFFLGVSGEPRFPSHLFLEQR&amp;Dta=/var/www/html/dta/yong/23617.25430.4.dta&amp;Global_Mod=CS57.0215", "25430")</f>
        <v>25430</v>
      </c>
      <c r="N659" s="20"/>
      <c r="O659" s="20">
        <v>113.4</v>
      </c>
      <c r="P659" s="20"/>
      <c r="Q659" s="20">
        <v>3.9329999999999998</v>
      </c>
      <c r="R659" s="20"/>
      <c r="S659" s="20">
        <v>0.90159999999999996</v>
      </c>
      <c r="T659" s="20"/>
      <c r="U659" s="20">
        <v>0.28610000000000002</v>
      </c>
      <c r="V659" s="19"/>
      <c r="W659" s="19">
        <v>1</v>
      </c>
      <c r="X659" s="20"/>
      <c r="Y659" s="20">
        <v>3.52</v>
      </c>
      <c r="Z659" s="21"/>
      <c r="AA659" s="21">
        <v>1000</v>
      </c>
      <c r="AB659" s="19" t="s">
        <v>13</v>
      </c>
    </row>
    <row r="660" spans="1:28">
      <c r="A660" s="9" t="s">
        <v>580</v>
      </c>
      <c r="B660" s="9" t="s">
        <v>1665</v>
      </c>
      <c r="C660" s="9" t="s">
        <v>1666</v>
      </c>
      <c r="D660" s="7">
        <v>917</v>
      </c>
      <c r="E660" s="9" t="s">
        <v>726</v>
      </c>
      <c r="F660" s="7" t="s">
        <v>1407</v>
      </c>
      <c r="G660" s="7">
        <v>125.8</v>
      </c>
      <c r="H660" s="9" t="s">
        <v>727</v>
      </c>
      <c r="I660" s="9" t="s">
        <v>728</v>
      </c>
      <c r="J660" s="7">
        <v>3</v>
      </c>
      <c r="K660" s="7">
        <v>686.67769999999996</v>
      </c>
      <c r="L660" s="7"/>
      <c r="M660" s="7" t="str">
        <f>HYPERLINK("http://ms.phosphosite.org:5080/cgi-bin/plot-msms.cgi?MassType=1&amp;NumAxis=1&amp;Mod2=184&amp;Mod6=147&amp;Pep=VRPGGMPGLGGPGPGPGGPEDR&amp;Dta=/var/www/html/dta/yong/23617.7585.3.dta&amp;Global_Mod=CS57.0215", "7585")</f>
        <v>7585</v>
      </c>
      <c r="N660" s="10"/>
      <c r="O660" s="10">
        <v>38.630000000000003</v>
      </c>
      <c r="P660" s="10"/>
      <c r="Q660" s="10">
        <v>4.2169999999999996</v>
      </c>
      <c r="R660" s="10"/>
      <c r="S660" s="10">
        <v>0.30220000000000002</v>
      </c>
      <c r="T660" s="10"/>
      <c r="U660" s="10">
        <v>0.32119999999999999</v>
      </c>
      <c r="V660" s="7"/>
      <c r="W660" s="7">
        <v>2</v>
      </c>
      <c r="X660" s="10"/>
      <c r="Y660" s="10">
        <v>2.94</v>
      </c>
      <c r="Z660" s="11"/>
      <c r="AA660" s="11">
        <v>1000</v>
      </c>
      <c r="AB660" s="7" t="s">
        <v>13</v>
      </c>
    </row>
    <row r="661" spans="1:28" s="18" customFormat="1">
      <c r="A661" s="13" t="s">
        <v>580</v>
      </c>
      <c r="B661" s="13" t="s">
        <v>1667</v>
      </c>
      <c r="C661" s="13" t="s">
        <v>1668</v>
      </c>
      <c r="D661" s="15">
        <v>1051</v>
      </c>
      <c r="E661" s="13" t="s">
        <v>729</v>
      </c>
      <c r="F661" s="15" t="s">
        <v>1408</v>
      </c>
      <c r="G661" s="15">
        <v>140.4</v>
      </c>
      <c r="H661" s="14" t="s">
        <v>1525</v>
      </c>
      <c r="I661" s="13" t="s">
        <v>730</v>
      </c>
      <c r="J661" s="15">
        <v>3</v>
      </c>
      <c r="K661" s="15">
        <v>554.64089999999999</v>
      </c>
      <c r="L661" s="15"/>
      <c r="M661" s="15" t="str">
        <f>HYPERLINK("http://ms.phosphosite.org:5080/cgi-bin/plot-msms.cgi?MassType=1&amp;NumAxis=1&amp;Mod10=170&amp;Mod15=184&amp;Pep=DVVGRPIDPREGPGR&amp;Dta=/var/www/html/dta/yong/23617.17777.3.dta&amp;Global_Mod=CS57.0215", "17777")</f>
        <v>17777</v>
      </c>
      <c r="N661" s="16"/>
      <c r="O661" s="16">
        <v>81.63</v>
      </c>
      <c r="P661" s="16"/>
      <c r="Q661" s="16">
        <v>2.3660000000000001</v>
      </c>
      <c r="R661" s="16"/>
      <c r="S661" s="16">
        <v>1.8982000000000001</v>
      </c>
      <c r="T661" s="16"/>
      <c r="U661" s="16">
        <v>6.9599999999999995E-2</v>
      </c>
      <c r="V661" s="15"/>
      <c r="W661" s="15">
        <v>73</v>
      </c>
      <c r="X661" s="16"/>
      <c r="Y661" s="16">
        <v>1.78</v>
      </c>
      <c r="Z661" s="17"/>
      <c r="AA661" s="17" t="s">
        <v>1306</v>
      </c>
      <c r="AB661" s="15" t="s">
        <v>13</v>
      </c>
    </row>
    <row r="662" spans="1:28">
      <c r="A662" s="3" t="s">
        <v>580</v>
      </c>
      <c r="B662" s="3" t="s">
        <v>1669</v>
      </c>
      <c r="C662" s="3" t="s">
        <v>1670</v>
      </c>
      <c r="D662" s="4">
        <v>512</v>
      </c>
      <c r="E662" s="3" t="s">
        <v>729</v>
      </c>
      <c r="F662" s="7" t="s">
        <v>1408</v>
      </c>
      <c r="G662" s="4">
        <v>140.4</v>
      </c>
      <c r="H662" s="3" t="s">
        <v>731</v>
      </c>
      <c r="I662" s="3" t="s">
        <v>732</v>
      </c>
      <c r="J662" s="4">
        <v>4</v>
      </c>
      <c r="K662" s="4">
        <v>940.94240000000002</v>
      </c>
      <c r="L662" s="4"/>
      <c r="M662" s="4" t="str">
        <f>HYPERLINK("http://ms.phosphosite.org:5080/cgi-bin/plot-msms.cgi?MassType=1&amp;NumAxis=1&amp;Mod25=184&amp;Pep=ATQQDLTNLFEEFGQIESINMIPPRGCAYVCM&amp;Dta=/var/www/html/dta/yong/23617.30988.4.dta&amp;Global_Mod=CS57.0215", "30988")</f>
        <v>30988</v>
      </c>
      <c r="N662" s="5"/>
      <c r="O662" s="5">
        <v>139.13999999999999</v>
      </c>
      <c r="P662" s="5"/>
      <c r="Q662" s="5">
        <v>3.794</v>
      </c>
      <c r="R662" s="5"/>
      <c r="S662" s="5">
        <v>3.0072999999999999</v>
      </c>
      <c r="T662" s="5"/>
      <c r="U662" s="5">
        <v>5.1700000000000003E-2</v>
      </c>
      <c r="V662" s="4"/>
      <c r="W662" s="4">
        <v>127</v>
      </c>
      <c r="X662" s="5"/>
      <c r="Y662" s="5">
        <v>1.87</v>
      </c>
      <c r="Z662" s="6"/>
      <c r="AA662" s="6">
        <v>1000</v>
      </c>
      <c r="AB662" s="4" t="s">
        <v>13</v>
      </c>
    </row>
    <row r="663" spans="1:28">
      <c r="A663" s="9" t="s">
        <v>580</v>
      </c>
      <c r="B663" s="3" t="s">
        <v>1669</v>
      </c>
      <c r="C663" s="3" t="s">
        <v>1670</v>
      </c>
      <c r="D663" s="7" t="s">
        <v>1803</v>
      </c>
      <c r="E663" s="9" t="s">
        <v>729</v>
      </c>
      <c r="F663" s="7" t="s">
        <v>1408</v>
      </c>
      <c r="G663" s="7">
        <v>140.4</v>
      </c>
      <c r="H663" s="9" t="s">
        <v>733</v>
      </c>
      <c r="I663" s="9" t="s">
        <v>734</v>
      </c>
      <c r="J663" s="7">
        <v>4</v>
      </c>
      <c r="K663" s="7">
        <v>693.6694</v>
      </c>
      <c r="L663" s="7" t="str">
        <f>HYPERLINK("http://ms.phosphosite.org:5080/cgi-bin/plot-msms.cgi?MassType=1&amp;NumAxis=1&amp;Mod2=184&amp;Mod13=184&amp;Pep=IRPGLIPQAPGPRFPLIQPGIPPQR&amp;Dta=/var/www/html/dta/yong/23616.20228.4.dta&amp;Global_Mod=CS57.0215", "20228")</f>
        <v>20228</v>
      </c>
      <c r="M663" s="7" t="str">
        <f>HYPERLINK("http://ms.phosphosite.org:5080/cgi-bin/plot-msms.cgi?MassType=1&amp;NumAxis=1&amp;Mod2=184&amp;Mod13=184&amp;Pep=IRPGLIPQAPGPRFPLIQPGIPPQR&amp;Dta=/var/www/html/dta/yong/23617.20454.4.dta&amp;Global_Mod=CS57.0215", "20454")</f>
        <v>20454</v>
      </c>
      <c r="N663" s="10">
        <v>92.78</v>
      </c>
      <c r="O663" s="10">
        <v>93.05</v>
      </c>
      <c r="P663" s="10">
        <v>3.4950000000000001</v>
      </c>
      <c r="Q663" s="10">
        <v>3.32</v>
      </c>
      <c r="R663" s="10">
        <v>1.1604000000000001</v>
      </c>
      <c r="S663" s="10">
        <v>0.54469999999999996</v>
      </c>
      <c r="T663" s="10">
        <v>0.2097</v>
      </c>
      <c r="U663" s="10">
        <v>0.21410000000000001</v>
      </c>
      <c r="V663" s="7">
        <v>1</v>
      </c>
      <c r="W663" s="7">
        <v>2</v>
      </c>
      <c r="X663" s="10">
        <v>2.97</v>
      </c>
      <c r="Y663" s="10">
        <v>2.9</v>
      </c>
      <c r="Z663" s="11" t="s">
        <v>1306</v>
      </c>
      <c r="AA663" s="11" t="s">
        <v>1306</v>
      </c>
      <c r="AB663" s="7" t="s">
        <v>13</v>
      </c>
    </row>
    <row r="664" spans="1:28">
      <c r="A664" s="9" t="s">
        <v>580</v>
      </c>
      <c r="B664" s="3" t="s">
        <v>1669</v>
      </c>
      <c r="C664" s="3" t="s">
        <v>1670</v>
      </c>
      <c r="D664" s="7" t="s">
        <v>1803</v>
      </c>
      <c r="E664" s="9" t="s">
        <v>729</v>
      </c>
      <c r="F664" s="7" t="s">
        <v>1408</v>
      </c>
      <c r="G664" s="7">
        <v>140.4</v>
      </c>
      <c r="H664" s="9" t="s">
        <v>733</v>
      </c>
      <c r="I664" s="9" t="s">
        <v>734</v>
      </c>
      <c r="J664" s="7">
        <v>4</v>
      </c>
      <c r="K664" s="7">
        <v>693.6694</v>
      </c>
      <c r="L664" s="7" t="str">
        <f>HYPERLINK("http://ms.phosphosite.org:5080/cgi-bin/plot-msms.cgi?MassType=1&amp;NumAxis=1&amp;Mod2=184&amp;Mod13=184&amp;Pep=IRPGLIPQAPGPRFPLIQPGIPPQR&amp;Dta=/var/www/html/dta/yong/23616.20268.4.dta&amp;Global_Mod=CS57.0215", "20268")</f>
        <v>20268</v>
      </c>
      <c r="M664" s="7" t="str">
        <f>HYPERLINK("http://ms.phosphosite.org:5080/cgi-bin/plot-msms.cgi?MassType=1&amp;NumAxis=1&amp;Mod2=184&amp;Mod13=184&amp;Pep=IRPGLIPQAPGPRFPLIQPGIPPQR&amp;Dta=/var/www/html/dta/yong/23617.20579.4.dta&amp;Global_Mod=CS57.0215", "20579")</f>
        <v>20579</v>
      </c>
      <c r="N664" s="10">
        <v>92.94</v>
      </c>
      <c r="O664" s="10">
        <v>93.57</v>
      </c>
      <c r="P664" s="10">
        <v>3.1989999999999998</v>
      </c>
      <c r="Q664" s="10">
        <v>2.327</v>
      </c>
      <c r="R664" s="10">
        <v>1.1299999999999999</v>
      </c>
      <c r="S664" s="10">
        <v>0.80289999999999995</v>
      </c>
      <c r="T664" s="10">
        <v>0.24010000000000001</v>
      </c>
      <c r="U664" s="10">
        <v>0.13400000000000001</v>
      </c>
      <c r="V664" s="7">
        <v>1</v>
      </c>
      <c r="W664" s="7">
        <v>2</v>
      </c>
      <c r="X664" s="10">
        <v>3.06</v>
      </c>
      <c r="Y664" s="10">
        <v>2.13</v>
      </c>
      <c r="Z664" s="11" t="s">
        <v>1306</v>
      </c>
      <c r="AA664" s="11" t="s">
        <v>1306</v>
      </c>
      <c r="AB664" s="7" t="s">
        <v>13</v>
      </c>
    </row>
    <row r="665" spans="1:28">
      <c r="A665" s="9" t="s">
        <v>580</v>
      </c>
      <c r="B665" s="3" t="s">
        <v>1669</v>
      </c>
      <c r="C665" s="3" t="s">
        <v>1670</v>
      </c>
      <c r="D665" s="7" t="s">
        <v>1803</v>
      </c>
      <c r="E665" s="9" t="s">
        <v>729</v>
      </c>
      <c r="F665" s="7" t="s">
        <v>1408</v>
      </c>
      <c r="G665" s="7">
        <v>140.4</v>
      </c>
      <c r="H665" s="9" t="s">
        <v>733</v>
      </c>
      <c r="I665" s="9" t="s">
        <v>734</v>
      </c>
      <c r="J665" s="7">
        <v>4</v>
      </c>
      <c r="K665" s="7">
        <v>693.6694</v>
      </c>
      <c r="L665" s="7" t="str">
        <f>HYPERLINK("http://ms.phosphosite.org:5080/cgi-bin/plot-msms.cgi?MassType=1&amp;NumAxis=1&amp;Mod2=184&amp;Mod13=184&amp;Pep=IRPGLIPQAPGPRFPLIQPGIPPQR&amp;Dta=/var/www/html/dta/yong/23616.20310.4.dta&amp;Global_Mod=CS57.0215", "20310")</f>
        <v>20310</v>
      </c>
      <c r="M665" s="7" t="str">
        <f>HYPERLINK("http://ms.phosphosite.org:5080/cgi-bin/plot-msms.cgi?MassType=1&amp;NumAxis=1&amp;Mod2=184&amp;Mod13=184&amp;Pep=IRPGLIPQAPGPRFPLIQPGIPPQR&amp;Dta=/var/www/html/dta/yong/23617.20388.4.dta&amp;Global_Mod=CS57.0215", "20388")</f>
        <v>20388</v>
      </c>
      <c r="N665" s="10">
        <v>93.12</v>
      </c>
      <c r="O665" s="10">
        <v>92.77</v>
      </c>
      <c r="P665" s="10">
        <v>3.625</v>
      </c>
      <c r="Q665" s="10">
        <v>3.5819999999999999</v>
      </c>
      <c r="R665" s="10">
        <v>0.9667</v>
      </c>
      <c r="S665" s="10">
        <v>0.38919999999999999</v>
      </c>
      <c r="T665" s="10">
        <v>0.26690000000000003</v>
      </c>
      <c r="U665" s="10">
        <v>0.35039999999999999</v>
      </c>
      <c r="V665" s="7">
        <v>1</v>
      </c>
      <c r="W665" s="7">
        <v>1</v>
      </c>
      <c r="X665" s="10">
        <v>3.34</v>
      </c>
      <c r="Y665" s="10">
        <v>3.76</v>
      </c>
      <c r="Z665" s="11" t="s">
        <v>1306</v>
      </c>
      <c r="AA665" s="11" t="s">
        <v>1306</v>
      </c>
      <c r="AB665" s="7" t="s">
        <v>13</v>
      </c>
    </row>
    <row r="666" spans="1:28">
      <c r="A666" s="9" t="s">
        <v>580</v>
      </c>
      <c r="B666" s="3" t="s">
        <v>1669</v>
      </c>
      <c r="C666" s="3" t="s">
        <v>1670</v>
      </c>
      <c r="D666" s="7" t="s">
        <v>1803</v>
      </c>
      <c r="E666" s="9" t="s">
        <v>729</v>
      </c>
      <c r="F666" s="7" t="s">
        <v>1408</v>
      </c>
      <c r="G666" s="7">
        <v>140.4</v>
      </c>
      <c r="H666" s="9" t="s">
        <v>733</v>
      </c>
      <c r="I666" s="9" t="s">
        <v>734</v>
      </c>
      <c r="J666" s="7">
        <v>4</v>
      </c>
      <c r="K666" s="7">
        <v>693.6694</v>
      </c>
      <c r="L666" s="7" t="str">
        <f>HYPERLINK("http://ms.phosphosite.org:5080/cgi-bin/plot-msms.cgi?MassType=1&amp;NumAxis=1&amp;Mod2=184&amp;Mod13=184&amp;Pep=IRPGLIPQAPGPRFPLIQPGIPPQR&amp;Dta=/var/www/html/dta/yong/23616.20432.4.dta&amp;Global_Mod=CS57.0215", "20432")</f>
        <v>20432</v>
      </c>
      <c r="M666" s="7"/>
      <c r="N666" s="10">
        <v>93.65</v>
      </c>
      <c r="O666" s="10"/>
      <c r="P666" s="10">
        <v>3.2879999999999998</v>
      </c>
      <c r="Q666" s="10"/>
      <c r="R666" s="10">
        <v>0.74809999999999999</v>
      </c>
      <c r="S666" s="10"/>
      <c r="T666" s="10">
        <v>0.19189999999999999</v>
      </c>
      <c r="U666" s="10"/>
      <c r="V666" s="7">
        <v>13</v>
      </c>
      <c r="W666" s="7"/>
      <c r="X666" s="10">
        <v>2.83</v>
      </c>
      <c r="Y666" s="10"/>
      <c r="Z666" s="11" t="s">
        <v>1306</v>
      </c>
      <c r="AA666" s="11"/>
      <c r="AB666" s="7" t="s">
        <v>13</v>
      </c>
    </row>
    <row r="667" spans="1:28">
      <c r="A667" s="9" t="s">
        <v>580</v>
      </c>
      <c r="B667" s="3" t="s">
        <v>1669</v>
      </c>
      <c r="C667" s="3" t="s">
        <v>1670</v>
      </c>
      <c r="D667" s="7" t="s">
        <v>1803</v>
      </c>
      <c r="E667" s="9" t="s">
        <v>729</v>
      </c>
      <c r="F667" s="7" t="s">
        <v>1408</v>
      </c>
      <c r="G667" s="7">
        <v>140.4</v>
      </c>
      <c r="H667" s="9" t="s">
        <v>733</v>
      </c>
      <c r="I667" s="9" t="s">
        <v>735</v>
      </c>
      <c r="J667" s="7">
        <v>4</v>
      </c>
      <c r="K667" s="7">
        <v>750.69719999999995</v>
      </c>
      <c r="L667" s="7" t="str">
        <f>HYPERLINK("http://ms.phosphosite.org:5080/cgi-bin/plot-msms.cgi?MassType=1&amp;NumAxis=1&amp;Mod4=184&amp;Mod15=184&amp;Pep=LDIRPGLIPQAPGPRFPLIQPGIPPQR&amp;Dta=/var/www/html/dta/yong/23616.22710.4.dta&amp;Global_Mod=CS57.0215", "22710")</f>
        <v>22710</v>
      </c>
      <c r="M667" s="7" t="str">
        <f>HYPERLINK("http://ms.phosphosite.org:5080/cgi-bin/plot-msms.cgi?MassType=1&amp;NumAxis=1&amp;Mod4=184&amp;Mod15=184&amp;Pep=LDIRPGLIPQAPGPRFPLIQPGIPPQR&amp;Dta=/var/www/html/dta/yong/23617.23244.4.dta&amp;Global_Mod=CS57.0215", "23244")</f>
        <v>23244</v>
      </c>
      <c r="N667" s="10">
        <v>102.94</v>
      </c>
      <c r="O667" s="10">
        <v>104.49</v>
      </c>
      <c r="P667" s="10">
        <v>3.5169999999999999</v>
      </c>
      <c r="Q667" s="10">
        <v>3.8650000000000002</v>
      </c>
      <c r="R667" s="10">
        <v>1.1657999999999999</v>
      </c>
      <c r="S667" s="10">
        <v>1.6363000000000001</v>
      </c>
      <c r="T667" s="10">
        <v>0.313</v>
      </c>
      <c r="U667" s="10">
        <v>0.35210000000000002</v>
      </c>
      <c r="V667" s="7">
        <v>1</v>
      </c>
      <c r="W667" s="7">
        <v>1</v>
      </c>
      <c r="X667" s="10">
        <v>3.54</v>
      </c>
      <c r="Y667" s="10">
        <v>3.77</v>
      </c>
      <c r="Z667" s="11" t="s">
        <v>1306</v>
      </c>
      <c r="AA667" s="11" t="s">
        <v>1306</v>
      </c>
      <c r="AB667" s="7" t="s">
        <v>13</v>
      </c>
    </row>
    <row r="668" spans="1:28">
      <c r="A668" s="9" t="s">
        <v>580</v>
      </c>
      <c r="B668" s="3" t="s">
        <v>1669</v>
      </c>
      <c r="C668" s="3" t="s">
        <v>1670</v>
      </c>
      <c r="D668" s="7" t="s">
        <v>1803</v>
      </c>
      <c r="E668" s="9" t="s">
        <v>729</v>
      </c>
      <c r="F668" s="7" t="s">
        <v>1408</v>
      </c>
      <c r="G668" s="7">
        <v>140.4</v>
      </c>
      <c r="H668" s="9" t="s">
        <v>733</v>
      </c>
      <c r="I668" s="9" t="s">
        <v>735</v>
      </c>
      <c r="J668" s="7">
        <v>4</v>
      </c>
      <c r="K668" s="7">
        <v>750.69719999999995</v>
      </c>
      <c r="L668" s="7" t="str">
        <f>HYPERLINK("http://ms.phosphosite.org:5080/cgi-bin/plot-msms.cgi?MassType=1&amp;NumAxis=1&amp;Mod4=184&amp;Mod15=184&amp;Pep=LDIRPGLIPQAPGPRFPLIQPGIPPQR&amp;Dta=/var/www/html/dta/yong/23616.22961.4.dta&amp;Global_Mod=CS57.0215", "22961")</f>
        <v>22961</v>
      </c>
      <c r="M668" s="7" t="str">
        <f>HYPERLINK("http://ms.phosphosite.org:5080/cgi-bin/plot-msms.cgi?MassType=1&amp;NumAxis=1&amp;Mod4=184&amp;Mod15=184&amp;Pep=LDIRPGLIPQAPGPRFPLIQPGIPPQR&amp;Dta=/var/www/html/dta/yong/23617.23266.4.dta&amp;Global_Mod=CS57.0215", "23266")</f>
        <v>23266</v>
      </c>
      <c r="N668" s="10">
        <v>103.94</v>
      </c>
      <c r="O668" s="10">
        <v>104.58</v>
      </c>
      <c r="P668" s="10">
        <v>3.8879999999999999</v>
      </c>
      <c r="Q668" s="10">
        <v>3.714</v>
      </c>
      <c r="R668" s="10">
        <v>1.4367000000000001</v>
      </c>
      <c r="S668" s="10">
        <v>1.7346999999999999</v>
      </c>
      <c r="T668" s="10">
        <v>0.186</v>
      </c>
      <c r="U668" s="10">
        <v>0.25359999999999999</v>
      </c>
      <c r="V668" s="7">
        <v>1</v>
      </c>
      <c r="W668" s="7">
        <v>1</v>
      </c>
      <c r="X668" s="10">
        <v>2.92</v>
      </c>
      <c r="Y668" s="10">
        <v>3.16</v>
      </c>
      <c r="Z668" s="11" t="s">
        <v>1306</v>
      </c>
      <c r="AA668" s="11" t="s">
        <v>1306</v>
      </c>
      <c r="AB668" s="7" t="s">
        <v>13</v>
      </c>
    </row>
    <row r="669" spans="1:28">
      <c r="A669" s="9" t="s">
        <v>580</v>
      </c>
      <c r="B669" s="3" t="s">
        <v>1669</v>
      </c>
      <c r="C669" s="3" t="s">
        <v>1670</v>
      </c>
      <c r="D669" s="7" t="s">
        <v>1803</v>
      </c>
      <c r="E669" s="9" t="s">
        <v>729</v>
      </c>
      <c r="F669" s="7" t="s">
        <v>1408</v>
      </c>
      <c r="G669" s="7">
        <v>140.4</v>
      </c>
      <c r="H669" s="9" t="s">
        <v>733</v>
      </c>
      <c r="I669" s="9" t="s">
        <v>735</v>
      </c>
      <c r="J669" s="7">
        <v>4</v>
      </c>
      <c r="K669" s="7">
        <v>750.69719999999995</v>
      </c>
      <c r="L669" s="7" t="str">
        <f>HYPERLINK("http://ms.phosphosite.org:5080/cgi-bin/plot-msms.cgi?MassType=1&amp;NumAxis=1&amp;Mod4=184&amp;Mod15=184&amp;Pep=LDIRPGLIPQAPGPRFPLIQPGIPPQR&amp;Dta=/var/www/html/dta/yong/23616.23117.4.dta&amp;Global_Mod=CS57.0215", "23117")</f>
        <v>23117</v>
      </c>
      <c r="M669" s="7" t="str">
        <f>HYPERLINK("http://ms.phosphosite.org:5080/cgi-bin/plot-msms.cgi?MassType=1&amp;NumAxis=1&amp;Mod4=184&amp;Mod15=184&amp;Pep=LDIRPGLIPQAPGPRFPLIQPGIPPQR&amp;Dta=/var/www/html/dta/yong/23617.23071.4.dta&amp;Global_Mod=CS57.0215", "23071")</f>
        <v>23071</v>
      </c>
      <c r="N669" s="10">
        <v>104.58</v>
      </c>
      <c r="O669" s="10">
        <v>103.77</v>
      </c>
      <c r="P669" s="10">
        <v>3.5680000000000001</v>
      </c>
      <c r="Q669" s="10">
        <v>3.4390000000000001</v>
      </c>
      <c r="R669" s="10">
        <v>0.99319999999999997</v>
      </c>
      <c r="S669" s="10">
        <v>1.9434</v>
      </c>
      <c r="T669" s="10">
        <v>0.28610000000000002</v>
      </c>
      <c r="U669" s="10">
        <v>0.2387</v>
      </c>
      <c r="V669" s="7">
        <v>1</v>
      </c>
      <c r="W669" s="7">
        <v>2</v>
      </c>
      <c r="X669" s="10">
        <v>3.41</v>
      </c>
      <c r="Y669" s="10">
        <v>2.99</v>
      </c>
      <c r="Z669" s="11" t="s">
        <v>1306</v>
      </c>
      <c r="AA669" s="11" t="s">
        <v>1306</v>
      </c>
      <c r="AB669" s="7" t="s">
        <v>13</v>
      </c>
    </row>
    <row r="670" spans="1:28">
      <c r="A670" s="9" t="s">
        <v>580</v>
      </c>
      <c r="B670" s="3" t="s">
        <v>1669</v>
      </c>
      <c r="C670" s="3" t="s">
        <v>1670</v>
      </c>
      <c r="D670" s="7" t="s">
        <v>1803</v>
      </c>
      <c r="E670" s="9" t="s">
        <v>729</v>
      </c>
      <c r="F670" s="7" t="s">
        <v>1408</v>
      </c>
      <c r="G670" s="7">
        <v>140.4</v>
      </c>
      <c r="H670" s="9" t="s">
        <v>733</v>
      </c>
      <c r="I670" s="9" t="s">
        <v>735</v>
      </c>
      <c r="J670" s="7">
        <v>4</v>
      </c>
      <c r="K670" s="7">
        <v>750.69719999999995</v>
      </c>
      <c r="L670" s="7" t="str">
        <f>HYPERLINK("http://ms.phosphosite.org:5080/cgi-bin/plot-msms.cgi?MassType=1&amp;NumAxis=1&amp;Mod4=184&amp;Mod15=184&amp;Pep=LDIRPGLIPQAPGPRFPLIQPGIPPQR&amp;Dta=/var/www/html/dta/yong/23616.23134.4.dta&amp;Global_Mod=CS57.0215", "23134")</f>
        <v>23134</v>
      </c>
      <c r="M670" s="7" t="str">
        <f>HYPERLINK("http://ms.phosphosite.org:5080/cgi-bin/plot-msms.cgi?MassType=1&amp;NumAxis=1&amp;Mod4=184&amp;Mod15=184&amp;Pep=LDIRPGLIPQAPGPRFPLIQPGIPPQR&amp;Dta=/var/www/html/dta/yong/23617.22829.4.dta&amp;Global_Mod=CS57.0215", "22829")</f>
        <v>22829</v>
      </c>
      <c r="N670" s="10">
        <v>104.65</v>
      </c>
      <c r="O670" s="10">
        <v>102.78</v>
      </c>
      <c r="P670" s="10">
        <v>3.6859999999999999</v>
      </c>
      <c r="Q670" s="10">
        <v>3.246</v>
      </c>
      <c r="R670" s="10">
        <v>0.98809999999999998</v>
      </c>
      <c r="S670" s="10">
        <v>1.0323</v>
      </c>
      <c r="T670" s="10">
        <v>0.23119999999999999</v>
      </c>
      <c r="U670" s="10">
        <v>0.20069999999999999</v>
      </c>
      <c r="V670" s="7">
        <v>1</v>
      </c>
      <c r="W670" s="7">
        <v>1</v>
      </c>
      <c r="X670" s="10">
        <v>3.14</v>
      </c>
      <c r="Y670" s="10">
        <v>2.76</v>
      </c>
      <c r="Z670" s="11" t="s">
        <v>1306</v>
      </c>
      <c r="AA670" s="11" t="s">
        <v>1306</v>
      </c>
      <c r="AB670" s="7" t="s">
        <v>13</v>
      </c>
    </row>
    <row r="671" spans="1:28">
      <c r="A671" s="9" t="s">
        <v>580</v>
      </c>
      <c r="B671" s="3" t="s">
        <v>1669</v>
      </c>
      <c r="C671" s="3" t="s">
        <v>1670</v>
      </c>
      <c r="D671" s="7" t="s">
        <v>1803</v>
      </c>
      <c r="E671" s="9" t="s">
        <v>729</v>
      </c>
      <c r="F671" s="7" t="s">
        <v>1408</v>
      </c>
      <c r="G671" s="7">
        <v>140.4</v>
      </c>
      <c r="H671" s="9" t="s">
        <v>733</v>
      </c>
      <c r="I671" s="9" t="s">
        <v>736</v>
      </c>
      <c r="J671" s="7">
        <v>4</v>
      </c>
      <c r="K671" s="7">
        <v>848.47810000000004</v>
      </c>
      <c r="L671" s="7" t="str">
        <f>HYPERLINK("http://ms.phosphosite.org:5080/cgi-bin/plot-msms.cgi?MassType=1&amp;NumAxis=1&amp;Mod1=147&amp;Mod3=147&amp;Mod7=184&amp;Mod18=184&amp;Pep=MPMLDIRPGLIPQAPGPRFPLIQPGIPPQR&amp;Dta=/var/www/html/dta/yong/23616.23328.4.dta&amp;Global_Mod=CS57.0215", "23328")</f>
        <v>23328</v>
      </c>
      <c r="M671" s="7"/>
      <c r="N671" s="10">
        <v>105.43</v>
      </c>
      <c r="O671" s="10"/>
      <c r="P671" s="10">
        <v>3.5150000000000001</v>
      </c>
      <c r="Q671" s="10"/>
      <c r="R671" s="10">
        <v>0.33129999999999998</v>
      </c>
      <c r="S671" s="10"/>
      <c r="T671" s="10">
        <v>6.08E-2</v>
      </c>
      <c r="U671" s="10"/>
      <c r="V671" s="7">
        <v>19</v>
      </c>
      <c r="W671" s="7"/>
      <c r="X671" s="10">
        <v>2.11</v>
      </c>
      <c r="Y671" s="10"/>
      <c r="Z671" s="11" t="s">
        <v>1306</v>
      </c>
      <c r="AA671" s="11"/>
      <c r="AB671" s="7" t="s">
        <v>13</v>
      </c>
    </row>
    <row r="672" spans="1:28">
      <c r="A672" s="3" t="s">
        <v>580</v>
      </c>
      <c r="B672" s="3" t="s">
        <v>1669</v>
      </c>
      <c r="C672" s="3" t="s">
        <v>1670</v>
      </c>
      <c r="D672" s="4">
        <v>938</v>
      </c>
      <c r="E672" s="3" t="s">
        <v>729</v>
      </c>
      <c r="F672" s="7" t="s">
        <v>1408</v>
      </c>
      <c r="G672" s="4">
        <v>140.4</v>
      </c>
      <c r="H672" s="3" t="s">
        <v>737</v>
      </c>
      <c r="I672" s="3" t="s">
        <v>738</v>
      </c>
      <c r="J672" s="4">
        <v>3</v>
      </c>
      <c r="K672" s="4">
        <v>825.48469999999998</v>
      </c>
      <c r="L672" s="4"/>
      <c r="M672" s="4" t="str">
        <f>HYPERLINK("http://ms.phosphosite.org:5080/cgi-bin/plot-msms.cgi?MassType=1&amp;NumAxis=1&amp;Mod11=184&amp;Pep=PGLIPQAPGPRFPLIQPGIPPQR&amp;Dta=/var/www/html/dta/yong/23617.22328.3.dta&amp;Global_Mod=CS57.0215", "22328")</f>
        <v>22328</v>
      </c>
      <c r="N672" s="5"/>
      <c r="O672" s="5">
        <v>100.8</v>
      </c>
      <c r="P672" s="5"/>
      <c r="Q672" s="5">
        <v>2.4620000000000002</v>
      </c>
      <c r="R672" s="5"/>
      <c r="S672" s="5">
        <v>0.73880000000000001</v>
      </c>
      <c r="T672" s="5"/>
      <c r="U672" s="5">
        <v>0.31630000000000003</v>
      </c>
      <c r="V672" s="4"/>
      <c r="W672" s="4">
        <v>23</v>
      </c>
      <c r="X672" s="5"/>
      <c r="Y672" s="5">
        <v>3.2</v>
      </c>
      <c r="Z672" s="6"/>
      <c r="AA672" s="6">
        <v>1000</v>
      </c>
      <c r="AB672" s="4" t="s">
        <v>13</v>
      </c>
    </row>
    <row r="673" spans="1:28" s="18" customFormat="1">
      <c r="A673" s="13" t="s">
        <v>580</v>
      </c>
      <c r="B673" s="13" t="s">
        <v>1671</v>
      </c>
      <c r="C673" s="13" t="s">
        <v>1668</v>
      </c>
      <c r="D673" s="15"/>
      <c r="E673" s="13" t="s">
        <v>729</v>
      </c>
      <c r="F673" s="15" t="s">
        <v>1408</v>
      </c>
      <c r="G673" s="15">
        <v>140.4</v>
      </c>
      <c r="H673" s="13"/>
      <c r="I673" s="13" t="s">
        <v>739</v>
      </c>
      <c r="J673" s="15">
        <v>4</v>
      </c>
      <c r="K673" s="15">
        <v>941.43719999999996</v>
      </c>
      <c r="L673" s="15" t="str">
        <f>HYPERLINK("http://ms.phosphosite.org:5080/cgi-bin/plot-msms.cgi?MassType=1&amp;NumAxis=1&amp;Mod25=170&amp;Mod32=147&amp;Pep=ATQQDLTNLFEEFGQIESINMIPPRGCAYVCM&amp;Dta=/var/www/html/dta/yong/23616.24512.4.dta&amp;Global_Mod=CS57.0215", "24512")</f>
        <v>24512</v>
      </c>
      <c r="M673" s="15"/>
      <c r="N673" s="16">
        <v>110.21</v>
      </c>
      <c r="O673" s="16"/>
      <c r="P673" s="16">
        <v>3.5710000000000002</v>
      </c>
      <c r="Q673" s="16"/>
      <c r="R673" s="16">
        <v>9.7708999999999993</v>
      </c>
      <c r="S673" s="16"/>
      <c r="T673" s="16">
        <v>8.9099999999999999E-2</v>
      </c>
      <c r="U673" s="16"/>
      <c r="V673" s="15">
        <v>174</v>
      </c>
      <c r="W673" s="15"/>
      <c r="X673" s="16">
        <v>1.76</v>
      </c>
      <c r="Y673" s="16"/>
      <c r="Z673" s="17">
        <v>1000</v>
      </c>
      <c r="AA673" s="17"/>
      <c r="AB673" s="15" t="s">
        <v>13</v>
      </c>
    </row>
    <row r="674" spans="1:28">
      <c r="A674" s="9" t="s">
        <v>580</v>
      </c>
      <c r="B674" s="9" t="s">
        <v>740</v>
      </c>
      <c r="C674" s="9" t="s">
        <v>740</v>
      </c>
      <c r="D674" s="7">
        <v>2384</v>
      </c>
      <c r="E674" s="9" t="s">
        <v>741</v>
      </c>
      <c r="F674" s="7" t="s">
        <v>1409</v>
      </c>
      <c r="G674" s="7">
        <v>299.39999999999998</v>
      </c>
      <c r="H674" s="9" t="s">
        <v>742</v>
      </c>
      <c r="I674" s="9" t="s">
        <v>743</v>
      </c>
      <c r="J674" s="7">
        <v>3</v>
      </c>
      <c r="K674" s="7">
        <v>782.41430000000003</v>
      </c>
      <c r="L674" s="7" t="str">
        <f>HYPERLINK("http://ms.phosphosite.org:5080/cgi-bin/plot-msms.cgi?MassType=1&amp;NumAxis=1&amp;Mod1=147&amp;Mod14=184&amp;Pep=MAPALSGANLTSPRVPLSAYER&amp;Dta=/var/www/html/dta/yong/23616.16411.3.dta&amp;Global_Mod=CS57.0215", "16411")</f>
        <v>16411</v>
      </c>
      <c r="M674" s="7"/>
      <c r="N674" s="10">
        <v>76.569999999999993</v>
      </c>
      <c r="O674" s="10"/>
      <c r="P674" s="10">
        <v>2.173</v>
      </c>
      <c r="Q674" s="10"/>
      <c r="R674" s="10">
        <v>1.0262</v>
      </c>
      <c r="S674" s="10"/>
      <c r="T674" s="10">
        <v>0.1744</v>
      </c>
      <c r="U674" s="10"/>
      <c r="V674" s="7">
        <v>51</v>
      </c>
      <c r="W674" s="7"/>
      <c r="X674" s="10">
        <v>1.3</v>
      </c>
      <c r="Y674" s="10"/>
      <c r="Z674" s="11">
        <v>1000</v>
      </c>
      <c r="AA674" s="11"/>
      <c r="AB674" s="7" t="s">
        <v>13</v>
      </c>
    </row>
    <row r="675" spans="1:28">
      <c r="A675" s="9" t="s">
        <v>580</v>
      </c>
      <c r="B675" s="9" t="s">
        <v>1672</v>
      </c>
      <c r="C675" s="9" t="s">
        <v>1673</v>
      </c>
      <c r="D675" s="7" t="s">
        <v>1804</v>
      </c>
      <c r="E675" s="9" t="s">
        <v>744</v>
      </c>
      <c r="F675" s="7" t="s">
        <v>1410</v>
      </c>
      <c r="G675" s="7">
        <v>63.1</v>
      </c>
      <c r="H675" s="9" t="s">
        <v>745</v>
      </c>
      <c r="I675" s="9" t="s">
        <v>748</v>
      </c>
      <c r="J675" s="7">
        <v>3</v>
      </c>
      <c r="K675" s="7">
        <v>1240.2669000000001</v>
      </c>
      <c r="L675" s="7" t="str">
        <f>HYPERLINK("http://ms.phosphosite.org:5080/cgi-bin/plot-msms.cgi?MassType=1&amp;NumAxis=1&amp;Mod1=147&amp;Mod9=147&amp;Mod10=184&amp;Mod17=184&amp;Pep=MQSTYNYNMRGGAYPPRYFYPFPVPPLLYQ&amp;Dta=/var/www/html/dta/yong/23616.28895.3.dta&amp;Global_Mod=CS57.0215", "28895")</f>
        <v>28895</v>
      </c>
      <c r="M675" s="7" t="str">
        <f>HYPERLINK("http://ms.phosphosite.org:5080/cgi-bin/plot-msms.cgi?MassType=1&amp;NumAxis=1&amp;Mod1=147&amp;Mod9=147&amp;Mod10=184&amp;Mod17=184&amp;Pep=MQSTYNYNMRGGAYPPRYFYPFPVPPLLYQ&amp;Dta=/var/www/html/dta/yong/23617.29147.3.dta&amp;Global_Mod=CS57.0215", "29147")</f>
        <v>29147</v>
      </c>
      <c r="N675" s="10">
        <v>129.56</v>
      </c>
      <c r="O675" s="10">
        <v>130.34</v>
      </c>
      <c r="P675" s="10">
        <v>2.3119999999999998</v>
      </c>
      <c r="Q675" s="10">
        <v>2.56</v>
      </c>
      <c r="R675" s="10">
        <v>1.5803</v>
      </c>
      <c r="S675" s="10">
        <v>1.5881000000000001</v>
      </c>
      <c r="T675" s="10">
        <v>5.8900000000000001E-2</v>
      </c>
      <c r="U675" s="10">
        <v>0.16969999999999999</v>
      </c>
      <c r="V675" s="7">
        <v>27</v>
      </c>
      <c r="W675" s="7">
        <v>1</v>
      </c>
      <c r="X675" s="10">
        <v>1.8</v>
      </c>
      <c r="Y675" s="10">
        <v>2.31</v>
      </c>
      <c r="Z675" s="11" t="s">
        <v>1306</v>
      </c>
      <c r="AA675" s="11" t="s">
        <v>1306</v>
      </c>
      <c r="AB675" s="7" t="s">
        <v>13</v>
      </c>
    </row>
    <row r="676" spans="1:28">
      <c r="A676" s="9" t="s">
        <v>580</v>
      </c>
      <c r="B676" s="9" t="s">
        <v>1672</v>
      </c>
      <c r="C676" s="9" t="s">
        <v>1673</v>
      </c>
      <c r="D676" s="7" t="s">
        <v>1804</v>
      </c>
      <c r="E676" s="9" t="s">
        <v>744</v>
      </c>
      <c r="F676" s="7" t="s">
        <v>1410</v>
      </c>
      <c r="G676" s="7">
        <v>63.1</v>
      </c>
      <c r="H676" s="9" t="s">
        <v>745</v>
      </c>
      <c r="I676" s="9" t="s">
        <v>748</v>
      </c>
      <c r="J676" s="7">
        <v>3</v>
      </c>
      <c r="K676" s="7">
        <v>1240.2669000000001</v>
      </c>
      <c r="L676" s="7" t="str">
        <f>HYPERLINK("http://ms.phosphosite.org:5080/cgi-bin/plot-msms.cgi?MassType=1&amp;NumAxis=1&amp;Mod1=147&amp;Mod9=147&amp;Mod10=184&amp;Mod17=184&amp;Pep=MQSTYNYNMRGGAYPPRYFYPFPVPPLLYQ&amp;Dta=/var/www/html/dta/yong/23616.29089.3.dta&amp;Global_Mod=CS57.0215", "29089")</f>
        <v>29089</v>
      </c>
      <c r="M676" s="7" t="str">
        <f>HYPERLINK("http://ms.phosphosite.org:5080/cgi-bin/plot-msms.cgi?MassType=1&amp;NumAxis=1&amp;Mod1=147&amp;Mod9=147&amp;Mod10=184&amp;Mod17=184&amp;Pep=MQSTYNYNMRGGAYPPRYFYPFPVPPLLYQ&amp;Dta=/var/www/html/dta/yong/23617.29134.3.dta&amp;Global_Mod=CS57.0215", "29134")</f>
        <v>29134</v>
      </c>
      <c r="N676" s="10">
        <v>130.43</v>
      </c>
      <c r="O676" s="10">
        <v>130.29</v>
      </c>
      <c r="P676" s="10">
        <v>2.9460000000000002</v>
      </c>
      <c r="Q676" s="10">
        <v>2.7240000000000002</v>
      </c>
      <c r="R676" s="10">
        <v>1.4408000000000001</v>
      </c>
      <c r="S676" s="10">
        <v>1.6108</v>
      </c>
      <c r="T676" s="10">
        <v>0.18459999999999999</v>
      </c>
      <c r="U676" s="10">
        <v>0.2069</v>
      </c>
      <c r="V676" s="7">
        <v>1</v>
      </c>
      <c r="W676" s="7">
        <v>1</v>
      </c>
      <c r="X676" s="10">
        <v>2.71</v>
      </c>
      <c r="Y676" s="10">
        <v>2.57</v>
      </c>
      <c r="Z676" s="11" t="s">
        <v>1306</v>
      </c>
      <c r="AA676" s="11" t="s">
        <v>1306</v>
      </c>
      <c r="AB676" s="7" t="s">
        <v>13</v>
      </c>
    </row>
    <row r="677" spans="1:28">
      <c r="A677" s="9" t="s">
        <v>580</v>
      </c>
      <c r="B677" s="9" t="s">
        <v>1672</v>
      </c>
      <c r="C677" s="9" t="s">
        <v>1673</v>
      </c>
      <c r="D677" s="7" t="s">
        <v>1804</v>
      </c>
      <c r="E677" s="9" t="s">
        <v>744</v>
      </c>
      <c r="F677" s="7" t="s">
        <v>1410</v>
      </c>
      <c r="G677" s="7">
        <v>63.1</v>
      </c>
      <c r="H677" s="9" t="s">
        <v>745</v>
      </c>
      <c r="I677" s="9" t="s">
        <v>748</v>
      </c>
      <c r="J677" s="7">
        <v>3</v>
      </c>
      <c r="K677" s="7">
        <v>1240.2669000000001</v>
      </c>
      <c r="L677" s="7" t="str">
        <f>HYPERLINK("http://ms.phosphosite.org:5080/cgi-bin/plot-msms.cgi?MassType=1&amp;NumAxis=1&amp;Mod1=147&amp;Mod9=147&amp;Mod10=184&amp;Mod17=184&amp;Pep=MQSTYNYNMRGGAYPPRYFYPFPVPPLLYQ&amp;Dta=/var/www/html/dta/yong/23616.29158.3.dta&amp;Global_Mod=CS57.0215", "29158")</f>
        <v>29158</v>
      </c>
      <c r="M677" s="7" t="str">
        <f>HYPERLINK("http://ms.phosphosite.org:5080/cgi-bin/plot-msms.cgi?MassType=1&amp;NumAxis=1&amp;Mod1=147&amp;Mod9=147&amp;Mod10=184&amp;Mod17=184&amp;Pep=MQSTYNYNMRGGAYPPRYFYPFPVPPLLYQ&amp;Dta=/var/www/html/dta/yong/23617.28947.3.dta&amp;Global_Mod=CS57.0215", "28947")</f>
        <v>28947</v>
      </c>
      <c r="N677" s="10">
        <v>130.72</v>
      </c>
      <c r="O677" s="10">
        <v>129.44</v>
      </c>
      <c r="P677" s="10">
        <v>2.4510000000000001</v>
      </c>
      <c r="Q677" s="10">
        <v>2.2090000000000001</v>
      </c>
      <c r="R677" s="10">
        <v>2.4822000000000002</v>
      </c>
      <c r="S677" s="10">
        <v>1.8489</v>
      </c>
      <c r="T677" s="10">
        <v>9.1399999999999995E-2</v>
      </c>
      <c r="U677" s="10">
        <v>4.7899999999999998E-2</v>
      </c>
      <c r="V677" s="7">
        <v>1</v>
      </c>
      <c r="W677" s="7">
        <v>14</v>
      </c>
      <c r="X677" s="10">
        <v>1.99</v>
      </c>
      <c r="Y677" s="10">
        <v>1.5</v>
      </c>
      <c r="Z677" s="11" t="s">
        <v>1306</v>
      </c>
      <c r="AA677" s="11" t="s">
        <v>1306</v>
      </c>
      <c r="AB677" s="7" t="s">
        <v>13</v>
      </c>
    </row>
    <row r="678" spans="1:28">
      <c r="A678" s="9" t="s">
        <v>580</v>
      </c>
      <c r="B678" s="9" t="s">
        <v>1672</v>
      </c>
      <c r="C678" s="9" t="s">
        <v>1673</v>
      </c>
      <c r="D678" s="7" t="s">
        <v>1804</v>
      </c>
      <c r="E678" s="9" t="s">
        <v>744</v>
      </c>
      <c r="F678" s="7" t="s">
        <v>1410</v>
      </c>
      <c r="G678" s="7">
        <v>63.1</v>
      </c>
      <c r="H678" s="9" t="s">
        <v>745</v>
      </c>
      <c r="I678" s="9" t="s">
        <v>746</v>
      </c>
      <c r="J678" s="7">
        <v>3</v>
      </c>
      <c r="K678" s="7">
        <v>1143.2263</v>
      </c>
      <c r="L678" s="7" t="str">
        <f>HYPERLINK("http://ms.phosphosite.org:5080/cgi-bin/plot-msms.cgi?MassType=1&amp;NumAxis=1&amp;Mod1=147&amp;Mod9=147&amp;Mod10=184&amp;Mod17=184&amp;Pep=MQSTYNYNMRGGAYPPRYFYPFPVPPLL&amp;Dta=/var/www/html/dta/yong/23616.29195.3.dta&amp;Global_Mod=CS57.0215", "29195")</f>
        <v>29195</v>
      </c>
      <c r="M678" s="7" t="str">
        <f>HYPERLINK("http://ms.phosphosite.org:5080/cgi-bin/plot-msms.cgi?MassType=1&amp;NumAxis=1&amp;Mod1=147&amp;Mod9=147&amp;Mod10=184&amp;Mod17=184&amp;Pep=MQSTYNYNMRGGAYPPRYFYPFPVPPLL&amp;Dta=/var/www/html/dta/yong/23617.29203.3.dta&amp;Global_Mod=CS57.0215", "29203")</f>
        <v>29203</v>
      </c>
      <c r="N678" s="10">
        <v>130.88999999999999</v>
      </c>
      <c r="O678" s="10">
        <v>130.57</v>
      </c>
      <c r="P678" s="10">
        <v>2.4929999999999999</v>
      </c>
      <c r="Q678" s="10">
        <v>2.4910000000000001</v>
      </c>
      <c r="R678" s="10">
        <v>0.71299999999999997</v>
      </c>
      <c r="S678" s="10">
        <v>0.22520000000000001</v>
      </c>
      <c r="T678" s="10">
        <v>0.1052</v>
      </c>
      <c r="U678" s="10">
        <v>7.4999999999999997E-2</v>
      </c>
      <c r="V678" s="7">
        <v>143</v>
      </c>
      <c r="W678" s="7">
        <v>3</v>
      </c>
      <c r="X678" s="10">
        <v>2.14</v>
      </c>
      <c r="Y678" s="10">
        <v>1.83</v>
      </c>
      <c r="Z678" s="11" t="s">
        <v>1306</v>
      </c>
      <c r="AA678" s="11" t="s">
        <v>1306</v>
      </c>
      <c r="AB678" s="7" t="s">
        <v>13</v>
      </c>
    </row>
    <row r="679" spans="1:28">
      <c r="A679" s="9" t="s">
        <v>580</v>
      </c>
      <c r="B679" s="9" t="s">
        <v>1672</v>
      </c>
      <c r="C679" s="9" t="s">
        <v>1673</v>
      </c>
      <c r="D679" s="7" t="s">
        <v>1804</v>
      </c>
      <c r="E679" s="9" t="s">
        <v>744</v>
      </c>
      <c r="F679" s="7" t="s">
        <v>1410</v>
      </c>
      <c r="G679" s="7">
        <v>63.1</v>
      </c>
      <c r="H679" s="9" t="s">
        <v>745</v>
      </c>
      <c r="I679" s="9" t="s">
        <v>747</v>
      </c>
      <c r="J679" s="7">
        <v>3</v>
      </c>
      <c r="K679" s="7">
        <v>1197.5807</v>
      </c>
      <c r="L679" s="7" t="str">
        <f>HYPERLINK("http://ms.phosphosite.org:5080/cgi-bin/plot-msms.cgi?MassType=1&amp;NumAxis=1&amp;Mod1=147&amp;Mod9=147&amp;Mod10=184&amp;Mod17=184&amp;Pep=MQSTYNYNMRGGAYPPRYFYPFPVPPLLY&amp;Dta=/var/www/html/dta/yong/23616.29733.3.dta&amp;Global_Mod=CS57.0215", "29733")</f>
        <v>29733</v>
      </c>
      <c r="M679" s="7"/>
      <c r="N679" s="10">
        <v>133.43</v>
      </c>
      <c r="O679" s="10"/>
      <c r="P679" s="10">
        <v>2.5670000000000002</v>
      </c>
      <c r="Q679" s="10"/>
      <c r="R679" s="10">
        <v>1.4120999999999999</v>
      </c>
      <c r="S679" s="10"/>
      <c r="T679" s="10">
        <v>0.12820000000000001</v>
      </c>
      <c r="U679" s="10"/>
      <c r="V679" s="7">
        <v>2</v>
      </c>
      <c r="W679" s="7"/>
      <c r="X679" s="10">
        <v>2.2999999999999998</v>
      </c>
      <c r="Y679" s="10"/>
      <c r="Z679" s="11" t="s">
        <v>1306</v>
      </c>
      <c r="AA679" s="11"/>
      <c r="AB679" s="7" t="s">
        <v>13</v>
      </c>
    </row>
    <row r="680" spans="1:28">
      <c r="A680" s="9" t="s">
        <v>580</v>
      </c>
      <c r="B680" s="9" t="s">
        <v>1672</v>
      </c>
      <c r="C680" s="9" t="s">
        <v>1673</v>
      </c>
      <c r="D680" s="7" t="s">
        <v>1804</v>
      </c>
      <c r="E680" s="9" t="s">
        <v>744</v>
      </c>
      <c r="F680" s="7" t="s">
        <v>1410</v>
      </c>
      <c r="G680" s="7">
        <v>63.1</v>
      </c>
      <c r="H680" s="9" t="s">
        <v>745</v>
      </c>
      <c r="I680" s="9" t="s">
        <v>747</v>
      </c>
      <c r="J680" s="7">
        <v>3</v>
      </c>
      <c r="K680" s="7">
        <v>1197.5807</v>
      </c>
      <c r="L680" s="7" t="str">
        <f>HYPERLINK("http://ms.phosphosite.org:5080/cgi-bin/plot-msms.cgi?MassType=1&amp;NumAxis=1&amp;Mod1=147&amp;Mod9=147&amp;Mod10=184&amp;Mod17=184&amp;Pep=MQSTYNYNMRGGAYPPRYFYPFPVPPLLY&amp;Dta=/var/www/html/dta/yong/23616.29910.3.dta&amp;Global_Mod=CS57.0215", "29910")</f>
        <v>29910</v>
      </c>
      <c r="M680" s="7"/>
      <c r="N680" s="10">
        <v>134.28</v>
      </c>
      <c r="O680" s="10"/>
      <c r="P680" s="10">
        <v>2.2149999999999999</v>
      </c>
      <c r="Q680" s="10"/>
      <c r="R680" s="10">
        <v>1.4285000000000001</v>
      </c>
      <c r="S680" s="10"/>
      <c r="T680" s="10">
        <v>2.9499999999999998E-2</v>
      </c>
      <c r="U680" s="10"/>
      <c r="V680" s="7">
        <v>8</v>
      </c>
      <c r="W680" s="7"/>
      <c r="X680" s="10">
        <v>1.63</v>
      </c>
      <c r="Y680" s="10"/>
      <c r="Z680" s="11" t="s">
        <v>1306</v>
      </c>
      <c r="AA680" s="11"/>
      <c r="AB680" s="7" t="s">
        <v>13</v>
      </c>
    </row>
    <row r="681" spans="1:28">
      <c r="A681" s="9" t="s">
        <v>580</v>
      </c>
      <c r="B681" s="9" t="s">
        <v>1672</v>
      </c>
      <c r="C681" s="9" t="s">
        <v>1673</v>
      </c>
      <c r="D681" s="7" t="s">
        <v>1804</v>
      </c>
      <c r="E681" s="9" t="s">
        <v>744</v>
      </c>
      <c r="F681" s="7" t="s">
        <v>1410</v>
      </c>
      <c r="G681" s="7">
        <v>63.1</v>
      </c>
      <c r="H681" s="9" t="s">
        <v>745</v>
      </c>
      <c r="I681" s="9" t="s">
        <v>749</v>
      </c>
      <c r="J681" s="7">
        <v>3</v>
      </c>
      <c r="K681" s="7">
        <v>1273.2897</v>
      </c>
      <c r="L681" s="7" t="str">
        <f>HYPERLINK("http://ms.phosphosite.org:5080/cgi-bin/plot-msms.cgi?MassType=1&amp;NumAxis=1&amp;Mod1=147&amp;Mod9=147&amp;Mod10=184&amp;Mod17=184&amp;Pep=MQSTYNYNMRGGAYPPRYFYPFPVPPLLYQV&amp;Dta=/var/www/html/dta/yong/23616.30789.3.dta&amp;Global_Mod=CS57.0215", "30789")</f>
        <v>30789</v>
      </c>
      <c r="M681" s="7" t="str">
        <f>HYPERLINK("http://ms.phosphosite.org:5080/cgi-bin/plot-msms.cgi?MassType=1&amp;NumAxis=1&amp;Mod1=147&amp;Mod9=147&amp;Mod10=184&amp;Mod17=184&amp;Pep=MQSTYNYNMRGGAYPPRYFYPFPVPPLLYQV&amp;Dta=/var/www/html/dta/yong/23617.30825.3.dta&amp;Global_Mod=CS57.0215", "30825")</f>
        <v>30825</v>
      </c>
      <c r="N681" s="10">
        <v>138.41</v>
      </c>
      <c r="O681" s="10">
        <v>138.36000000000001</v>
      </c>
      <c r="P681" s="10">
        <v>2.7280000000000002</v>
      </c>
      <c r="Q681" s="10">
        <v>2.867</v>
      </c>
      <c r="R681" s="10">
        <v>1.1178999999999999</v>
      </c>
      <c r="S681" s="10">
        <v>1.115</v>
      </c>
      <c r="T681" s="10">
        <v>0.17169999999999999</v>
      </c>
      <c r="U681" s="10">
        <v>0.22309999999999999</v>
      </c>
      <c r="V681" s="7">
        <v>18</v>
      </c>
      <c r="W681" s="7">
        <v>4</v>
      </c>
      <c r="X681" s="10">
        <v>2.58</v>
      </c>
      <c r="Y681" s="10">
        <v>2.72</v>
      </c>
      <c r="Z681" s="11" t="s">
        <v>1306</v>
      </c>
      <c r="AA681" s="11" t="s">
        <v>1306</v>
      </c>
      <c r="AB681" s="7" t="s">
        <v>13</v>
      </c>
    </row>
    <row r="682" spans="1:28">
      <c r="A682" s="9" t="s">
        <v>580</v>
      </c>
      <c r="B682" s="9" t="s">
        <v>1672</v>
      </c>
      <c r="C682" s="9" t="s">
        <v>1673</v>
      </c>
      <c r="D682" s="7" t="s">
        <v>1804</v>
      </c>
      <c r="E682" s="9" t="s">
        <v>744</v>
      </c>
      <c r="F682" s="7" t="s">
        <v>1410</v>
      </c>
      <c r="G682" s="7">
        <v>63.1</v>
      </c>
      <c r="H682" s="9" t="s">
        <v>745</v>
      </c>
      <c r="I682" s="9" t="s">
        <v>749</v>
      </c>
      <c r="J682" s="7">
        <v>3</v>
      </c>
      <c r="K682" s="7">
        <v>1273.2897</v>
      </c>
      <c r="L682" s="7" t="str">
        <f>HYPERLINK("http://ms.phosphosite.org:5080/cgi-bin/plot-msms.cgi?MassType=1&amp;NumAxis=1&amp;Mod1=147&amp;Mod9=147&amp;Mod10=184&amp;Mod17=184&amp;Pep=MQSTYNYNMRGGAYPPRYFYPFPVPPLLYQV&amp;Dta=/var/www/html/dta/yong/23616.31090.3.dta&amp;Global_Mod=CS57.0215", "31090")</f>
        <v>31090</v>
      </c>
      <c r="M682" s="7"/>
      <c r="N682" s="10">
        <v>139.81</v>
      </c>
      <c r="O682" s="10"/>
      <c r="P682" s="10">
        <v>2.218</v>
      </c>
      <c r="Q682" s="10"/>
      <c r="R682" s="10">
        <v>1.1503000000000001</v>
      </c>
      <c r="S682" s="10"/>
      <c r="T682" s="10">
        <v>4.99E-2</v>
      </c>
      <c r="U682" s="10"/>
      <c r="V682" s="7">
        <v>28</v>
      </c>
      <c r="W682" s="7"/>
      <c r="X682" s="10">
        <v>1.74</v>
      </c>
      <c r="Y682" s="10"/>
      <c r="Z682" s="11" t="s">
        <v>1306</v>
      </c>
      <c r="AA682" s="11"/>
      <c r="AB682" s="7" t="s">
        <v>13</v>
      </c>
    </row>
    <row r="683" spans="1:28">
      <c r="A683" s="9" t="s">
        <v>580</v>
      </c>
      <c r="B683" s="9" t="s">
        <v>1672</v>
      </c>
      <c r="C683" s="9" t="s">
        <v>1673</v>
      </c>
      <c r="D683" s="7" t="s">
        <v>1804</v>
      </c>
      <c r="E683" s="9" t="s">
        <v>744</v>
      </c>
      <c r="F683" s="7" t="s">
        <v>1410</v>
      </c>
      <c r="G683" s="7">
        <v>63.1</v>
      </c>
      <c r="H683" s="9" t="s">
        <v>745</v>
      </c>
      <c r="I683" s="9" t="s">
        <v>749</v>
      </c>
      <c r="J683" s="7">
        <v>3</v>
      </c>
      <c r="K683" s="7">
        <v>1273.2897</v>
      </c>
      <c r="L683" s="7" t="str">
        <f>HYPERLINK("http://ms.phosphosite.org:5080/cgi-bin/plot-msms.cgi?MassType=1&amp;NumAxis=1&amp;Mod1=147&amp;Mod9=147&amp;Mod10=184&amp;Mod17=184&amp;Pep=MQSTYNYNMRGGAYPPRYFYPFPVPPLLYQV&amp;Dta=/var/www/html/dta/yong/23616.31442.3.dta&amp;Global_Mod=CS57.0215", "31442")</f>
        <v>31442</v>
      </c>
      <c r="M683" s="7"/>
      <c r="N683" s="10">
        <v>141.49</v>
      </c>
      <c r="O683" s="10"/>
      <c r="P683" s="10">
        <v>2.7730000000000001</v>
      </c>
      <c r="Q683" s="10"/>
      <c r="R683" s="10">
        <v>-0.55649999999999999</v>
      </c>
      <c r="S683" s="10"/>
      <c r="T683" s="10">
        <v>0.16370000000000001</v>
      </c>
      <c r="U683" s="10"/>
      <c r="V683" s="7">
        <v>10</v>
      </c>
      <c r="W683" s="7"/>
      <c r="X683" s="10">
        <v>2.5299999999999998</v>
      </c>
      <c r="Y683" s="10"/>
      <c r="Z683" s="11" t="s">
        <v>1306</v>
      </c>
      <c r="AA683" s="11"/>
      <c r="AB683" s="7" t="s">
        <v>13</v>
      </c>
    </row>
    <row r="684" spans="1:28">
      <c r="A684" s="9" t="s">
        <v>580</v>
      </c>
      <c r="B684" s="9" t="s">
        <v>1672</v>
      </c>
      <c r="C684" s="9" t="s">
        <v>1673</v>
      </c>
      <c r="D684" s="7" t="s">
        <v>1804</v>
      </c>
      <c r="E684" s="9" t="s">
        <v>744</v>
      </c>
      <c r="F684" s="7" t="s">
        <v>1410</v>
      </c>
      <c r="G684" s="7">
        <v>63.1</v>
      </c>
      <c r="H684" s="9" t="s">
        <v>745</v>
      </c>
      <c r="I684" s="9" t="s">
        <v>751</v>
      </c>
      <c r="J684" s="7">
        <v>3</v>
      </c>
      <c r="K684" s="7">
        <v>1267.9581000000001</v>
      </c>
      <c r="L684" s="7" t="str">
        <f>HYPERLINK("http://ms.phosphosite.org:5080/cgi-bin/plot-msms.cgi?MassType=1&amp;NumAxis=1&amp;Mod1=147&amp;Mod10=184&amp;Mod17=184&amp;Pep=MQSTYNYNMRGGAYPPRYFYPFPVPPLLYQV&amp;Dta=/var/www/html/dta/yong/23616.31475.3.dta&amp;Global_Mod=CS57.0215", "31475")</f>
        <v>31475</v>
      </c>
      <c r="M684" s="7"/>
      <c r="N684" s="10">
        <v>141.66</v>
      </c>
      <c r="O684" s="10"/>
      <c r="P684" s="10">
        <v>2.2919999999999998</v>
      </c>
      <c r="Q684" s="10"/>
      <c r="R684" s="10">
        <v>1.7899</v>
      </c>
      <c r="S684" s="10"/>
      <c r="T684" s="10">
        <v>1.66E-2</v>
      </c>
      <c r="U684" s="10"/>
      <c r="V684" s="7">
        <v>1</v>
      </c>
      <c r="W684" s="7"/>
      <c r="X684" s="10">
        <v>1.55</v>
      </c>
      <c r="Y684" s="10"/>
      <c r="Z684" s="11" t="s">
        <v>1306</v>
      </c>
      <c r="AA684" s="11"/>
      <c r="AB684" s="7" t="s">
        <v>13</v>
      </c>
    </row>
    <row r="685" spans="1:28">
      <c r="A685" s="9" t="s">
        <v>580</v>
      </c>
      <c r="B685" s="9" t="s">
        <v>1672</v>
      </c>
      <c r="C685" s="9" t="s">
        <v>1673</v>
      </c>
      <c r="D685" s="7" t="s">
        <v>1804</v>
      </c>
      <c r="E685" s="9" t="s">
        <v>744</v>
      </c>
      <c r="F685" s="7" t="s">
        <v>1410</v>
      </c>
      <c r="G685" s="7">
        <v>63.1</v>
      </c>
      <c r="H685" s="9" t="s">
        <v>745</v>
      </c>
      <c r="I685" s="9" t="s">
        <v>752</v>
      </c>
      <c r="J685" s="7">
        <v>4</v>
      </c>
      <c r="K685" s="7">
        <v>1012.0263</v>
      </c>
      <c r="L685" s="7" t="str">
        <f>HYPERLINK("http://ms.phosphosite.org:5080/cgi-bin/plot-msms.cgi?MassType=1&amp;NumAxis=1&amp;Mod1=147&amp;Mod2=184&amp;Mod9=184&amp;Pep=MRGGAYPPRYFYPFPVPPLLYQVELSVGGQQFNGK&amp;Dta=/var/www/html/dta/yong/23616.32066.4.dta&amp;Global_Mod=CS57.0215", "32066")</f>
        <v>32066</v>
      </c>
      <c r="M685" s="7" t="str">
        <f>HYPERLINK("http://ms.phosphosite.org:5080/cgi-bin/plot-msms.cgi?MassType=1&amp;NumAxis=1&amp;Mod1=147&amp;Mod2=184&amp;Mod9=184&amp;Pep=MRGGAYPPRYFYPFPVPPLLYQVELSVGGQQFNGK&amp;Dta=/var/www/html/dta/yong/23617.32182.4.dta&amp;Global_Mod=CS57.0215", "32182")</f>
        <v>32182</v>
      </c>
      <c r="N685" s="10">
        <v>144.6</v>
      </c>
      <c r="O685" s="10">
        <v>145.03</v>
      </c>
      <c r="P685" s="10">
        <v>4.3079999999999998</v>
      </c>
      <c r="Q685" s="10">
        <v>5.2050000000000001</v>
      </c>
      <c r="R685" s="10">
        <v>1.0430999999999999</v>
      </c>
      <c r="S685" s="10">
        <v>1.4276</v>
      </c>
      <c r="T685" s="10">
        <v>0.22359999999999999</v>
      </c>
      <c r="U685" s="10">
        <v>0.38229999999999997</v>
      </c>
      <c r="V685" s="7">
        <v>1</v>
      </c>
      <c r="W685" s="7">
        <v>1</v>
      </c>
      <c r="X685" s="10">
        <v>3.32</v>
      </c>
      <c r="Y685" s="10">
        <v>4.28</v>
      </c>
      <c r="Z685" s="11" t="s">
        <v>1306</v>
      </c>
      <c r="AA685" s="11" t="s">
        <v>1306</v>
      </c>
      <c r="AB685" s="7" t="s">
        <v>13</v>
      </c>
    </row>
    <row r="686" spans="1:28">
      <c r="A686" s="9" t="s">
        <v>580</v>
      </c>
      <c r="B686" s="9" t="s">
        <v>1672</v>
      </c>
      <c r="C686" s="9" t="s">
        <v>1673</v>
      </c>
      <c r="D686" s="7" t="s">
        <v>1804</v>
      </c>
      <c r="E686" s="9" t="s">
        <v>744</v>
      </c>
      <c r="F686" s="7" t="s">
        <v>1410</v>
      </c>
      <c r="G686" s="7">
        <v>63.1</v>
      </c>
      <c r="H686" s="9" t="s">
        <v>745</v>
      </c>
      <c r="I686" s="9" t="s">
        <v>750</v>
      </c>
      <c r="J686" s="7">
        <v>4</v>
      </c>
      <c r="K686" s="7">
        <v>1266.3728000000001</v>
      </c>
      <c r="L686" s="7" t="str">
        <f>HYPERLINK("http://ms.phosphosite.org:5080/cgi-bin/plot-msms.cgi?MassType=1&amp;NumAxis=1&amp;Mod1=147&amp;Mod9=147&amp;Mod10=184&amp;Mod17=184&amp;Pep=MQSTYNYNMRGGAYPPRYFYPFPVPPLLYQVELSVGGQQFNGK&amp;Dta=/var/www/html/dta/yong/23616.32083.4.dta&amp;Global_Mod=CS57.0215", "32083")</f>
        <v>32083</v>
      </c>
      <c r="M686" s="7"/>
      <c r="N686" s="10">
        <v>144.68</v>
      </c>
      <c r="O686" s="10"/>
      <c r="P686" s="10">
        <v>4.54</v>
      </c>
      <c r="Q686" s="10"/>
      <c r="R686" s="10">
        <v>0.36049999999999999</v>
      </c>
      <c r="S686" s="10"/>
      <c r="T686" s="10">
        <v>0.2707</v>
      </c>
      <c r="U686" s="10"/>
      <c r="V686" s="7">
        <v>1</v>
      </c>
      <c r="W686" s="7"/>
      <c r="X686" s="10">
        <v>3.6</v>
      </c>
      <c r="Y686" s="10"/>
      <c r="Z686" s="11" t="s">
        <v>1306</v>
      </c>
      <c r="AA686" s="11"/>
      <c r="AB686" s="7" t="s">
        <v>13</v>
      </c>
    </row>
    <row r="687" spans="1:28">
      <c r="A687" s="9" t="s">
        <v>580</v>
      </c>
      <c r="B687" s="9" t="s">
        <v>1672</v>
      </c>
      <c r="C687" s="9" t="s">
        <v>1673</v>
      </c>
      <c r="D687" s="7" t="s">
        <v>1804</v>
      </c>
      <c r="E687" s="9" t="s">
        <v>744</v>
      </c>
      <c r="F687" s="7" t="s">
        <v>1410</v>
      </c>
      <c r="G687" s="7">
        <v>63.1</v>
      </c>
      <c r="H687" s="9" t="s">
        <v>745</v>
      </c>
      <c r="I687" s="9" t="s">
        <v>752</v>
      </c>
      <c r="J687" s="7">
        <v>4</v>
      </c>
      <c r="K687" s="7">
        <v>1012.0263</v>
      </c>
      <c r="L687" s="7" t="str">
        <f>HYPERLINK("http://ms.phosphosite.org:5080/cgi-bin/plot-msms.cgi?MassType=1&amp;NumAxis=1&amp;Mod1=147&amp;Mod2=184&amp;Mod9=184&amp;Pep=MRGGAYPPRYFYPFPVPPLLYQVELSVGGQQFNGK&amp;Dta=/var/www/html/dta/yong/23616.32148.4.dta&amp;Global_Mod=CS57.0215", "32148")</f>
        <v>32148</v>
      </c>
      <c r="M687" s="7"/>
      <c r="N687" s="10">
        <v>145</v>
      </c>
      <c r="O687" s="10"/>
      <c r="P687" s="10">
        <v>3.734</v>
      </c>
      <c r="Q687" s="10"/>
      <c r="R687" s="10">
        <v>1.8378000000000001</v>
      </c>
      <c r="S687" s="10"/>
      <c r="T687" s="10">
        <v>0.27889999999999998</v>
      </c>
      <c r="U687" s="10"/>
      <c r="V687" s="7">
        <v>1</v>
      </c>
      <c r="W687" s="7"/>
      <c r="X687" s="10">
        <v>3.43</v>
      </c>
      <c r="Y687" s="10"/>
      <c r="Z687" s="11" t="s">
        <v>1306</v>
      </c>
      <c r="AA687" s="11"/>
      <c r="AB687" s="7" t="s">
        <v>13</v>
      </c>
    </row>
    <row r="688" spans="1:28">
      <c r="A688" s="9" t="s">
        <v>580</v>
      </c>
      <c r="B688" s="9" t="s">
        <v>1672</v>
      </c>
      <c r="C688" s="9" t="s">
        <v>1673</v>
      </c>
      <c r="D688" s="7" t="s">
        <v>1804</v>
      </c>
      <c r="E688" s="9" t="s">
        <v>744</v>
      </c>
      <c r="F688" s="7" t="s">
        <v>1410</v>
      </c>
      <c r="G688" s="7">
        <v>63.1</v>
      </c>
      <c r="H688" s="9" t="s">
        <v>745</v>
      </c>
      <c r="I688" s="9" t="s">
        <v>755</v>
      </c>
      <c r="J688" s="7">
        <v>4</v>
      </c>
      <c r="K688" s="7">
        <v>1109.8136</v>
      </c>
      <c r="L688" s="7" t="str">
        <f>HYPERLINK("http://ms.phosphosite.org:5080/cgi-bin/plot-msms.cgi?MassType=1&amp;NumAxis=1&amp;Mod4=147&amp;Mod5=184&amp;Mod12=184&amp;Pep=NYNMRGGAYPPRYFYPFPVPPLLYQVELSVGGQQFNGK&amp;Dta=/var/www/html/dta/yong/23616.32162.4.dta&amp;Global_Mod=CS57.0215", "32162")</f>
        <v>32162</v>
      </c>
      <c r="M688" s="7" t="str">
        <f>HYPERLINK("http://ms.phosphosite.org:5080/cgi-bin/plot-msms.cgi?MassType=1&amp;NumAxis=1&amp;Mod4=147&amp;Mod5=184&amp;Mod12=184&amp;Pep=NYNMRGGAYPPRYFYPFPVPPLLYQVELSVGGQQFNGK&amp;Dta=/var/www/html/dta/yong/23617.32438.4.dta&amp;Global_Mod=CS57.0215", "32438")</f>
        <v>32438</v>
      </c>
      <c r="N688" s="10">
        <v>145.07</v>
      </c>
      <c r="O688" s="10">
        <v>146.34</v>
      </c>
      <c r="P688" s="10">
        <v>3.7429999999999999</v>
      </c>
      <c r="Q688" s="10">
        <v>4.13</v>
      </c>
      <c r="R688" s="10">
        <v>1.7766</v>
      </c>
      <c r="S688" s="10">
        <v>-0.97589999999999999</v>
      </c>
      <c r="T688" s="10">
        <v>9.0899999999999995E-2</v>
      </c>
      <c r="U688" s="10">
        <v>0.18029999999999999</v>
      </c>
      <c r="V688" s="7">
        <v>1</v>
      </c>
      <c r="W688" s="7">
        <v>1</v>
      </c>
      <c r="X688" s="10">
        <v>2.34</v>
      </c>
      <c r="Y688" s="10">
        <v>2.78</v>
      </c>
      <c r="Z688" s="11" t="s">
        <v>1306</v>
      </c>
      <c r="AA688" s="11" t="s">
        <v>1306</v>
      </c>
      <c r="AB688" s="7" t="s">
        <v>13</v>
      </c>
    </row>
    <row r="689" spans="1:28">
      <c r="A689" s="9" t="s">
        <v>580</v>
      </c>
      <c r="B689" s="9" t="s">
        <v>1672</v>
      </c>
      <c r="C689" s="9" t="s">
        <v>1673</v>
      </c>
      <c r="D689" s="7" t="s">
        <v>1804</v>
      </c>
      <c r="E689" s="9" t="s">
        <v>744</v>
      </c>
      <c r="F689" s="7" t="s">
        <v>1410</v>
      </c>
      <c r="G689" s="7">
        <v>63.1</v>
      </c>
      <c r="H689" s="9" t="s">
        <v>745</v>
      </c>
      <c r="I689" s="9" t="s">
        <v>755</v>
      </c>
      <c r="J689" s="7">
        <v>4</v>
      </c>
      <c r="K689" s="7">
        <v>1109.8136</v>
      </c>
      <c r="L689" s="7" t="str">
        <f>HYPERLINK("http://ms.phosphosite.org:5080/cgi-bin/plot-msms.cgi?MassType=1&amp;NumAxis=1&amp;Mod4=147&amp;Mod5=184&amp;Mod12=184&amp;Pep=NYNMRGGAYPPRYFYPFPVPPLLYQVELSVGGQQFNGK&amp;Dta=/var/www/html/dta/yong/23616.32173.4.dta&amp;Global_Mod=CS57.0215", "32173")</f>
        <v>32173</v>
      </c>
      <c r="M689" s="7" t="str">
        <f>HYPERLINK("http://ms.phosphosite.org:5080/cgi-bin/plot-msms.cgi?MassType=1&amp;NumAxis=1&amp;Mod4=147&amp;Mod5=184&amp;Mod12=184&amp;Pep=NYNMRGGAYPPRYFYPFPVPPLLYQVELSVGGQQFNGK&amp;Dta=/var/www/html/dta/yong/23617.32160.4.dta&amp;Global_Mod=CS57.0215", "32160")</f>
        <v>32160</v>
      </c>
      <c r="N689" s="10">
        <v>145.12</v>
      </c>
      <c r="O689" s="10">
        <v>144.91999999999999</v>
      </c>
      <c r="P689" s="10">
        <v>4.5170000000000003</v>
      </c>
      <c r="Q689" s="10">
        <v>4.423</v>
      </c>
      <c r="R689" s="10">
        <v>1.7624</v>
      </c>
      <c r="S689" s="10">
        <v>2.4255</v>
      </c>
      <c r="T689" s="10">
        <v>0.3584</v>
      </c>
      <c r="U689" s="10">
        <v>0.22919999999999999</v>
      </c>
      <c r="V689" s="7">
        <v>1</v>
      </c>
      <c r="W689" s="7">
        <v>1</v>
      </c>
      <c r="X689" s="10">
        <v>4.08</v>
      </c>
      <c r="Y689" s="10">
        <v>3.1</v>
      </c>
      <c r="Z689" s="11" t="s">
        <v>1306</v>
      </c>
      <c r="AA689" s="11" t="s">
        <v>1306</v>
      </c>
      <c r="AB689" s="7" t="s">
        <v>13</v>
      </c>
    </row>
    <row r="690" spans="1:28">
      <c r="A690" s="9" t="s">
        <v>580</v>
      </c>
      <c r="B690" s="9" t="s">
        <v>1672</v>
      </c>
      <c r="C690" s="9" t="s">
        <v>1673</v>
      </c>
      <c r="D690" s="7" t="s">
        <v>1804</v>
      </c>
      <c r="E690" s="9" t="s">
        <v>744</v>
      </c>
      <c r="F690" s="7" t="s">
        <v>1410</v>
      </c>
      <c r="G690" s="7">
        <v>63.1</v>
      </c>
      <c r="H690" s="9" t="s">
        <v>745</v>
      </c>
      <c r="I690" s="9" t="s">
        <v>755</v>
      </c>
      <c r="J690" s="7">
        <v>4</v>
      </c>
      <c r="K690" s="7">
        <v>1109.8136</v>
      </c>
      <c r="L690" s="7" t="str">
        <f>HYPERLINK("http://ms.phosphosite.org:5080/cgi-bin/plot-msms.cgi?MassType=1&amp;NumAxis=1&amp;Mod4=147&amp;Mod5=184&amp;Mod12=184&amp;Pep=NYNMRGGAYPPRYFYPFPVPPLLYQVELSVGGQQFNGK&amp;Dta=/var/www/html/dta/yong/23616.32187.4.dta&amp;Global_Mod=CS57.0215", "32187")</f>
        <v>32187</v>
      </c>
      <c r="M690" s="7" t="str">
        <f>HYPERLINK("http://ms.phosphosite.org:5080/cgi-bin/plot-msms.cgi?MassType=1&amp;NumAxis=1&amp;Mod4=147&amp;Mod5=184&amp;Mod12=184&amp;Pep=NYNMRGGAYPPRYFYPFPVPPLLYQVELSVGGQQFNGK&amp;Dta=/var/www/html/dta/yong/23617.32246.4.dta&amp;Global_Mod=CS57.0215", "32246")</f>
        <v>32246</v>
      </c>
      <c r="N690" s="10">
        <v>145.19999999999999</v>
      </c>
      <c r="O690" s="10">
        <v>145.35</v>
      </c>
      <c r="P690" s="10">
        <v>4.5149999999999997</v>
      </c>
      <c r="Q690" s="10">
        <v>4.4359999999999999</v>
      </c>
      <c r="R690" s="10">
        <v>1.6524000000000001</v>
      </c>
      <c r="S690" s="10">
        <v>1.3788</v>
      </c>
      <c r="T690" s="10">
        <v>0.33119999999999999</v>
      </c>
      <c r="U690" s="10">
        <v>0.34329999999999999</v>
      </c>
      <c r="V690" s="7">
        <v>1</v>
      </c>
      <c r="W690" s="7">
        <v>1</v>
      </c>
      <c r="X690" s="10">
        <v>3.93</v>
      </c>
      <c r="Y690" s="10">
        <v>3.8</v>
      </c>
      <c r="Z690" s="11" t="s">
        <v>1306</v>
      </c>
      <c r="AA690" s="11" t="s">
        <v>1306</v>
      </c>
      <c r="AB690" s="7" t="s">
        <v>13</v>
      </c>
    </row>
    <row r="691" spans="1:28">
      <c r="A691" s="9" t="s">
        <v>580</v>
      </c>
      <c r="B691" s="9" t="s">
        <v>1672</v>
      </c>
      <c r="C691" s="9" t="s">
        <v>1673</v>
      </c>
      <c r="D691" s="7" t="s">
        <v>1804</v>
      </c>
      <c r="E691" s="9" t="s">
        <v>744</v>
      </c>
      <c r="F691" s="7" t="s">
        <v>1410</v>
      </c>
      <c r="G691" s="7">
        <v>63.1</v>
      </c>
      <c r="H691" s="9" t="s">
        <v>745</v>
      </c>
      <c r="I691" s="9" t="s">
        <v>752</v>
      </c>
      <c r="J691" s="7">
        <v>4</v>
      </c>
      <c r="K691" s="7">
        <v>1012.0263</v>
      </c>
      <c r="L691" s="7" t="str">
        <f>HYPERLINK("http://ms.phosphosite.org:5080/cgi-bin/plot-msms.cgi?MassType=1&amp;NumAxis=1&amp;Mod1=147&amp;Mod2=184&amp;Mod9=184&amp;Pep=MRGGAYPPRYFYPFPVPPLLYQVELSVGGQQFNGK&amp;Dta=/var/www/html/dta/yong/23616.32201.4.dta&amp;Global_Mod=CS57.0215", "32201")</f>
        <v>32201</v>
      </c>
      <c r="M691" s="7" t="str">
        <f>HYPERLINK("http://ms.phosphosite.org:5080/cgi-bin/plot-msms.cgi?MassType=1&amp;NumAxis=1&amp;Mod1=147&amp;Mod2=184&amp;Mod9=184&amp;Pep=MRGGAYPPRYFYPFPVPPLLYQVELSVGGQQFNGK&amp;Dta=/var/www/html/dta/yong/23617.32044.4.dta&amp;Global_Mod=CS57.0215", "32044")</f>
        <v>32044</v>
      </c>
      <c r="N691" s="10">
        <v>145.27000000000001</v>
      </c>
      <c r="O691" s="10">
        <v>144.34</v>
      </c>
      <c r="P691" s="10">
        <v>5.2549999999999999</v>
      </c>
      <c r="Q691" s="10">
        <v>5.1070000000000002</v>
      </c>
      <c r="R691" s="10">
        <v>1.6534</v>
      </c>
      <c r="S691" s="10">
        <v>0.73399999999999999</v>
      </c>
      <c r="T691" s="10">
        <v>0.29360000000000003</v>
      </c>
      <c r="U691" s="10">
        <v>0.43330000000000002</v>
      </c>
      <c r="V691" s="7">
        <v>1</v>
      </c>
      <c r="W691" s="7">
        <v>1</v>
      </c>
      <c r="X691" s="10">
        <v>3.96</v>
      </c>
      <c r="Y691" s="10">
        <v>4.58</v>
      </c>
      <c r="Z691" s="11" t="s">
        <v>1306</v>
      </c>
      <c r="AA691" s="11" t="s">
        <v>1306</v>
      </c>
      <c r="AB691" s="7" t="s">
        <v>13</v>
      </c>
    </row>
    <row r="692" spans="1:28">
      <c r="A692" s="9" t="s">
        <v>580</v>
      </c>
      <c r="B692" s="9" t="s">
        <v>1672</v>
      </c>
      <c r="C692" s="9" t="s">
        <v>1673</v>
      </c>
      <c r="D692" s="7" t="s">
        <v>1804</v>
      </c>
      <c r="E692" s="9" t="s">
        <v>744</v>
      </c>
      <c r="F692" s="7" t="s">
        <v>1410</v>
      </c>
      <c r="G692" s="7">
        <v>63.1</v>
      </c>
      <c r="H692" s="9" t="s">
        <v>745</v>
      </c>
      <c r="I692" s="9" t="s">
        <v>754</v>
      </c>
      <c r="J692" s="7">
        <v>4</v>
      </c>
      <c r="K692" s="7">
        <v>1040.537</v>
      </c>
      <c r="L692" s="7" t="str">
        <f>HYPERLINK("http://ms.phosphosite.org:5080/cgi-bin/plot-msms.cgi?MassType=1&amp;NumAxis=1&amp;Mod2=147&amp;Mod3=184&amp;Mod10=184&amp;Pep=NMRGGAYPPRYFYPFPVPPLLYQVELSVGGQQFNGK&amp;Dta=/var/www/html/dta/yong/23616.32213.4.dta&amp;Global_Mod=CS57.0215", "32213")</f>
        <v>32213</v>
      </c>
      <c r="M692" s="7"/>
      <c r="N692" s="10">
        <v>145.33000000000001</v>
      </c>
      <c r="O692" s="10"/>
      <c r="P692" s="10">
        <v>3.1419999999999999</v>
      </c>
      <c r="Q692" s="10"/>
      <c r="R692" s="10">
        <v>1.2786</v>
      </c>
      <c r="S692" s="10"/>
      <c r="T692" s="10">
        <v>1.2200000000000001E-2</v>
      </c>
      <c r="U692" s="10"/>
      <c r="V692" s="7">
        <v>1</v>
      </c>
      <c r="W692" s="7"/>
      <c r="X692" s="10">
        <v>1.76</v>
      </c>
      <c r="Y692" s="10"/>
      <c r="Z692" s="11" t="s">
        <v>1306</v>
      </c>
      <c r="AA692" s="11"/>
      <c r="AB692" s="7" t="s">
        <v>13</v>
      </c>
    </row>
    <row r="693" spans="1:28">
      <c r="A693" s="9" t="s">
        <v>580</v>
      </c>
      <c r="B693" s="9" t="s">
        <v>1672</v>
      </c>
      <c r="C693" s="9" t="s">
        <v>1673</v>
      </c>
      <c r="D693" s="7" t="s">
        <v>1804</v>
      </c>
      <c r="E693" s="9" t="s">
        <v>744</v>
      </c>
      <c r="F693" s="7" t="s">
        <v>1410</v>
      </c>
      <c r="G693" s="7">
        <v>63.1</v>
      </c>
      <c r="H693" s="9" t="s">
        <v>745</v>
      </c>
      <c r="I693" s="9" t="s">
        <v>752</v>
      </c>
      <c r="J693" s="7">
        <v>4</v>
      </c>
      <c r="K693" s="7">
        <v>1012.0263</v>
      </c>
      <c r="L693" s="7" t="str">
        <f>HYPERLINK("http://ms.phosphosite.org:5080/cgi-bin/plot-msms.cgi?MassType=1&amp;NumAxis=1&amp;Mod1=147&amp;Mod2=184&amp;Mod9=184&amp;Pep=MRGGAYPPRYFYPFPVPPLLYQVELSVGGQQFNGK&amp;Dta=/var/www/html/dta/yong/23616.32223.4.dta&amp;Global_Mod=CS57.0215", "32223")</f>
        <v>32223</v>
      </c>
      <c r="M693" s="7" t="str">
        <f>HYPERLINK("http://ms.phosphosite.org:5080/cgi-bin/plot-msms.cgi?MassType=1&amp;NumAxis=1&amp;Mod1=147&amp;Mod2=184&amp;Mod9=184&amp;Pep=MRGGAYPPRYFYPFPVPPLLYQVELSVGGQQFNGK&amp;Dta=/var/www/html/dta/yong/23617.32316.4.dta&amp;Global_Mod=CS57.0215", "32316")</f>
        <v>32316</v>
      </c>
      <c r="N693" s="10">
        <v>145.38</v>
      </c>
      <c r="O693" s="10">
        <v>145.71</v>
      </c>
      <c r="P693" s="10">
        <v>4.7220000000000004</v>
      </c>
      <c r="Q693" s="10">
        <v>4.6689999999999996</v>
      </c>
      <c r="R693" s="10">
        <v>1.4359999999999999</v>
      </c>
      <c r="S693" s="10">
        <v>1.8025</v>
      </c>
      <c r="T693" s="10">
        <v>0.2384</v>
      </c>
      <c r="U693" s="10">
        <v>0.30070000000000002</v>
      </c>
      <c r="V693" s="7">
        <v>1</v>
      </c>
      <c r="W693" s="7">
        <v>1</v>
      </c>
      <c r="X693" s="10">
        <v>3.5</v>
      </c>
      <c r="Y693" s="10">
        <v>3.64</v>
      </c>
      <c r="Z693" s="11" t="s">
        <v>1306</v>
      </c>
      <c r="AA693" s="11" t="s">
        <v>1306</v>
      </c>
      <c r="AB693" s="7" t="s">
        <v>13</v>
      </c>
    </row>
    <row r="694" spans="1:28">
      <c r="A694" s="9" t="s">
        <v>580</v>
      </c>
      <c r="B694" s="9" t="s">
        <v>1672</v>
      </c>
      <c r="C694" s="9" t="s">
        <v>1673</v>
      </c>
      <c r="D694" s="7" t="s">
        <v>1804</v>
      </c>
      <c r="E694" s="9" t="s">
        <v>744</v>
      </c>
      <c r="F694" s="7" t="s">
        <v>1410</v>
      </c>
      <c r="G694" s="7">
        <v>63.1</v>
      </c>
      <c r="H694" s="9" t="s">
        <v>745</v>
      </c>
      <c r="I694" s="9" t="s">
        <v>755</v>
      </c>
      <c r="J694" s="7">
        <v>4</v>
      </c>
      <c r="K694" s="7">
        <v>1109.8136</v>
      </c>
      <c r="L694" s="7" t="str">
        <f>HYPERLINK("http://ms.phosphosite.org:5080/cgi-bin/plot-msms.cgi?MassType=1&amp;NumAxis=1&amp;Mod4=147&amp;Mod5=184&amp;Mod12=184&amp;Pep=NYNMRGGAYPPRYFYPFPVPPLLYQVELSVGGQQFNGK&amp;Dta=/var/www/html/dta/yong/23616.32250.4.dta&amp;Global_Mod=CS57.0215", "32250")</f>
        <v>32250</v>
      </c>
      <c r="M694" s="7" t="str">
        <f>HYPERLINK("http://ms.phosphosite.org:5080/cgi-bin/plot-msms.cgi?MassType=1&amp;NumAxis=1&amp;Mod4=147&amp;Mod5=184&amp;Mod12=184&amp;Pep=NYNMRGGAYPPRYFYPFPVPPLLYQVELSVGGQQFNGK&amp;Dta=/var/www/html/dta/yong/23617.32167.4.dta&amp;Global_Mod=CS57.0215", "32167")</f>
        <v>32167</v>
      </c>
      <c r="N694" s="10">
        <v>145.51</v>
      </c>
      <c r="O694" s="10">
        <v>144.94999999999999</v>
      </c>
      <c r="P694" s="10">
        <v>3.7719999999999998</v>
      </c>
      <c r="Q694" s="10">
        <v>3.7909999999999999</v>
      </c>
      <c r="R694" s="10">
        <v>1.5923</v>
      </c>
      <c r="S694" s="10">
        <v>2.3984000000000001</v>
      </c>
      <c r="T694" s="10">
        <v>7.3899999999999993E-2</v>
      </c>
      <c r="U694" s="10">
        <v>0.30980000000000002</v>
      </c>
      <c r="V694" s="7">
        <v>1</v>
      </c>
      <c r="W694" s="7">
        <v>1</v>
      </c>
      <c r="X694" s="10">
        <v>2.2599999999999998</v>
      </c>
      <c r="Y694" s="10">
        <v>3.36</v>
      </c>
      <c r="Z694" s="11" t="s">
        <v>1306</v>
      </c>
      <c r="AA694" s="11" t="s">
        <v>1306</v>
      </c>
      <c r="AB694" s="7" t="s">
        <v>13</v>
      </c>
    </row>
    <row r="695" spans="1:28">
      <c r="A695" s="9" t="s">
        <v>580</v>
      </c>
      <c r="B695" s="9" t="s">
        <v>1672</v>
      </c>
      <c r="C695" s="9" t="s">
        <v>1673</v>
      </c>
      <c r="D695" s="7" t="s">
        <v>1804</v>
      </c>
      <c r="E695" s="9" t="s">
        <v>744</v>
      </c>
      <c r="F695" s="7" t="s">
        <v>1410</v>
      </c>
      <c r="G695" s="7">
        <v>63.1</v>
      </c>
      <c r="H695" s="9" t="s">
        <v>745</v>
      </c>
      <c r="I695" s="9" t="s">
        <v>752</v>
      </c>
      <c r="J695" s="7">
        <v>4</v>
      </c>
      <c r="K695" s="7">
        <v>1012.0263</v>
      </c>
      <c r="L695" s="7" t="str">
        <f>HYPERLINK("http://ms.phosphosite.org:5080/cgi-bin/plot-msms.cgi?MassType=1&amp;NumAxis=1&amp;Mod1=147&amp;Mod2=184&amp;Mod9=184&amp;Pep=MRGGAYPPRYFYPFPVPPLLYQVELSVGGQQFNGK&amp;Dta=/var/www/html/dta/yong/23616.32287.4.dta&amp;Global_Mod=CS57.0215", "32287")</f>
        <v>32287</v>
      </c>
      <c r="M695" s="7" t="str">
        <f>HYPERLINK("http://ms.phosphosite.org:5080/cgi-bin/plot-msms.cgi?MassType=1&amp;NumAxis=1&amp;Mod1=147&amp;Mod2=184&amp;Mod9=184&amp;Pep=MRGGAYPPRYFYPFPVPPLLYQVELSVGGQQFNGK&amp;Dta=/var/www/html/dta/yong/23617.32164.4.dta&amp;Global_Mod=CS57.0215", "32164")</f>
        <v>32164</v>
      </c>
      <c r="N695" s="10">
        <v>145.69999999999999</v>
      </c>
      <c r="O695" s="10">
        <v>144.94</v>
      </c>
      <c r="P695" s="10">
        <v>5.4050000000000002</v>
      </c>
      <c r="Q695" s="10">
        <v>3.9609999999999999</v>
      </c>
      <c r="R695" s="10">
        <v>1.5002</v>
      </c>
      <c r="S695" s="10">
        <v>1.4471000000000001</v>
      </c>
      <c r="T695" s="10">
        <v>0.31080000000000002</v>
      </c>
      <c r="U695" s="10">
        <v>0.3216</v>
      </c>
      <c r="V695" s="7">
        <v>1</v>
      </c>
      <c r="W695" s="7">
        <v>1</v>
      </c>
      <c r="X695" s="10">
        <v>4.1100000000000003</v>
      </c>
      <c r="Y695" s="10">
        <v>3.56</v>
      </c>
      <c r="Z695" s="11" t="s">
        <v>1306</v>
      </c>
      <c r="AA695" s="11" t="s">
        <v>1306</v>
      </c>
      <c r="AB695" s="7" t="s">
        <v>13</v>
      </c>
    </row>
    <row r="696" spans="1:28">
      <c r="A696" s="9" t="s">
        <v>580</v>
      </c>
      <c r="B696" s="9" t="s">
        <v>1672</v>
      </c>
      <c r="C696" s="9" t="s">
        <v>1673</v>
      </c>
      <c r="D696" s="7" t="s">
        <v>1804</v>
      </c>
      <c r="E696" s="9" t="s">
        <v>744</v>
      </c>
      <c r="F696" s="7" t="s">
        <v>1410</v>
      </c>
      <c r="G696" s="7">
        <v>63.1</v>
      </c>
      <c r="H696" s="9" t="s">
        <v>745</v>
      </c>
      <c r="I696" s="9" t="s">
        <v>752</v>
      </c>
      <c r="J696" s="7">
        <v>4</v>
      </c>
      <c r="K696" s="7">
        <v>1012.0263</v>
      </c>
      <c r="L696" s="7" t="str">
        <f>HYPERLINK("http://ms.phosphosite.org:5080/cgi-bin/plot-msms.cgi?MassType=1&amp;NumAxis=1&amp;Mod1=147&amp;Mod2=184&amp;Mod9=184&amp;Pep=MRGGAYPPRYFYPFPVPPLLYQVELSVGGQQFNGK&amp;Dta=/var/www/html/dta/yong/23616.32361.4.dta&amp;Global_Mod=CS57.0215", "32361")</f>
        <v>32361</v>
      </c>
      <c r="M696" s="7" t="str">
        <f>HYPERLINK("http://ms.phosphosite.org:5080/cgi-bin/plot-msms.cgi?MassType=1&amp;NumAxis=1&amp;Mod1=147&amp;Mod2=184&amp;Mod9=184&amp;Pep=MRGGAYPPRYFYPFPVPPLLYQVELSVGGQQFNGK&amp;Dta=/var/www/html/dta/yong/23617.32308.4.dta&amp;Global_Mod=CS57.0215", "32308")</f>
        <v>32308</v>
      </c>
      <c r="N696" s="10">
        <v>146.06</v>
      </c>
      <c r="O696" s="10">
        <v>145.66999999999999</v>
      </c>
      <c r="P696" s="10">
        <v>5.1319999999999997</v>
      </c>
      <c r="Q696" s="10">
        <v>5.1239999999999997</v>
      </c>
      <c r="R696" s="10">
        <v>0.88590000000000002</v>
      </c>
      <c r="S696" s="10">
        <v>1.7795000000000001</v>
      </c>
      <c r="T696" s="10">
        <v>0.36870000000000003</v>
      </c>
      <c r="U696" s="10">
        <v>0.41510000000000002</v>
      </c>
      <c r="V696" s="7">
        <v>1</v>
      </c>
      <c r="W696" s="7">
        <v>1</v>
      </c>
      <c r="X696" s="10">
        <v>4.3899999999999997</v>
      </c>
      <c r="Y696" s="10">
        <v>4.43</v>
      </c>
      <c r="Z696" s="11" t="s">
        <v>1306</v>
      </c>
      <c r="AA696" s="11" t="s">
        <v>1306</v>
      </c>
      <c r="AB696" s="7" t="s">
        <v>13</v>
      </c>
    </row>
    <row r="697" spans="1:28">
      <c r="A697" s="9" t="s">
        <v>580</v>
      </c>
      <c r="B697" s="9" t="s">
        <v>1672</v>
      </c>
      <c r="C697" s="9" t="s">
        <v>1673</v>
      </c>
      <c r="D697" s="7" t="s">
        <v>1804</v>
      </c>
      <c r="E697" s="9" t="s">
        <v>744</v>
      </c>
      <c r="F697" s="7" t="s">
        <v>1410</v>
      </c>
      <c r="G697" s="7">
        <v>63.1</v>
      </c>
      <c r="H697" s="9" t="s">
        <v>745</v>
      </c>
      <c r="I697" s="9" t="s">
        <v>748</v>
      </c>
      <c r="J697" s="7">
        <v>3</v>
      </c>
      <c r="K697" s="7">
        <v>1240.2669000000001</v>
      </c>
      <c r="L697" s="7"/>
      <c r="M697" s="7" t="str">
        <f>HYPERLINK("http://ms.phosphosite.org:5080/cgi-bin/plot-msms.cgi?MassType=1&amp;NumAxis=1&amp;Mod1=147&amp;Mod9=147&amp;Mod10=184&amp;Mod17=184&amp;Pep=MQSTYNYNMRGGAYPPRYFYPFPVPPLLYQ&amp;Dta=/var/www/html/dta/yong/23617.28992.3.dta&amp;Global_Mod=CS57.0215", "28992")</f>
        <v>28992</v>
      </c>
      <c r="N697" s="10"/>
      <c r="O697" s="10">
        <v>129.65</v>
      </c>
      <c r="P697" s="10"/>
      <c r="Q697" s="10">
        <v>2.2210000000000001</v>
      </c>
      <c r="R697" s="10"/>
      <c r="S697" s="10">
        <v>1.5757000000000001</v>
      </c>
      <c r="T697" s="10"/>
      <c r="U697" s="10">
        <v>6.8199999999999997E-2</v>
      </c>
      <c r="V697" s="7"/>
      <c r="W697" s="7">
        <v>3</v>
      </c>
      <c r="X697" s="10"/>
      <c r="Y697" s="10">
        <v>1.63</v>
      </c>
      <c r="Z697" s="11"/>
      <c r="AA697" s="11" t="s">
        <v>1306</v>
      </c>
      <c r="AB697" s="7" t="s">
        <v>13</v>
      </c>
    </row>
    <row r="698" spans="1:28">
      <c r="A698" s="9" t="s">
        <v>580</v>
      </c>
      <c r="B698" s="9" t="s">
        <v>1672</v>
      </c>
      <c r="C698" s="9" t="s">
        <v>1673</v>
      </c>
      <c r="D698" s="7" t="s">
        <v>1804</v>
      </c>
      <c r="E698" s="9" t="s">
        <v>744</v>
      </c>
      <c r="F698" s="7" t="s">
        <v>1410</v>
      </c>
      <c r="G698" s="7">
        <v>63.1</v>
      </c>
      <c r="H698" s="9" t="s">
        <v>745</v>
      </c>
      <c r="I698" s="9" t="s">
        <v>748</v>
      </c>
      <c r="J698" s="7">
        <v>3</v>
      </c>
      <c r="K698" s="7">
        <v>1240.2669000000001</v>
      </c>
      <c r="L698" s="7"/>
      <c r="M698" s="7" t="str">
        <f>HYPERLINK("http://ms.phosphosite.org:5080/cgi-bin/plot-msms.cgi?MassType=1&amp;NumAxis=1&amp;Mod1=147&amp;Mod9=147&amp;Mod10=184&amp;Mod17=184&amp;Pep=MQSTYNYNMRGGAYPPRYFYPFPVPPLLYQ&amp;Dta=/var/www/html/dta/yong/23617.29193.3.dta&amp;Global_Mod=CS57.0215", "29193")</f>
        <v>29193</v>
      </c>
      <c r="N698" s="10"/>
      <c r="O698" s="10">
        <v>130.53</v>
      </c>
      <c r="P698" s="10"/>
      <c r="Q698" s="10">
        <v>2.2759999999999998</v>
      </c>
      <c r="R698" s="10"/>
      <c r="S698" s="10">
        <v>1.3358000000000001</v>
      </c>
      <c r="T698" s="10"/>
      <c r="U698" s="10">
        <v>6.7599999999999993E-2</v>
      </c>
      <c r="V698" s="7"/>
      <c r="W698" s="7">
        <v>1</v>
      </c>
      <c r="X698" s="10"/>
      <c r="Y698" s="10">
        <v>1.66</v>
      </c>
      <c r="Z698" s="11"/>
      <c r="AA698" s="11" t="s">
        <v>1306</v>
      </c>
      <c r="AB698" s="7" t="s">
        <v>13</v>
      </c>
    </row>
    <row r="699" spans="1:28">
      <c r="A699" s="9" t="s">
        <v>580</v>
      </c>
      <c r="B699" s="9" t="s">
        <v>1672</v>
      </c>
      <c r="C699" s="9" t="s">
        <v>1673</v>
      </c>
      <c r="D699" s="7" t="s">
        <v>1804</v>
      </c>
      <c r="E699" s="9" t="s">
        <v>744</v>
      </c>
      <c r="F699" s="7" t="s">
        <v>1410</v>
      </c>
      <c r="G699" s="7">
        <v>63.1</v>
      </c>
      <c r="H699" s="9" t="s">
        <v>745</v>
      </c>
      <c r="I699" s="9" t="s">
        <v>753</v>
      </c>
      <c r="J699" s="7">
        <v>3</v>
      </c>
      <c r="K699" s="7">
        <v>1267.9581000000001</v>
      </c>
      <c r="L699" s="7"/>
      <c r="M699" s="7" t="str">
        <f>HYPERLINK("http://ms.phosphosite.org:5080/cgi-bin/plot-msms.cgi?MassType=1&amp;NumAxis=1&amp;Mod9=147&amp;Mod10=184&amp;Mod17=184&amp;Pep=MQSTYNYNMRGGAYPPRYFYPFPVPPLLYQV&amp;Dta=/var/www/html/dta/yong/23617.31334.3.dta&amp;Global_Mod=CS57.0215", "31334")</f>
        <v>31334</v>
      </c>
      <c r="N699" s="10"/>
      <c r="O699" s="10">
        <v>140.79</v>
      </c>
      <c r="P699" s="10"/>
      <c r="Q699" s="10">
        <v>2.089</v>
      </c>
      <c r="R699" s="10"/>
      <c r="S699" s="10">
        <v>0.74729999999999996</v>
      </c>
      <c r="T699" s="10"/>
      <c r="U699" s="10">
        <v>4.07E-2</v>
      </c>
      <c r="V699" s="7"/>
      <c r="W699" s="7">
        <v>1</v>
      </c>
      <c r="X699" s="10"/>
      <c r="Y699" s="10">
        <v>1.47</v>
      </c>
      <c r="Z699" s="11"/>
      <c r="AA699" s="11" t="s">
        <v>1306</v>
      </c>
      <c r="AB699" s="7" t="s">
        <v>13</v>
      </c>
    </row>
    <row r="700" spans="1:28">
      <c r="A700" s="3" t="s">
        <v>580</v>
      </c>
      <c r="B700" s="9" t="s">
        <v>1672</v>
      </c>
      <c r="C700" s="9" t="s">
        <v>1673</v>
      </c>
      <c r="D700" s="4">
        <v>115</v>
      </c>
      <c r="E700" s="3" t="s">
        <v>744</v>
      </c>
      <c r="F700" s="7" t="s">
        <v>1410</v>
      </c>
      <c r="G700" s="4">
        <v>63.1</v>
      </c>
      <c r="H700" s="3" t="s">
        <v>756</v>
      </c>
      <c r="I700" s="3" t="s">
        <v>757</v>
      </c>
      <c r="J700" s="4">
        <v>2</v>
      </c>
      <c r="K700" s="4">
        <v>983.51670000000001</v>
      </c>
      <c r="L700" s="4" t="str">
        <f>HYPERLINK("http://ms.phosphosite.org:5080/cgi-bin/plot-msms.cgi?MassType=1&amp;NumAxis=1&amp;Mod7=184&amp;Pep=GGAYPPRYFYPFPVPPL&amp;Dta=/var/www/html/dta/yong/23616.29398.2.dta&amp;Global_Mod=CS57.0215", "29398")</f>
        <v>29398</v>
      </c>
      <c r="M700" s="4"/>
      <c r="N700" s="5">
        <v>131.83000000000001</v>
      </c>
      <c r="O700" s="5"/>
      <c r="P700" s="5">
        <v>2.2559999999999998</v>
      </c>
      <c r="Q700" s="5"/>
      <c r="R700" s="5">
        <v>1.268</v>
      </c>
      <c r="S700" s="5"/>
      <c r="T700" s="5">
        <v>7.22E-2</v>
      </c>
      <c r="U700" s="5"/>
      <c r="V700" s="4">
        <v>67</v>
      </c>
      <c r="W700" s="4"/>
      <c r="X700" s="5">
        <v>2.15</v>
      </c>
      <c r="Y700" s="5"/>
      <c r="Z700" s="6">
        <v>1000</v>
      </c>
      <c r="AA700" s="6"/>
      <c r="AB700" s="4" t="s">
        <v>13</v>
      </c>
    </row>
    <row r="701" spans="1:28" s="18" customFormat="1">
      <c r="A701" s="18" t="s">
        <v>580</v>
      </c>
      <c r="B701" s="18" t="s">
        <v>1672</v>
      </c>
      <c r="C701" s="18" t="s">
        <v>1674</v>
      </c>
      <c r="D701" s="19">
        <v>115</v>
      </c>
      <c r="E701" s="18" t="s">
        <v>744</v>
      </c>
      <c r="F701" s="15" t="s">
        <v>1410</v>
      </c>
      <c r="G701" s="19">
        <v>63.1</v>
      </c>
      <c r="H701" s="18" t="s">
        <v>756</v>
      </c>
      <c r="I701" s="18" t="s">
        <v>765</v>
      </c>
      <c r="J701" s="19">
        <v>3</v>
      </c>
      <c r="K701" s="19">
        <v>1268.6178</v>
      </c>
      <c r="L701" s="19" t="str">
        <f>HYPERLINK("http://ms.phosphosite.org:5080/cgi-bin/plot-msms.cgi?MassType=1&amp;NumAxis=1&amp;Mod1=147&amp;Mod9=147&amp;Mod10=170&amp;Mod17=184&amp;Pep=MQSTYNYNMRGGAYPPRYFYPFPVPPLLYQV&amp;Dta=/var/www/html/dta/yong/23616.30820.3.dta&amp;Global_Mod=CS57.0215", "30820")</f>
        <v>30820</v>
      </c>
      <c r="M701" s="19"/>
      <c r="N701" s="20">
        <v>138.56</v>
      </c>
      <c r="O701" s="20"/>
      <c r="P701" s="20">
        <v>2.5329999999999999</v>
      </c>
      <c r="Q701" s="20"/>
      <c r="R701" s="20">
        <v>0.45639999999999997</v>
      </c>
      <c r="S701" s="20"/>
      <c r="T701" s="20">
        <v>3.3700000000000001E-2</v>
      </c>
      <c r="U701" s="20"/>
      <c r="V701" s="19">
        <v>44</v>
      </c>
      <c r="W701" s="19"/>
      <c r="X701" s="20">
        <v>1.76</v>
      </c>
      <c r="Y701" s="20"/>
      <c r="Z701" s="21" t="s">
        <v>1306</v>
      </c>
      <c r="AA701" s="21"/>
      <c r="AB701" s="19" t="s">
        <v>13</v>
      </c>
    </row>
    <row r="702" spans="1:28" s="18" customFormat="1">
      <c r="A702" s="18" t="s">
        <v>580</v>
      </c>
      <c r="B702" s="18" t="s">
        <v>1672</v>
      </c>
      <c r="C702" s="18" t="s">
        <v>1674</v>
      </c>
      <c r="D702" s="19">
        <v>115</v>
      </c>
      <c r="E702" s="18" t="s">
        <v>744</v>
      </c>
      <c r="F702" s="15" t="s">
        <v>1410</v>
      </c>
      <c r="G702" s="19">
        <v>63.1</v>
      </c>
      <c r="H702" s="18" t="s">
        <v>756</v>
      </c>
      <c r="I702" s="18" t="s">
        <v>765</v>
      </c>
      <c r="J702" s="19">
        <v>3</v>
      </c>
      <c r="K702" s="19">
        <v>1268.6178</v>
      </c>
      <c r="L702" s="19" t="str">
        <f>HYPERLINK("http://ms.phosphosite.org:5080/cgi-bin/plot-msms.cgi?MassType=1&amp;NumAxis=1&amp;Mod1=147&amp;Mod9=147&amp;Mod10=170&amp;Mod17=184&amp;Pep=MQSTYNYNMRGGAYPPRYFYPFPVPPLLYQV&amp;Dta=/var/www/html/dta/yong/23616.30846.3.dta&amp;Global_Mod=CS57.0215", "30846")</f>
        <v>30846</v>
      </c>
      <c r="M702" s="19"/>
      <c r="N702" s="20">
        <v>138.68</v>
      </c>
      <c r="O702" s="20"/>
      <c r="P702" s="20">
        <v>2.2839999999999998</v>
      </c>
      <c r="Q702" s="20"/>
      <c r="R702" s="20">
        <v>1.4907999999999999</v>
      </c>
      <c r="S702" s="20"/>
      <c r="T702" s="20">
        <v>0.1227</v>
      </c>
      <c r="U702" s="20"/>
      <c r="V702" s="19">
        <v>1</v>
      </c>
      <c r="W702" s="19"/>
      <c r="X702" s="20">
        <v>2.16</v>
      </c>
      <c r="Y702" s="20"/>
      <c r="Z702" s="21" t="s">
        <v>1306</v>
      </c>
      <c r="AA702" s="21"/>
      <c r="AB702" s="19" t="s">
        <v>13</v>
      </c>
    </row>
    <row r="703" spans="1:28" s="18" customFormat="1">
      <c r="A703" s="18" t="s">
        <v>580</v>
      </c>
      <c r="B703" s="18" t="s">
        <v>1672</v>
      </c>
      <c r="C703" s="18" t="s">
        <v>1674</v>
      </c>
      <c r="D703" s="19">
        <v>115</v>
      </c>
      <c r="E703" s="18" t="s">
        <v>744</v>
      </c>
      <c r="F703" s="15" t="s">
        <v>1410</v>
      </c>
      <c r="G703" s="19">
        <v>63.1</v>
      </c>
      <c r="H703" s="18" t="s">
        <v>756</v>
      </c>
      <c r="I703" s="18" t="s">
        <v>765</v>
      </c>
      <c r="J703" s="19">
        <v>3</v>
      </c>
      <c r="K703" s="19">
        <v>1268.6178</v>
      </c>
      <c r="L703" s="19" t="str">
        <f>HYPERLINK("http://ms.phosphosite.org:5080/cgi-bin/plot-msms.cgi?MassType=1&amp;NumAxis=1&amp;Mod1=147&amp;Mod9=147&amp;Mod10=170&amp;Mod17=184&amp;Pep=MQSTYNYNMRGGAYPPRYFYPFPVPPLLYQV&amp;Dta=/var/www/html/dta/yong/23616.30891.3.dta&amp;Global_Mod=CS57.0215", "30891")</f>
        <v>30891</v>
      </c>
      <c r="M703" s="19"/>
      <c r="N703" s="20">
        <v>138.88999999999999</v>
      </c>
      <c r="O703" s="20"/>
      <c r="P703" s="20">
        <v>2.355</v>
      </c>
      <c r="Q703" s="20"/>
      <c r="R703" s="20">
        <v>1.7427999999999999</v>
      </c>
      <c r="S703" s="20"/>
      <c r="T703" s="20">
        <v>0.10100000000000001</v>
      </c>
      <c r="U703" s="20"/>
      <c r="V703" s="19">
        <v>1</v>
      </c>
      <c r="W703" s="19"/>
      <c r="X703" s="20">
        <v>2.0499999999999998</v>
      </c>
      <c r="Y703" s="20"/>
      <c r="Z703" s="21" t="s">
        <v>1306</v>
      </c>
      <c r="AA703" s="21"/>
      <c r="AB703" s="19" t="s">
        <v>13</v>
      </c>
    </row>
    <row r="704" spans="1:28" s="18" customFormat="1">
      <c r="A704" s="18" t="s">
        <v>580</v>
      </c>
      <c r="B704" s="18" t="s">
        <v>1672</v>
      </c>
      <c r="C704" s="18" t="s">
        <v>1674</v>
      </c>
      <c r="D704" s="19">
        <v>115</v>
      </c>
      <c r="E704" s="18" t="s">
        <v>744</v>
      </c>
      <c r="F704" s="15" t="s">
        <v>1410</v>
      </c>
      <c r="G704" s="19">
        <v>63.1</v>
      </c>
      <c r="H704" s="18" t="s">
        <v>756</v>
      </c>
      <c r="I704" s="18" t="s">
        <v>765</v>
      </c>
      <c r="J704" s="19">
        <v>3</v>
      </c>
      <c r="K704" s="19">
        <v>1268.6178</v>
      </c>
      <c r="L704" s="19" t="str">
        <f>HYPERLINK("http://ms.phosphosite.org:5080/cgi-bin/plot-msms.cgi?MassType=1&amp;NumAxis=1&amp;Mod1=147&amp;Mod9=147&amp;Mod10=170&amp;Mod17=184&amp;Pep=MQSTYNYNMRGGAYPPRYFYPFPVPPLLYQV&amp;Dta=/var/www/html/dta/yong/23616.30915.3.dta&amp;Global_Mod=CS57.0215", "30915")</f>
        <v>30915</v>
      </c>
      <c r="M704" s="19"/>
      <c r="N704" s="20">
        <v>139</v>
      </c>
      <c r="O704" s="20"/>
      <c r="P704" s="20">
        <v>2.1960000000000002</v>
      </c>
      <c r="Q704" s="20"/>
      <c r="R704" s="20">
        <v>2.3035999999999999</v>
      </c>
      <c r="S704" s="20"/>
      <c r="T704" s="20">
        <v>0.112</v>
      </c>
      <c r="U704" s="20"/>
      <c r="V704" s="19">
        <v>1</v>
      </c>
      <c r="W704" s="19"/>
      <c r="X704" s="20">
        <v>2.0299999999999998</v>
      </c>
      <c r="Y704" s="20"/>
      <c r="Z704" s="21" t="s">
        <v>1306</v>
      </c>
      <c r="AA704" s="21"/>
      <c r="AB704" s="19" t="s">
        <v>13</v>
      </c>
    </row>
    <row r="705" spans="1:28" s="18" customFormat="1">
      <c r="A705" s="18" t="s">
        <v>580</v>
      </c>
      <c r="B705" s="18" t="s">
        <v>1672</v>
      </c>
      <c r="C705" s="18" t="s">
        <v>1674</v>
      </c>
      <c r="D705" s="19">
        <v>115</v>
      </c>
      <c r="E705" s="18" t="s">
        <v>744</v>
      </c>
      <c r="F705" s="15" t="s">
        <v>1410</v>
      </c>
      <c r="G705" s="19">
        <v>63.1</v>
      </c>
      <c r="H705" s="18" t="s">
        <v>756</v>
      </c>
      <c r="I705" s="18" t="s">
        <v>765</v>
      </c>
      <c r="J705" s="19">
        <v>3</v>
      </c>
      <c r="K705" s="19">
        <v>1268.6178</v>
      </c>
      <c r="L705" s="19" t="str">
        <f>HYPERLINK("http://ms.phosphosite.org:5080/cgi-bin/plot-msms.cgi?MassType=1&amp;NumAxis=1&amp;Mod1=147&amp;Mod9=147&amp;Mod10=170&amp;Mod17=184&amp;Pep=MQSTYNYNMRGGAYPPRYFYPFPVPPLLYQV&amp;Dta=/var/www/html/dta/yong/23616.30926.3.dta&amp;Global_Mod=CS57.0215", "30926")</f>
        <v>30926</v>
      </c>
      <c r="M705" s="19"/>
      <c r="N705" s="20">
        <v>139.05000000000001</v>
      </c>
      <c r="O705" s="20"/>
      <c r="P705" s="20">
        <v>2.4540000000000002</v>
      </c>
      <c r="Q705" s="20"/>
      <c r="R705" s="20">
        <v>2.9758</v>
      </c>
      <c r="S705" s="20"/>
      <c r="T705" s="20">
        <v>0.1154</v>
      </c>
      <c r="U705" s="20"/>
      <c r="V705" s="19">
        <v>14</v>
      </c>
      <c r="W705" s="19"/>
      <c r="X705" s="20">
        <v>2.09</v>
      </c>
      <c r="Y705" s="20"/>
      <c r="Z705" s="21" t="s">
        <v>1306</v>
      </c>
      <c r="AA705" s="21"/>
      <c r="AB705" s="19" t="s">
        <v>13</v>
      </c>
    </row>
    <row r="706" spans="1:28">
      <c r="A706" s="3" t="s">
        <v>580</v>
      </c>
      <c r="B706" s="9" t="s">
        <v>1672</v>
      </c>
      <c r="C706" s="9" t="s">
        <v>1673</v>
      </c>
      <c r="D706" s="4">
        <v>115</v>
      </c>
      <c r="E706" s="3" t="s">
        <v>744</v>
      </c>
      <c r="F706" s="7" t="s">
        <v>1410</v>
      </c>
      <c r="G706" s="4">
        <v>63.1</v>
      </c>
      <c r="H706" s="3" t="s">
        <v>756</v>
      </c>
      <c r="I706" s="3" t="s">
        <v>760</v>
      </c>
      <c r="J706" s="4">
        <v>2</v>
      </c>
      <c r="K706" s="4">
        <v>1185.6197</v>
      </c>
      <c r="L706" s="4" t="str">
        <f>HYPERLINK("http://ms.phosphosite.org:5080/cgi-bin/plot-msms.cgi?MassType=1&amp;NumAxis=1&amp;Mod7=184&amp;Pep=GGAYPPRYFYPFPVPPLLYQ&amp;Dta=/var/www/html/dta/yong/23616.31717.2.dta&amp;Global_Mod=CS57.0215", "31717")</f>
        <v>31717</v>
      </c>
      <c r="M706" s="4" t="str">
        <f>HYPERLINK("http://ms.phosphosite.org:5080/cgi-bin/plot-msms.cgi?MassType=1&amp;NumAxis=1&amp;Mod7=184&amp;Pep=GGAYPPRYFYPFPVPPLLYQ&amp;Dta=/var/www/html/dta/yong/23617.31805.2.dta&amp;Global_Mod=CS57.0215", "31805")</f>
        <v>31805</v>
      </c>
      <c r="N706" s="5">
        <v>142.85</v>
      </c>
      <c r="O706" s="5">
        <v>143.13</v>
      </c>
      <c r="P706" s="5">
        <v>2.681</v>
      </c>
      <c r="Q706" s="5">
        <v>2.9260000000000002</v>
      </c>
      <c r="R706" s="5">
        <v>1.7372000000000001</v>
      </c>
      <c r="S706" s="5">
        <v>2.653</v>
      </c>
      <c r="T706" s="5">
        <v>0.15290000000000001</v>
      </c>
      <c r="U706" s="5">
        <v>0.17080000000000001</v>
      </c>
      <c r="V706" s="4">
        <v>2</v>
      </c>
      <c r="W706" s="4">
        <v>1</v>
      </c>
      <c r="X706" s="5">
        <v>2.7</v>
      </c>
      <c r="Y706" s="5">
        <v>2.65</v>
      </c>
      <c r="Z706" s="6">
        <v>1000</v>
      </c>
      <c r="AA706" s="6">
        <v>1000</v>
      </c>
      <c r="AB706" s="4" t="s">
        <v>13</v>
      </c>
    </row>
    <row r="707" spans="1:28">
      <c r="A707" s="3" t="s">
        <v>580</v>
      </c>
      <c r="B707" s="9" t="s">
        <v>1672</v>
      </c>
      <c r="C707" s="9" t="s">
        <v>1673</v>
      </c>
      <c r="D707" s="4">
        <v>115</v>
      </c>
      <c r="E707" s="3" t="s">
        <v>744</v>
      </c>
      <c r="F707" s="7" t="s">
        <v>1410</v>
      </c>
      <c r="G707" s="4">
        <v>63.1</v>
      </c>
      <c r="H707" s="3" t="s">
        <v>756</v>
      </c>
      <c r="I707" s="3" t="s">
        <v>760</v>
      </c>
      <c r="J707" s="4">
        <v>2</v>
      </c>
      <c r="K707" s="4">
        <v>1185.6197</v>
      </c>
      <c r="L707" s="4" t="str">
        <f>HYPERLINK("http://ms.phosphosite.org:5080/cgi-bin/plot-msms.cgi?MassType=1&amp;NumAxis=1&amp;Mod7=184&amp;Pep=GGAYPPRYFYPFPVPPLLYQ&amp;Dta=/var/www/html/dta/yong/23616.31742.2.dta&amp;Global_Mod=CS57.0215", "31742")</f>
        <v>31742</v>
      </c>
      <c r="M707" s="4" t="str">
        <f>HYPERLINK("http://ms.phosphosite.org:5080/cgi-bin/plot-msms.cgi?MassType=1&amp;NumAxis=1&amp;Mod7=184&amp;Pep=GGAYPPRYFYPFPVPPLLYQ&amp;Dta=/var/www/html/dta/yong/23617.31789.2.dta&amp;Global_Mod=CS57.0215", "31789")</f>
        <v>31789</v>
      </c>
      <c r="N707" s="5">
        <v>142.97</v>
      </c>
      <c r="O707" s="5">
        <v>143.05000000000001</v>
      </c>
      <c r="P707" s="5">
        <v>2.5830000000000002</v>
      </c>
      <c r="Q707" s="5">
        <v>2.6970000000000001</v>
      </c>
      <c r="R707" s="5">
        <v>1.2674000000000001</v>
      </c>
      <c r="S707" s="5">
        <v>1.6875</v>
      </c>
      <c r="T707" s="5">
        <v>0.15670000000000001</v>
      </c>
      <c r="U707" s="5">
        <v>0.26029999999999998</v>
      </c>
      <c r="V707" s="4">
        <v>1</v>
      </c>
      <c r="W707" s="4">
        <v>2</v>
      </c>
      <c r="X707" s="5">
        <v>2.72</v>
      </c>
      <c r="Y707" s="5">
        <v>3.13</v>
      </c>
      <c r="Z707" s="6">
        <v>1000</v>
      </c>
      <c r="AA707" s="6">
        <v>1000</v>
      </c>
      <c r="AB707" s="4" t="s">
        <v>13</v>
      </c>
    </row>
    <row r="708" spans="1:28">
      <c r="A708" s="3" t="s">
        <v>580</v>
      </c>
      <c r="B708" s="9" t="s">
        <v>1672</v>
      </c>
      <c r="C708" s="9" t="s">
        <v>1673</v>
      </c>
      <c r="D708" s="4">
        <v>115</v>
      </c>
      <c r="E708" s="3" t="s">
        <v>744</v>
      </c>
      <c r="F708" s="7" t="s">
        <v>1410</v>
      </c>
      <c r="G708" s="4">
        <v>63.1</v>
      </c>
      <c r="H708" s="3" t="s">
        <v>756</v>
      </c>
      <c r="I708" s="3" t="s">
        <v>760</v>
      </c>
      <c r="J708" s="4">
        <v>2</v>
      </c>
      <c r="K708" s="4">
        <v>1185.6197</v>
      </c>
      <c r="L708" s="4" t="str">
        <f>HYPERLINK("http://ms.phosphosite.org:5080/cgi-bin/plot-msms.cgi?MassType=1&amp;NumAxis=1&amp;Mod7=184&amp;Pep=GGAYPPRYFYPFPVPPLLYQ&amp;Dta=/var/www/html/dta/yong/23616.31753.2.dta&amp;Global_Mod=CS57.0215", "31753")</f>
        <v>31753</v>
      </c>
      <c r="M708" s="4"/>
      <c r="N708" s="5">
        <v>143.03</v>
      </c>
      <c r="O708" s="5"/>
      <c r="P708" s="5">
        <v>2.9750000000000001</v>
      </c>
      <c r="Q708" s="5"/>
      <c r="R708" s="5">
        <v>1.8924000000000001</v>
      </c>
      <c r="S708" s="5"/>
      <c r="T708" s="5">
        <v>0.29730000000000001</v>
      </c>
      <c r="U708" s="5"/>
      <c r="V708" s="4">
        <v>1</v>
      </c>
      <c r="W708" s="4"/>
      <c r="X708" s="5">
        <v>3.6</v>
      </c>
      <c r="Y708" s="5"/>
      <c r="Z708" s="6">
        <v>1000</v>
      </c>
      <c r="AA708" s="6"/>
      <c r="AB708" s="4" t="s">
        <v>13</v>
      </c>
    </row>
    <row r="709" spans="1:28">
      <c r="A709" s="3" t="s">
        <v>580</v>
      </c>
      <c r="B709" s="9" t="s">
        <v>1672</v>
      </c>
      <c r="C709" s="9" t="s">
        <v>1673</v>
      </c>
      <c r="D709" s="4">
        <v>115</v>
      </c>
      <c r="E709" s="3" t="s">
        <v>744</v>
      </c>
      <c r="F709" s="7" t="s">
        <v>1410</v>
      </c>
      <c r="G709" s="4">
        <v>63.1</v>
      </c>
      <c r="H709" s="3" t="s">
        <v>756</v>
      </c>
      <c r="I709" s="3" t="s">
        <v>760</v>
      </c>
      <c r="J709" s="4">
        <v>2</v>
      </c>
      <c r="K709" s="4">
        <v>1185.6197</v>
      </c>
      <c r="L709" s="4" t="str">
        <f>HYPERLINK("http://ms.phosphosite.org:5080/cgi-bin/plot-msms.cgi?MassType=1&amp;NumAxis=1&amp;Mod7=184&amp;Pep=GGAYPPRYFYPFPVPPLLYQ&amp;Dta=/var/www/html/dta/yong/23616.31781.2.dta&amp;Global_Mod=CS57.0215", "31781")</f>
        <v>31781</v>
      </c>
      <c r="M709" s="4" t="str">
        <f>HYPERLINK("http://ms.phosphosite.org:5080/cgi-bin/plot-msms.cgi?MassType=1&amp;NumAxis=1&amp;Mod7=184&amp;Pep=GGAYPPRYFYPFPVPPLLYQ&amp;Dta=/var/www/html/dta/yong/23617.31827.2.dta&amp;Global_Mod=CS57.0215", "31827")</f>
        <v>31827</v>
      </c>
      <c r="N709" s="5">
        <v>143.16999999999999</v>
      </c>
      <c r="O709" s="5">
        <v>143.24</v>
      </c>
      <c r="P709" s="5">
        <v>2.7309999999999999</v>
      </c>
      <c r="Q709" s="5">
        <v>2.903</v>
      </c>
      <c r="R709" s="5">
        <v>0.84</v>
      </c>
      <c r="S709" s="5">
        <v>2.7056</v>
      </c>
      <c r="T709" s="5">
        <v>0.27050000000000002</v>
      </c>
      <c r="U709" s="5">
        <v>0.31559999999999999</v>
      </c>
      <c r="V709" s="4">
        <v>1</v>
      </c>
      <c r="W709" s="4">
        <v>24</v>
      </c>
      <c r="X709" s="5">
        <v>3.43</v>
      </c>
      <c r="Y709" s="5">
        <v>3.44</v>
      </c>
      <c r="Z709" s="6">
        <v>1000</v>
      </c>
      <c r="AA709" s="6">
        <v>1000</v>
      </c>
      <c r="AB709" s="4" t="s">
        <v>13</v>
      </c>
    </row>
    <row r="710" spans="1:28">
      <c r="A710" s="3" t="s">
        <v>580</v>
      </c>
      <c r="B710" s="9" t="s">
        <v>1672</v>
      </c>
      <c r="C710" s="9" t="s">
        <v>1673</v>
      </c>
      <c r="D710" s="4">
        <v>115</v>
      </c>
      <c r="E710" s="3" t="s">
        <v>744</v>
      </c>
      <c r="F710" s="7" t="s">
        <v>1410</v>
      </c>
      <c r="G710" s="4">
        <v>63.1</v>
      </c>
      <c r="H710" s="3" t="s">
        <v>756</v>
      </c>
      <c r="I710" s="3" t="s">
        <v>760</v>
      </c>
      <c r="J710" s="4">
        <v>3</v>
      </c>
      <c r="K710" s="4">
        <v>790.74890000000005</v>
      </c>
      <c r="L710" s="4" t="str">
        <f>HYPERLINK("http://ms.phosphosite.org:5080/cgi-bin/plot-msms.cgi?MassType=1&amp;NumAxis=1&amp;Mod7=184&amp;Pep=GGAYPPRYFYPFPVPPLLYQ&amp;Dta=/var/www/html/dta/yong/23616.31830.3.dta&amp;Global_Mod=CS57.0215", "31830")</f>
        <v>31830</v>
      </c>
      <c r="M710" s="4" t="str">
        <f>HYPERLINK("http://ms.phosphosite.org:5080/cgi-bin/plot-msms.cgi?MassType=1&amp;NumAxis=1&amp;Mod7=184&amp;Pep=GGAYPPRYFYPFPVPPLLYQ&amp;Dta=/var/www/html/dta/yong/23617.31851.3.dta&amp;Global_Mod=CS57.0215", "31851")</f>
        <v>31851</v>
      </c>
      <c r="N710" s="5">
        <v>143.41999999999999</v>
      </c>
      <c r="O710" s="5">
        <v>143.36000000000001</v>
      </c>
      <c r="P710" s="5">
        <v>2.867</v>
      </c>
      <c r="Q710" s="5">
        <v>3.2869999999999999</v>
      </c>
      <c r="R710" s="5">
        <v>1.1658999999999999</v>
      </c>
      <c r="S710" s="5">
        <v>1.0357000000000001</v>
      </c>
      <c r="T710" s="5">
        <v>6.8199999999999997E-2</v>
      </c>
      <c r="U710" s="5">
        <v>0.18440000000000001</v>
      </c>
      <c r="V710" s="4">
        <v>3</v>
      </c>
      <c r="W710" s="4">
        <v>1</v>
      </c>
      <c r="X710" s="5">
        <v>2.3199999999999998</v>
      </c>
      <c r="Y710" s="5">
        <v>2.92</v>
      </c>
      <c r="Z710" s="6">
        <v>1000</v>
      </c>
      <c r="AA710" s="6">
        <v>1000</v>
      </c>
      <c r="AB710" s="4" t="s">
        <v>13</v>
      </c>
    </row>
    <row r="711" spans="1:28">
      <c r="A711" s="3" t="s">
        <v>580</v>
      </c>
      <c r="B711" s="9" t="s">
        <v>1672</v>
      </c>
      <c r="C711" s="9" t="s">
        <v>1673</v>
      </c>
      <c r="D711" s="4">
        <v>115</v>
      </c>
      <c r="E711" s="3" t="s">
        <v>744</v>
      </c>
      <c r="F711" s="7" t="s">
        <v>1410</v>
      </c>
      <c r="G711" s="4">
        <v>63.1</v>
      </c>
      <c r="H711" s="3" t="s">
        <v>756</v>
      </c>
      <c r="I711" s="3" t="s">
        <v>760</v>
      </c>
      <c r="J711" s="4">
        <v>3</v>
      </c>
      <c r="K711" s="4">
        <v>790.74890000000005</v>
      </c>
      <c r="L711" s="4" t="str">
        <f>HYPERLINK("http://ms.phosphosite.org:5080/cgi-bin/plot-msms.cgi?MassType=1&amp;NumAxis=1&amp;Mod7=184&amp;Pep=GGAYPPRYFYPFPVPPLLYQ&amp;Dta=/var/www/html/dta/yong/23616.31923.3.dta&amp;Global_Mod=CS57.0215", "31923")</f>
        <v>31923</v>
      </c>
      <c r="M711" s="4" t="str">
        <f>HYPERLINK("http://ms.phosphosite.org:5080/cgi-bin/plot-msms.cgi?MassType=1&amp;NumAxis=1&amp;Mod7=184&amp;Pep=GGAYPPRYFYPFPVPPLLYQ&amp;Dta=/var/www/html/dta/yong/23617.31967.3.dta&amp;Global_Mod=CS57.0215", "31967")</f>
        <v>31967</v>
      </c>
      <c r="N711" s="5">
        <v>143.88</v>
      </c>
      <c r="O711" s="5">
        <v>143.94999999999999</v>
      </c>
      <c r="P711" s="5">
        <v>3.1259999999999999</v>
      </c>
      <c r="Q711" s="5">
        <v>2.4180000000000001</v>
      </c>
      <c r="R711" s="5">
        <v>1.2748999999999999</v>
      </c>
      <c r="S711" s="5">
        <v>1.0202</v>
      </c>
      <c r="T711" s="5">
        <v>0.26129999999999998</v>
      </c>
      <c r="U711" s="5">
        <v>1.5599999999999999E-2</v>
      </c>
      <c r="V711" s="4">
        <v>1</v>
      </c>
      <c r="W711" s="4">
        <v>22</v>
      </c>
      <c r="X711" s="5">
        <v>3.48</v>
      </c>
      <c r="Y711" s="5">
        <v>1.69</v>
      </c>
      <c r="Z711" s="6">
        <v>1000</v>
      </c>
      <c r="AA711" s="6">
        <v>1000</v>
      </c>
      <c r="AB711" s="4" t="s">
        <v>13</v>
      </c>
    </row>
    <row r="712" spans="1:28">
      <c r="A712" s="3" t="s">
        <v>580</v>
      </c>
      <c r="B712" s="9" t="s">
        <v>1672</v>
      </c>
      <c r="C712" s="9" t="s">
        <v>1673</v>
      </c>
      <c r="D712" s="4">
        <v>115</v>
      </c>
      <c r="E712" s="3" t="s">
        <v>744</v>
      </c>
      <c r="F712" s="7" t="s">
        <v>1410</v>
      </c>
      <c r="G712" s="4">
        <v>63.1</v>
      </c>
      <c r="H712" s="3" t="s">
        <v>756</v>
      </c>
      <c r="I712" s="3" t="s">
        <v>758</v>
      </c>
      <c r="J712" s="4">
        <v>3</v>
      </c>
      <c r="K712" s="4">
        <v>693.70830000000001</v>
      </c>
      <c r="L712" s="4" t="str">
        <f>HYPERLINK("http://ms.phosphosite.org:5080/cgi-bin/plot-msms.cgi?MassType=1&amp;NumAxis=1&amp;Mod7=184&amp;Pep=GGAYPPRYFYPFPVPPLL&amp;Dta=/var/www/html/dta/yong/23616.31955.3.dta&amp;Global_Mod=CS57.0215", "31955")</f>
        <v>31955</v>
      </c>
      <c r="M712" s="4" t="str">
        <f>HYPERLINK("http://ms.phosphosite.org:5080/cgi-bin/plot-msms.cgi?MassType=1&amp;NumAxis=1&amp;Mod7=184&amp;Pep=GGAYPPRYFYPFPVPPLL&amp;Dta=/var/www/html/dta/yong/23617.32161.3.dta&amp;Global_Mod=CS57.0215", "32161")</f>
        <v>32161</v>
      </c>
      <c r="N712" s="5">
        <v>144.04</v>
      </c>
      <c r="O712" s="5">
        <v>144.91999999999999</v>
      </c>
      <c r="P712" s="5">
        <v>1.978</v>
      </c>
      <c r="Q712" s="5">
        <v>2.8279999999999998</v>
      </c>
      <c r="R712" s="5">
        <v>0.77390000000000003</v>
      </c>
      <c r="S712" s="5">
        <v>0.87619999999999998</v>
      </c>
      <c r="T712" s="5">
        <v>6.7299999999999999E-2</v>
      </c>
      <c r="U712" s="5">
        <v>0.17599999999999999</v>
      </c>
      <c r="V712" s="4">
        <v>2</v>
      </c>
      <c r="W712" s="4">
        <v>1</v>
      </c>
      <c r="X712" s="5">
        <v>2.1</v>
      </c>
      <c r="Y712" s="5">
        <v>2.76</v>
      </c>
      <c r="Z712" s="6">
        <v>1000</v>
      </c>
      <c r="AA712" s="6">
        <v>1000</v>
      </c>
      <c r="AB712" s="4" t="s">
        <v>13</v>
      </c>
    </row>
    <row r="713" spans="1:28">
      <c r="A713" s="3" t="s">
        <v>580</v>
      </c>
      <c r="B713" s="9" t="s">
        <v>1672</v>
      </c>
      <c r="C713" s="9" t="s">
        <v>1673</v>
      </c>
      <c r="D713" s="4">
        <v>115</v>
      </c>
      <c r="E713" s="3" t="s">
        <v>744</v>
      </c>
      <c r="F713" s="7" t="s">
        <v>1410</v>
      </c>
      <c r="G713" s="4">
        <v>63.1</v>
      </c>
      <c r="H713" s="3" t="s">
        <v>756</v>
      </c>
      <c r="I713" s="3" t="s">
        <v>758</v>
      </c>
      <c r="J713" s="4">
        <v>3</v>
      </c>
      <c r="K713" s="4">
        <v>693.70830000000001</v>
      </c>
      <c r="L713" s="4" t="str">
        <f>HYPERLINK("http://ms.phosphosite.org:5080/cgi-bin/plot-msms.cgi?MassType=1&amp;NumAxis=1&amp;Mod7=184&amp;Pep=GGAYPPRYFYPFPVPPLL&amp;Dta=/var/www/html/dta/yong/23616.31965.3.dta&amp;Global_Mod=CS57.0215", "31965")</f>
        <v>31965</v>
      </c>
      <c r="M713" s="4" t="str">
        <f>HYPERLINK("http://ms.phosphosite.org:5080/cgi-bin/plot-msms.cgi?MassType=1&amp;NumAxis=1&amp;Mod7=184&amp;Pep=GGAYPPRYFYPFPVPPLL&amp;Dta=/var/www/html/dta/yong/23617.31987.3.dta&amp;Global_Mod=CS57.0215", "31987")</f>
        <v>31987</v>
      </c>
      <c r="N713" s="5">
        <v>144.09</v>
      </c>
      <c r="O713" s="5">
        <v>144.05000000000001</v>
      </c>
      <c r="P713" s="5">
        <v>1.889</v>
      </c>
      <c r="Q713" s="5">
        <v>2.4209999999999998</v>
      </c>
      <c r="R713" s="5">
        <v>0.93410000000000004</v>
      </c>
      <c r="S713" s="5">
        <v>0.96060000000000001</v>
      </c>
      <c r="T713" s="5">
        <v>3.6999999999999998E-2</v>
      </c>
      <c r="U713" s="5">
        <v>0.14019999999999999</v>
      </c>
      <c r="V713" s="4">
        <v>1</v>
      </c>
      <c r="W713" s="4">
        <v>1</v>
      </c>
      <c r="X713" s="5">
        <v>1.89</v>
      </c>
      <c r="Y713" s="5">
        <v>2.4300000000000002</v>
      </c>
      <c r="Z713" s="6">
        <v>1000</v>
      </c>
      <c r="AA713" s="6">
        <v>1000</v>
      </c>
      <c r="AB713" s="4" t="s">
        <v>13</v>
      </c>
    </row>
    <row r="714" spans="1:28">
      <c r="A714" s="3" t="s">
        <v>580</v>
      </c>
      <c r="B714" s="9" t="s">
        <v>1672</v>
      </c>
      <c r="C714" s="9" t="s">
        <v>1673</v>
      </c>
      <c r="D714" s="4">
        <v>115</v>
      </c>
      <c r="E714" s="3" t="s">
        <v>744</v>
      </c>
      <c r="F714" s="7" t="s">
        <v>1410</v>
      </c>
      <c r="G714" s="4">
        <v>63.1</v>
      </c>
      <c r="H714" s="3" t="s">
        <v>756</v>
      </c>
      <c r="I714" s="3" t="s">
        <v>758</v>
      </c>
      <c r="J714" s="4">
        <v>2</v>
      </c>
      <c r="K714" s="4">
        <v>1040.0588</v>
      </c>
      <c r="L714" s="4" t="str">
        <f>HYPERLINK("http://ms.phosphosite.org:5080/cgi-bin/plot-msms.cgi?MassType=1&amp;NumAxis=1&amp;Mod7=184&amp;Pep=GGAYPPRYFYPFPVPPLL&amp;Dta=/var/www/html/dta/yong/23616.32041.2.dta&amp;Global_Mod=CS57.0215", "32041")</f>
        <v>32041</v>
      </c>
      <c r="M714" s="4" t="str">
        <f>HYPERLINK("http://ms.phosphosite.org:5080/cgi-bin/plot-msms.cgi?MassType=1&amp;NumAxis=1&amp;Mod7=184&amp;Pep=GGAYPPRYFYPFPVPPLL&amp;Dta=/var/www/html/dta/yong/23617.32017.2.dta&amp;Global_Mod=CS57.0215", "32017")</f>
        <v>32017</v>
      </c>
      <c r="N714" s="5">
        <v>144.47</v>
      </c>
      <c r="O714" s="5">
        <v>144.19999999999999</v>
      </c>
      <c r="P714" s="5">
        <v>2.33</v>
      </c>
      <c r="Q714" s="5">
        <v>2.4009999999999998</v>
      </c>
      <c r="R714" s="5">
        <v>1.1874</v>
      </c>
      <c r="S714" s="5">
        <v>1.7339</v>
      </c>
      <c r="T714" s="5">
        <v>0.12590000000000001</v>
      </c>
      <c r="U714" s="5">
        <v>0.27010000000000001</v>
      </c>
      <c r="V714" s="4">
        <v>6</v>
      </c>
      <c r="W714" s="4">
        <v>5</v>
      </c>
      <c r="X714" s="5">
        <v>2.4900000000000002</v>
      </c>
      <c r="Y714" s="5">
        <v>3.11</v>
      </c>
      <c r="Z714" s="6">
        <v>1000</v>
      </c>
      <c r="AA714" s="6">
        <v>1000</v>
      </c>
      <c r="AB714" s="4" t="s">
        <v>13</v>
      </c>
    </row>
    <row r="715" spans="1:28">
      <c r="A715" s="3" t="s">
        <v>580</v>
      </c>
      <c r="B715" s="9" t="s">
        <v>1672</v>
      </c>
      <c r="C715" s="9" t="s">
        <v>1673</v>
      </c>
      <c r="D715" s="4">
        <v>115</v>
      </c>
      <c r="E715" s="3" t="s">
        <v>744</v>
      </c>
      <c r="F715" s="7" t="s">
        <v>1410</v>
      </c>
      <c r="G715" s="4">
        <v>63.1</v>
      </c>
      <c r="H715" s="3" t="s">
        <v>756</v>
      </c>
      <c r="I715" s="3" t="s">
        <v>758</v>
      </c>
      <c r="J715" s="4">
        <v>2</v>
      </c>
      <c r="K715" s="4">
        <v>1040.0588</v>
      </c>
      <c r="L715" s="4" t="str">
        <f>HYPERLINK("http://ms.phosphosite.org:5080/cgi-bin/plot-msms.cgi?MassType=1&amp;NumAxis=1&amp;Mod7=184&amp;Pep=GGAYPPRYFYPFPVPPLL&amp;Dta=/var/www/html/dta/yong/23616.32060.2.dta&amp;Global_Mod=CS57.0215", "32060")</f>
        <v>32060</v>
      </c>
      <c r="M715" s="4" t="str">
        <f>HYPERLINK("http://ms.phosphosite.org:5080/cgi-bin/plot-msms.cgi?MassType=1&amp;NumAxis=1&amp;Mod7=184&amp;Pep=GGAYPPRYFYPFPVPPLL&amp;Dta=/var/www/html/dta/yong/23617.32101.2.dta&amp;Global_Mod=CS57.0215", "32101")</f>
        <v>32101</v>
      </c>
      <c r="N715" s="5">
        <v>144.56</v>
      </c>
      <c r="O715" s="5">
        <v>144.62</v>
      </c>
      <c r="P715" s="5">
        <v>2.1520000000000001</v>
      </c>
      <c r="Q715" s="5">
        <v>2.1509999999999998</v>
      </c>
      <c r="R715" s="5">
        <v>1.0288999999999999</v>
      </c>
      <c r="S715" s="5">
        <v>1.4710000000000001</v>
      </c>
      <c r="T715" s="5">
        <v>0.10829999999999999</v>
      </c>
      <c r="U715" s="5">
        <v>7.1599999999999997E-2</v>
      </c>
      <c r="V715" s="4">
        <v>45</v>
      </c>
      <c r="W715" s="4">
        <v>49</v>
      </c>
      <c r="X715" s="5">
        <v>2.33</v>
      </c>
      <c r="Y715" s="5">
        <v>1.9</v>
      </c>
      <c r="Z715" s="6">
        <v>1000</v>
      </c>
      <c r="AA715" s="6">
        <v>1000</v>
      </c>
      <c r="AB715" s="4" t="s">
        <v>13</v>
      </c>
    </row>
    <row r="716" spans="1:28">
      <c r="A716" s="3" t="s">
        <v>580</v>
      </c>
      <c r="B716" s="9" t="s">
        <v>1672</v>
      </c>
      <c r="C716" s="9" t="s">
        <v>1673</v>
      </c>
      <c r="D716" s="4">
        <v>115</v>
      </c>
      <c r="E716" s="3" t="s">
        <v>744</v>
      </c>
      <c r="F716" s="7" t="s">
        <v>1410</v>
      </c>
      <c r="G716" s="4">
        <v>63.1</v>
      </c>
      <c r="H716" s="3" t="s">
        <v>756</v>
      </c>
      <c r="I716" s="3" t="s">
        <v>758</v>
      </c>
      <c r="J716" s="4">
        <v>2</v>
      </c>
      <c r="K716" s="4">
        <v>1040.0588</v>
      </c>
      <c r="L716" s="4" t="str">
        <f>HYPERLINK("http://ms.phosphosite.org:5080/cgi-bin/plot-msms.cgi?MassType=1&amp;NumAxis=1&amp;Mod7=184&amp;Pep=GGAYPPRYFYPFPVPPLL&amp;Dta=/var/www/html/dta/yong/23616.32075.2.dta&amp;Global_Mod=CS57.0215", "32075")</f>
        <v>32075</v>
      </c>
      <c r="M716" s="4" t="str">
        <f>HYPERLINK("http://ms.phosphosite.org:5080/cgi-bin/plot-msms.cgi?MassType=1&amp;NumAxis=1&amp;Mod7=184&amp;Pep=GGAYPPRYFYPFPVPPLL&amp;Dta=/var/www/html/dta/yong/23617.32042.2.dta&amp;Global_Mod=CS57.0215", "32042")</f>
        <v>32042</v>
      </c>
      <c r="N716" s="5">
        <v>144.63999999999999</v>
      </c>
      <c r="O716" s="5">
        <v>144.33000000000001</v>
      </c>
      <c r="P716" s="5">
        <v>2.133</v>
      </c>
      <c r="Q716" s="5">
        <v>2.3490000000000002</v>
      </c>
      <c r="R716" s="5">
        <v>1.0942000000000001</v>
      </c>
      <c r="S716" s="5">
        <v>1.8231999999999999</v>
      </c>
      <c r="T716" s="5">
        <v>0.1222</v>
      </c>
      <c r="U716" s="5">
        <v>0.1706</v>
      </c>
      <c r="V716" s="4">
        <v>30</v>
      </c>
      <c r="W716" s="4">
        <v>24</v>
      </c>
      <c r="X716" s="5">
        <v>2.41</v>
      </c>
      <c r="Y716" s="5">
        <v>2.52</v>
      </c>
      <c r="Z716" s="6">
        <v>1000</v>
      </c>
      <c r="AA716" s="6">
        <v>1000</v>
      </c>
      <c r="AB716" s="4" t="s">
        <v>13</v>
      </c>
    </row>
    <row r="717" spans="1:28">
      <c r="A717" s="3" t="s">
        <v>580</v>
      </c>
      <c r="B717" s="9" t="s">
        <v>1672</v>
      </c>
      <c r="C717" s="9" t="s">
        <v>1673</v>
      </c>
      <c r="D717" s="4">
        <v>115</v>
      </c>
      <c r="E717" s="3" t="s">
        <v>744</v>
      </c>
      <c r="F717" s="7" t="s">
        <v>1410</v>
      </c>
      <c r="G717" s="4">
        <v>63.1</v>
      </c>
      <c r="H717" s="3" t="s">
        <v>756</v>
      </c>
      <c r="I717" s="3" t="s">
        <v>758</v>
      </c>
      <c r="J717" s="4">
        <v>3</v>
      </c>
      <c r="K717" s="4">
        <v>693.70830000000001</v>
      </c>
      <c r="L717" s="4" t="str">
        <f>HYPERLINK("http://ms.phosphosite.org:5080/cgi-bin/plot-msms.cgi?MassType=1&amp;NumAxis=1&amp;Mod7=184&amp;Pep=GGAYPPRYFYPFPVPPLL&amp;Dta=/var/www/html/dta/yong/23616.32084.3.dta&amp;Global_Mod=CS57.0215", "32084")</f>
        <v>32084</v>
      </c>
      <c r="M717" s="4" t="str">
        <f>HYPERLINK("http://ms.phosphosite.org:5080/cgi-bin/plot-msms.cgi?MassType=1&amp;NumAxis=1&amp;Mod7=184&amp;Pep=GGAYPPRYFYPFPVPPLL&amp;Dta=/var/www/html/dta/yong/23617.32120.3.dta&amp;Global_Mod=CS57.0215", "32120")</f>
        <v>32120</v>
      </c>
      <c r="N717" s="5">
        <v>144.69</v>
      </c>
      <c r="O717" s="5">
        <v>144.72</v>
      </c>
      <c r="P717" s="5">
        <v>1.8280000000000001</v>
      </c>
      <c r="Q717" s="5">
        <v>2.1640000000000001</v>
      </c>
      <c r="R717" s="5">
        <v>0.98740000000000006</v>
      </c>
      <c r="S717" s="5">
        <v>0.85170000000000001</v>
      </c>
      <c r="T717" s="5">
        <v>3.3999999999999998E-3</v>
      </c>
      <c r="U717" s="5">
        <v>3.1E-2</v>
      </c>
      <c r="V717" s="4">
        <v>17</v>
      </c>
      <c r="W717" s="4">
        <v>5</v>
      </c>
      <c r="X717" s="5">
        <v>1.67</v>
      </c>
      <c r="Y717" s="5">
        <v>1.74</v>
      </c>
      <c r="Z717" s="6">
        <v>1000</v>
      </c>
      <c r="AA717" s="6">
        <v>1000</v>
      </c>
      <c r="AB717" s="4" t="s">
        <v>13</v>
      </c>
    </row>
    <row r="718" spans="1:28">
      <c r="A718" s="3" t="s">
        <v>580</v>
      </c>
      <c r="B718" s="9" t="s">
        <v>1672</v>
      </c>
      <c r="C718" s="9" t="s">
        <v>1673</v>
      </c>
      <c r="D718" s="4">
        <v>115</v>
      </c>
      <c r="E718" s="3" t="s">
        <v>744</v>
      </c>
      <c r="F718" s="7" t="s">
        <v>1410</v>
      </c>
      <c r="G718" s="4">
        <v>63.1</v>
      </c>
      <c r="H718" s="3" t="s">
        <v>756</v>
      </c>
      <c r="I718" s="3" t="s">
        <v>758</v>
      </c>
      <c r="J718" s="4">
        <v>3</v>
      </c>
      <c r="K718" s="4">
        <v>693.70830000000001</v>
      </c>
      <c r="L718" s="4" t="str">
        <f>HYPERLINK("http://ms.phosphosite.org:5080/cgi-bin/plot-msms.cgi?MassType=1&amp;NumAxis=1&amp;Mod7=184&amp;Pep=GGAYPPRYFYPFPVPPLL&amp;Dta=/var/www/html/dta/yong/23616.32102.3.dta&amp;Global_Mod=CS57.0215", "32102")</f>
        <v>32102</v>
      </c>
      <c r="M718" s="4" t="str">
        <f>HYPERLINK("http://ms.phosphosite.org:5080/cgi-bin/plot-msms.cgi?MassType=1&amp;NumAxis=1&amp;Mod7=184&amp;Pep=GGAYPPRYFYPFPVPPLL&amp;Dta=/var/www/html/dta/yong/23617.31977.3.dta&amp;Global_Mod=CS57.0215", "31977")</f>
        <v>31977</v>
      </c>
      <c r="N718" s="5">
        <v>144.78</v>
      </c>
      <c r="O718" s="5">
        <v>144</v>
      </c>
      <c r="P718" s="5">
        <v>2.266</v>
      </c>
      <c r="Q718" s="5">
        <v>2.8359999999999999</v>
      </c>
      <c r="R718" s="5">
        <v>1.0345</v>
      </c>
      <c r="S718" s="5">
        <v>0.86439999999999995</v>
      </c>
      <c r="T718" s="5">
        <v>0.15989999999999999</v>
      </c>
      <c r="U718" s="5">
        <v>0.2535</v>
      </c>
      <c r="V718" s="4">
        <v>55</v>
      </c>
      <c r="W718" s="4">
        <v>1</v>
      </c>
      <c r="X718" s="5">
        <v>2.67</v>
      </c>
      <c r="Y718" s="5">
        <v>3.2</v>
      </c>
      <c r="Z718" s="6">
        <v>1000</v>
      </c>
      <c r="AA718" s="6">
        <v>1000</v>
      </c>
      <c r="AB718" s="4" t="s">
        <v>13</v>
      </c>
    </row>
    <row r="719" spans="1:28">
      <c r="A719" s="3" t="s">
        <v>580</v>
      </c>
      <c r="B719" s="9" t="s">
        <v>1672</v>
      </c>
      <c r="C719" s="9" t="s">
        <v>1673</v>
      </c>
      <c r="D719" s="4">
        <v>115</v>
      </c>
      <c r="E719" s="3" t="s">
        <v>744</v>
      </c>
      <c r="F719" s="7" t="s">
        <v>1410</v>
      </c>
      <c r="G719" s="4">
        <v>63.1</v>
      </c>
      <c r="H719" s="3" t="s">
        <v>756</v>
      </c>
      <c r="I719" s="3" t="s">
        <v>759</v>
      </c>
      <c r="J719" s="4">
        <v>2</v>
      </c>
      <c r="K719" s="4">
        <v>1121.5904</v>
      </c>
      <c r="L719" s="4" t="str">
        <f>HYPERLINK("http://ms.phosphosite.org:5080/cgi-bin/plot-msms.cgi?MassType=1&amp;NumAxis=1&amp;Mod7=184&amp;Pep=GGAYPPRYFYPFPVPPLLY&amp;Dta=/var/www/html/dta/yong/23616.32700.2.dta&amp;Global_Mod=CS57.0215", "32700")</f>
        <v>32700</v>
      </c>
      <c r="M719" s="4" t="str">
        <f>HYPERLINK("http://ms.phosphosite.org:5080/cgi-bin/plot-msms.cgi?MassType=1&amp;NumAxis=1&amp;Mod7=184&amp;Pep=GGAYPPRYFYPFPVPPLLY&amp;Dta=/var/www/html/dta/yong/23617.32732.2.dta&amp;Global_Mod=CS57.0215", "32732")</f>
        <v>32732</v>
      </c>
      <c r="N719" s="5">
        <v>147.75</v>
      </c>
      <c r="O719" s="5">
        <v>147.81</v>
      </c>
      <c r="P719" s="5">
        <v>2.004</v>
      </c>
      <c r="Q719" s="5">
        <v>2.6440000000000001</v>
      </c>
      <c r="R719" s="5">
        <v>2.4988999999999999</v>
      </c>
      <c r="S719" s="5">
        <v>4.1016000000000004</v>
      </c>
      <c r="T719" s="5">
        <v>0.22520000000000001</v>
      </c>
      <c r="U719" s="5">
        <v>0.2389</v>
      </c>
      <c r="V719" s="4">
        <v>11</v>
      </c>
      <c r="W719" s="4">
        <v>1</v>
      </c>
      <c r="X719" s="5">
        <v>2.88</v>
      </c>
      <c r="Y719" s="5">
        <v>2.88</v>
      </c>
      <c r="Z719" s="6">
        <v>1000</v>
      </c>
      <c r="AA719" s="6">
        <v>1000</v>
      </c>
      <c r="AB719" s="4" t="s">
        <v>13</v>
      </c>
    </row>
    <row r="720" spans="1:28">
      <c r="A720" s="3" t="s">
        <v>580</v>
      </c>
      <c r="B720" s="9" t="s">
        <v>1672</v>
      </c>
      <c r="C720" s="9" t="s">
        <v>1673</v>
      </c>
      <c r="D720" s="4">
        <v>115</v>
      </c>
      <c r="E720" s="3" t="s">
        <v>744</v>
      </c>
      <c r="F720" s="7" t="s">
        <v>1410</v>
      </c>
      <c r="G720" s="4">
        <v>63.1</v>
      </c>
      <c r="H720" s="3" t="s">
        <v>756</v>
      </c>
      <c r="I720" s="3" t="s">
        <v>759</v>
      </c>
      <c r="J720" s="4">
        <v>2</v>
      </c>
      <c r="K720" s="4">
        <v>1121.5904</v>
      </c>
      <c r="L720" s="4" t="str">
        <f>HYPERLINK("http://ms.phosphosite.org:5080/cgi-bin/plot-msms.cgi?MassType=1&amp;NumAxis=1&amp;Mod7=184&amp;Pep=GGAYPPRYFYPFPVPPLLY&amp;Dta=/var/www/html/dta/yong/23616.32703.2.dta&amp;Global_Mod=CS57.0215", "32703")</f>
        <v>32703</v>
      </c>
      <c r="M720" s="4" t="str">
        <f>HYPERLINK("http://ms.phosphosite.org:5080/cgi-bin/plot-msms.cgi?MassType=1&amp;NumAxis=1&amp;Mod7=184&amp;Pep=GGAYPPRYFYPFPVPPLLY&amp;Dta=/var/www/html/dta/yong/23617.32898.2.dta&amp;Global_Mod=CS57.0215", "32898")</f>
        <v>32898</v>
      </c>
      <c r="N720" s="5">
        <v>147.77000000000001</v>
      </c>
      <c r="O720" s="5">
        <v>148.63999999999999</v>
      </c>
      <c r="P720" s="5">
        <v>2.4260000000000002</v>
      </c>
      <c r="Q720" s="5">
        <v>2.7810000000000001</v>
      </c>
      <c r="R720" s="5">
        <v>2.3992</v>
      </c>
      <c r="S720" s="5">
        <v>1.4218</v>
      </c>
      <c r="T720" s="5">
        <v>0.19650000000000001</v>
      </c>
      <c r="U720" s="5">
        <v>0.23630000000000001</v>
      </c>
      <c r="V720" s="4">
        <v>26</v>
      </c>
      <c r="W720" s="4">
        <v>9</v>
      </c>
      <c r="X720" s="5">
        <v>2.84</v>
      </c>
      <c r="Y720" s="5">
        <v>3.04</v>
      </c>
      <c r="Z720" s="6">
        <v>1000</v>
      </c>
      <c r="AA720" s="6">
        <v>1000</v>
      </c>
      <c r="AB720" s="4" t="s">
        <v>13</v>
      </c>
    </row>
    <row r="721" spans="1:28">
      <c r="A721" s="3" t="s">
        <v>580</v>
      </c>
      <c r="B721" s="9" t="s">
        <v>1672</v>
      </c>
      <c r="C721" s="9" t="s">
        <v>1673</v>
      </c>
      <c r="D721" s="4">
        <v>115</v>
      </c>
      <c r="E721" s="3" t="s">
        <v>744</v>
      </c>
      <c r="F721" s="7" t="s">
        <v>1410</v>
      </c>
      <c r="G721" s="4">
        <v>63.1</v>
      </c>
      <c r="H721" s="3" t="s">
        <v>756</v>
      </c>
      <c r="I721" s="3" t="s">
        <v>759</v>
      </c>
      <c r="J721" s="4">
        <v>2</v>
      </c>
      <c r="K721" s="4">
        <v>1121.5904</v>
      </c>
      <c r="L721" s="4" t="str">
        <f>HYPERLINK("http://ms.phosphosite.org:5080/cgi-bin/plot-msms.cgi?MassType=1&amp;NumAxis=1&amp;Mod7=184&amp;Pep=GGAYPPRYFYPFPVPPLLY&amp;Dta=/var/www/html/dta/yong/23616.32714.2.dta&amp;Global_Mod=CS57.0215", "32714")</f>
        <v>32714</v>
      </c>
      <c r="M721" s="4" t="str">
        <f>HYPERLINK("http://ms.phosphosite.org:5080/cgi-bin/plot-msms.cgi?MassType=1&amp;NumAxis=1&amp;Mod7=184&amp;Pep=GGAYPPRYFYPFPVPPLLY&amp;Dta=/var/www/html/dta/yong/23617.32739.2.dta&amp;Global_Mod=CS57.0215", "32739")</f>
        <v>32739</v>
      </c>
      <c r="N721" s="5">
        <v>147.82</v>
      </c>
      <c r="O721" s="5">
        <v>147.85</v>
      </c>
      <c r="P721" s="5">
        <v>2.718</v>
      </c>
      <c r="Q721" s="5">
        <v>2.6589999999999998</v>
      </c>
      <c r="R721" s="5">
        <v>1.9822</v>
      </c>
      <c r="S721" s="5">
        <v>1.5348999999999999</v>
      </c>
      <c r="T721" s="5">
        <v>0.27060000000000001</v>
      </c>
      <c r="U721" s="5">
        <v>0.33110000000000001</v>
      </c>
      <c r="V721" s="4">
        <v>3</v>
      </c>
      <c r="W721" s="4">
        <v>9</v>
      </c>
      <c r="X721" s="5">
        <v>3.38</v>
      </c>
      <c r="Y721" s="5">
        <v>3.53</v>
      </c>
      <c r="Z721" s="6">
        <v>1000</v>
      </c>
      <c r="AA721" s="6">
        <v>1000</v>
      </c>
      <c r="AB721" s="4" t="s">
        <v>13</v>
      </c>
    </row>
    <row r="722" spans="1:28">
      <c r="A722" s="3" t="s">
        <v>580</v>
      </c>
      <c r="B722" s="9" t="s">
        <v>1672</v>
      </c>
      <c r="C722" s="9" t="s">
        <v>1673</v>
      </c>
      <c r="D722" s="4">
        <v>115</v>
      </c>
      <c r="E722" s="3" t="s">
        <v>744</v>
      </c>
      <c r="F722" s="7" t="s">
        <v>1410</v>
      </c>
      <c r="G722" s="4">
        <v>63.1</v>
      </c>
      <c r="H722" s="3" t="s">
        <v>756</v>
      </c>
      <c r="I722" s="3" t="s">
        <v>759</v>
      </c>
      <c r="J722" s="4">
        <v>2</v>
      </c>
      <c r="K722" s="4">
        <v>1121.5904</v>
      </c>
      <c r="L722" s="4" t="str">
        <f>HYPERLINK("http://ms.phosphosite.org:5080/cgi-bin/plot-msms.cgi?MassType=1&amp;NumAxis=1&amp;Mod7=184&amp;Pep=GGAYPPRYFYPFPVPPLLY&amp;Dta=/var/www/html/dta/yong/23616.32853.2.dta&amp;Global_Mod=CS57.0215", "32853")</f>
        <v>32853</v>
      </c>
      <c r="M722" s="4" t="str">
        <f>HYPERLINK("http://ms.phosphosite.org:5080/cgi-bin/plot-msms.cgi?MassType=1&amp;NumAxis=1&amp;Mod7=184&amp;Pep=GGAYPPRYFYPFPVPPLLY&amp;Dta=/var/www/html/dta/yong/23617.32937.2.dta&amp;Global_Mod=CS57.0215", "32937")</f>
        <v>32937</v>
      </c>
      <c r="N722" s="5">
        <v>148.52000000000001</v>
      </c>
      <c r="O722" s="5">
        <v>148.84</v>
      </c>
      <c r="P722" s="5">
        <v>2.2450000000000001</v>
      </c>
      <c r="Q722" s="5">
        <v>2.6869999999999998</v>
      </c>
      <c r="R722" s="5">
        <v>1.8573</v>
      </c>
      <c r="S722" s="5">
        <v>1.7696000000000001</v>
      </c>
      <c r="T722" s="5">
        <v>0.1925</v>
      </c>
      <c r="U722" s="5">
        <v>0.21579999999999999</v>
      </c>
      <c r="V722" s="4">
        <v>5</v>
      </c>
      <c r="W722" s="4">
        <v>5</v>
      </c>
      <c r="X722" s="5">
        <v>2.8</v>
      </c>
      <c r="Y722" s="5">
        <v>2.88</v>
      </c>
      <c r="Z722" s="6">
        <v>1000</v>
      </c>
      <c r="AA722" s="6">
        <v>1000</v>
      </c>
      <c r="AB722" s="4" t="s">
        <v>13</v>
      </c>
    </row>
    <row r="723" spans="1:28">
      <c r="A723" s="3" t="s">
        <v>580</v>
      </c>
      <c r="B723" s="9" t="s">
        <v>1672</v>
      </c>
      <c r="C723" s="9" t="s">
        <v>1673</v>
      </c>
      <c r="D723" s="4">
        <v>115</v>
      </c>
      <c r="E723" s="3" t="s">
        <v>744</v>
      </c>
      <c r="F723" s="7" t="s">
        <v>1410</v>
      </c>
      <c r="G723" s="4">
        <v>63.1</v>
      </c>
      <c r="H723" s="3" t="s">
        <v>756</v>
      </c>
      <c r="I723" s="3" t="s">
        <v>759</v>
      </c>
      <c r="J723" s="4">
        <v>2</v>
      </c>
      <c r="K723" s="4">
        <v>1121.5904</v>
      </c>
      <c r="L723" s="4" t="str">
        <f>HYPERLINK("http://ms.phosphosite.org:5080/cgi-bin/plot-msms.cgi?MassType=1&amp;NumAxis=1&amp;Mod7=184&amp;Pep=GGAYPPRYFYPFPVPPLLY&amp;Dta=/var/www/html/dta/yong/23616.32862.2.dta&amp;Global_Mod=CS57.0215", "32862")</f>
        <v>32862</v>
      </c>
      <c r="M723" s="4" t="str">
        <f>HYPERLINK("http://ms.phosphosite.org:5080/cgi-bin/plot-msms.cgi?MassType=1&amp;NumAxis=1&amp;Mod7=184&amp;Pep=GGAYPPRYFYPFPVPPLLY&amp;Dta=/var/www/html/dta/yong/23617.32869.2.dta&amp;Global_Mod=CS57.0215", "32869")</f>
        <v>32869</v>
      </c>
      <c r="N723" s="5">
        <v>148.56</v>
      </c>
      <c r="O723" s="5">
        <v>148.5</v>
      </c>
      <c r="P723" s="5">
        <v>2.7509999999999999</v>
      </c>
      <c r="Q723" s="5">
        <v>2.8759999999999999</v>
      </c>
      <c r="R723" s="5">
        <v>1.8098000000000001</v>
      </c>
      <c r="S723" s="5">
        <v>1.5572999999999999</v>
      </c>
      <c r="T723" s="5">
        <v>0.33119999999999999</v>
      </c>
      <c r="U723" s="5">
        <v>0.31740000000000002</v>
      </c>
      <c r="V723" s="4">
        <v>1</v>
      </c>
      <c r="W723" s="4">
        <v>1</v>
      </c>
      <c r="X723" s="5">
        <v>3.74</v>
      </c>
      <c r="Y723" s="5">
        <v>3.52</v>
      </c>
      <c r="Z723" s="6">
        <v>1000</v>
      </c>
      <c r="AA723" s="6">
        <v>1000</v>
      </c>
      <c r="AB723" s="4" t="s">
        <v>13</v>
      </c>
    </row>
    <row r="724" spans="1:28">
      <c r="A724" s="3" t="s">
        <v>580</v>
      </c>
      <c r="B724" s="9" t="s">
        <v>1672</v>
      </c>
      <c r="C724" s="9" t="s">
        <v>1673</v>
      </c>
      <c r="D724" s="4">
        <v>115</v>
      </c>
      <c r="E724" s="3" t="s">
        <v>744</v>
      </c>
      <c r="F724" s="7" t="s">
        <v>1410</v>
      </c>
      <c r="G724" s="4">
        <v>63.1</v>
      </c>
      <c r="H724" s="3" t="s">
        <v>756</v>
      </c>
      <c r="I724" s="3" t="s">
        <v>759</v>
      </c>
      <c r="J724" s="4">
        <v>3</v>
      </c>
      <c r="K724" s="4">
        <v>748.06269999999995</v>
      </c>
      <c r="L724" s="4" t="str">
        <f>HYPERLINK("http://ms.phosphosite.org:5080/cgi-bin/plot-msms.cgi?MassType=1&amp;NumAxis=1&amp;Mod7=184&amp;Pep=GGAYPPRYFYPFPVPPLLY&amp;Dta=/var/www/html/dta/yong/23616.32881.3.dta&amp;Global_Mod=CS57.0215", "32881")</f>
        <v>32881</v>
      </c>
      <c r="M724" s="4" t="str">
        <f>HYPERLINK("http://ms.phosphosite.org:5080/cgi-bin/plot-msms.cgi?MassType=1&amp;NumAxis=1&amp;Mod7=184&amp;Pep=GGAYPPRYFYPFPVPPLLY&amp;Dta=/var/www/html/dta/yong/23617.32868.3.dta&amp;Global_Mod=CS57.0215", "32868")</f>
        <v>32868</v>
      </c>
      <c r="N724" s="5">
        <v>148.66</v>
      </c>
      <c r="O724" s="5">
        <v>148.49</v>
      </c>
      <c r="P724" s="5">
        <v>2.6680000000000001</v>
      </c>
      <c r="Q724" s="5">
        <v>2.1019999999999999</v>
      </c>
      <c r="R724" s="5">
        <v>1.1517999999999999</v>
      </c>
      <c r="S724" s="5">
        <v>0.89</v>
      </c>
      <c r="T724" s="5">
        <v>8.3500000000000005E-2</v>
      </c>
      <c r="U724" s="5">
        <v>7.4000000000000003E-3</v>
      </c>
      <c r="V724" s="4">
        <v>2</v>
      </c>
      <c r="W724" s="4">
        <v>1</v>
      </c>
      <c r="X724" s="5">
        <v>2.36</v>
      </c>
      <c r="Y724" s="5">
        <v>1.58</v>
      </c>
      <c r="Z724" s="6">
        <v>1000</v>
      </c>
      <c r="AA724" s="6">
        <v>1000</v>
      </c>
      <c r="AB724" s="4" t="s">
        <v>13</v>
      </c>
    </row>
    <row r="725" spans="1:28">
      <c r="A725" s="3" t="s">
        <v>580</v>
      </c>
      <c r="B725" s="9" t="s">
        <v>1672</v>
      </c>
      <c r="C725" s="9" t="s">
        <v>1673</v>
      </c>
      <c r="D725" s="4">
        <v>115</v>
      </c>
      <c r="E725" s="3" t="s">
        <v>744</v>
      </c>
      <c r="F725" s="7" t="s">
        <v>1410</v>
      </c>
      <c r="G725" s="4">
        <v>63.1</v>
      </c>
      <c r="H725" s="3" t="s">
        <v>756</v>
      </c>
      <c r="I725" s="3" t="s">
        <v>759</v>
      </c>
      <c r="J725" s="4">
        <v>2</v>
      </c>
      <c r="K725" s="4">
        <v>1121.5904</v>
      </c>
      <c r="L725" s="4" t="str">
        <f>HYPERLINK("http://ms.phosphosite.org:5080/cgi-bin/plot-msms.cgi?MassType=1&amp;NumAxis=1&amp;Mod7=184&amp;Pep=GGAYPPRYFYPFPVPPLLY&amp;Dta=/var/www/html/dta/yong/23616.32916.2.dta&amp;Global_Mod=CS57.0215", "32916")</f>
        <v>32916</v>
      </c>
      <c r="M725" s="4" t="str">
        <f>HYPERLINK("http://ms.phosphosite.org:5080/cgi-bin/plot-msms.cgi?MassType=1&amp;NumAxis=1&amp;Mod7=184&amp;Pep=GGAYPPRYFYPFPVPPLLY&amp;Dta=/var/www/html/dta/yong/23617.32904.2.dta&amp;Global_Mod=CS57.0215", "32904")</f>
        <v>32904</v>
      </c>
      <c r="N725" s="5">
        <v>148.84</v>
      </c>
      <c r="O725" s="5">
        <v>148.68</v>
      </c>
      <c r="P725" s="5">
        <v>2.0049999999999999</v>
      </c>
      <c r="Q725" s="5">
        <v>2.161</v>
      </c>
      <c r="R725" s="5">
        <v>2.3233999999999999</v>
      </c>
      <c r="S725" s="5">
        <v>1.3053999999999999</v>
      </c>
      <c r="T725" s="5">
        <v>1.54E-2</v>
      </c>
      <c r="U725" s="5">
        <v>0.10680000000000001</v>
      </c>
      <c r="V725" s="4">
        <v>12</v>
      </c>
      <c r="W725" s="4">
        <v>40</v>
      </c>
      <c r="X725" s="5">
        <v>1.7</v>
      </c>
      <c r="Y725" s="5">
        <v>2.11</v>
      </c>
      <c r="Z725" s="6">
        <v>1000</v>
      </c>
      <c r="AA725" s="6">
        <v>1000</v>
      </c>
      <c r="AB725" s="4" t="s">
        <v>13</v>
      </c>
    </row>
    <row r="726" spans="1:28">
      <c r="A726" s="3" t="s">
        <v>580</v>
      </c>
      <c r="B726" s="9" t="s">
        <v>1672</v>
      </c>
      <c r="C726" s="9" t="s">
        <v>1673</v>
      </c>
      <c r="D726" s="4">
        <v>115</v>
      </c>
      <c r="E726" s="3" t="s">
        <v>744</v>
      </c>
      <c r="F726" s="7" t="s">
        <v>1410</v>
      </c>
      <c r="G726" s="4">
        <v>63.1</v>
      </c>
      <c r="H726" s="3" t="s">
        <v>756</v>
      </c>
      <c r="I726" s="3" t="s">
        <v>761</v>
      </c>
      <c r="J726" s="4">
        <v>2</v>
      </c>
      <c r="K726" s="4">
        <v>1235.1539</v>
      </c>
      <c r="L726" s="4" t="str">
        <f>HYPERLINK("http://ms.phosphosite.org:5080/cgi-bin/plot-msms.cgi?MassType=1&amp;NumAxis=1&amp;Mod7=184&amp;Pep=GGAYPPRYFYPFPVPPLLYQV&amp;Dta=/var/www/html/dta/yong/23616.33571.2.dta&amp;Global_Mod=CS57.0215", "33571")</f>
        <v>33571</v>
      </c>
      <c r="M726" s="4" t="str">
        <f>HYPERLINK("http://ms.phosphosite.org:5080/cgi-bin/plot-msms.cgi?MassType=1&amp;NumAxis=1&amp;Mod7=184&amp;Pep=GGAYPPRYFYPFPVPPLLYQV&amp;Dta=/var/www/html/dta/yong/23617.33904.2.dta&amp;Global_Mod=CS57.0215", "33904")</f>
        <v>33904</v>
      </c>
      <c r="N726" s="5">
        <v>152.18</v>
      </c>
      <c r="O726" s="5">
        <v>153.76</v>
      </c>
      <c r="P726" s="5">
        <v>2.698</v>
      </c>
      <c r="Q726" s="5">
        <v>2.694</v>
      </c>
      <c r="R726" s="5">
        <v>2.5971000000000002</v>
      </c>
      <c r="S726" s="5">
        <v>1.3521000000000001</v>
      </c>
      <c r="T726" s="5">
        <v>0.18179999999999999</v>
      </c>
      <c r="U726" s="5">
        <v>7.1900000000000006E-2</v>
      </c>
      <c r="V726" s="4">
        <v>2</v>
      </c>
      <c r="W726" s="4">
        <v>2</v>
      </c>
      <c r="X726" s="5">
        <v>2.82</v>
      </c>
      <c r="Y726" s="5">
        <v>2.0699999999999998</v>
      </c>
      <c r="Z726" s="6">
        <v>1000</v>
      </c>
      <c r="AA726" s="6">
        <v>1000</v>
      </c>
      <c r="AB726" s="4" t="s">
        <v>13</v>
      </c>
    </row>
    <row r="727" spans="1:28">
      <c r="A727" s="3" t="s">
        <v>580</v>
      </c>
      <c r="B727" s="9" t="s">
        <v>1672</v>
      </c>
      <c r="C727" s="9" t="s">
        <v>1673</v>
      </c>
      <c r="D727" s="4">
        <v>115</v>
      </c>
      <c r="E727" s="3" t="s">
        <v>744</v>
      </c>
      <c r="F727" s="7" t="s">
        <v>1410</v>
      </c>
      <c r="G727" s="4">
        <v>63.1</v>
      </c>
      <c r="H727" s="3" t="s">
        <v>756</v>
      </c>
      <c r="I727" s="3" t="s">
        <v>761</v>
      </c>
      <c r="J727" s="4">
        <v>2</v>
      </c>
      <c r="K727" s="4">
        <v>1235.1539</v>
      </c>
      <c r="L727" s="4" t="str">
        <f>HYPERLINK("http://ms.phosphosite.org:5080/cgi-bin/plot-msms.cgi?MassType=1&amp;NumAxis=1&amp;Mod7=184&amp;Pep=GGAYPPRYFYPFPVPPLLYQV&amp;Dta=/var/www/html/dta/yong/23616.33587.2.dta&amp;Global_Mod=CS57.0215", "33587")</f>
        <v>33587</v>
      </c>
      <c r="M727" s="4" t="str">
        <f>HYPERLINK("http://ms.phosphosite.org:5080/cgi-bin/plot-msms.cgi?MassType=1&amp;NumAxis=1&amp;Mod7=184&amp;Pep=GGAYPPRYFYPFPVPPLLYQV&amp;Dta=/var/www/html/dta/yong/23617.33615.2.dta&amp;Global_Mod=CS57.0215", "33615")</f>
        <v>33615</v>
      </c>
      <c r="N727" s="5">
        <v>152.26</v>
      </c>
      <c r="O727" s="5">
        <v>152.31</v>
      </c>
      <c r="P727" s="5">
        <v>2.8719999999999999</v>
      </c>
      <c r="Q727" s="5">
        <v>2.7909999999999999</v>
      </c>
      <c r="R727" s="5">
        <v>1.9698</v>
      </c>
      <c r="S727" s="5">
        <v>1.319</v>
      </c>
      <c r="T727" s="5">
        <v>0.3286</v>
      </c>
      <c r="U727" s="5">
        <v>9.6299999999999997E-2</v>
      </c>
      <c r="V727" s="4">
        <v>2</v>
      </c>
      <c r="W727" s="4">
        <v>3</v>
      </c>
      <c r="X727" s="5">
        <v>3.73</v>
      </c>
      <c r="Y727" s="5">
        <v>2.2400000000000002</v>
      </c>
      <c r="Z727" s="6">
        <v>1000</v>
      </c>
      <c r="AA727" s="6">
        <v>1000</v>
      </c>
      <c r="AB727" s="4" t="s">
        <v>13</v>
      </c>
    </row>
    <row r="728" spans="1:28">
      <c r="A728" s="3" t="s">
        <v>580</v>
      </c>
      <c r="B728" s="9" t="s">
        <v>1672</v>
      </c>
      <c r="C728" s="9" t="s">
        <v>1673</v>
      </c>
      <c r="D728" s="4">
        <v>115</v>
      </c>
      <c r="E728" s="3" t="s">
        <v>744</v>
      </c>
      <c r="F728" s="7" t="s">
        <v>1410</v>
      </c>
      <c r="G728" s="4">
        <v>63.1</v>
      </c>
      <c r="H728" s="3" t="s">
        <v>756</v>
      </c>
      <c r="I728" s="3" t="s">
        <v>761</v>
      </c>
      <c r="J728" s="4">
        <v>2</v>
      </c>
      <c r="K728" s="4">
        <v>1235.1539</v>
      </c>
      <c r="L728" s="4" t="str">
        <f>HYPERLINK("http://ms.phosphosite.org:5080/cgi-bin/plot-msms.cgi?MassType=1&amp;NumAxis=1&amp;Mod7=184&amp;Pep=GGAYPPRYFYPFPVPPLLYQV&amp;Dta=/var/www/html/dta/yong/23616.33604.2.dta&amp;Global_Mod=CS57.0215", "33604")</f>
        <v>33604</v>
      </c>
      <c r="M728" s="4" t="str">
        <f>HYPERLINK("http://ms.phosphosite.org:5080/cgi-bin/plot-msms.cgi?MassType=1&amp;NumAxis=1&amp;Mod7=184&amp;Pep=GGAYPPRYFYPFPVPPLLYQV&amp;Dta=/var/www/html/dta/yong/23617.33630.2.dta&amp;Global_Mod=CS57.0215", "33630")</f>
        <v>33630</v>
      </c>
      <c r="N728" s="5">
        <v>152.34</v>
      </c>
      <c r="O728" s="5">
        <v>152.38</v>
      </c>
      <c r="P728" s="5">
        <v>2.6970000000000001</v>
      </c>
      <c r="Q728" s="5">
        <v>2.4289999999999998</v>
      </c>
      <c r="R728" s="5">
        <v>1.587</v>
      </c>
      <c r="S728" s="5">
        <v>1.3252999999999999</v>
      </c>
      <c r="T728" s="5">
        <v>0.17019999999999999</v>
      </c>
      <c r="U728" s="5">
        <v>2.1000000000000001E-2</v>
      </c>
      <c r="V728" s="4">
        <v>3</v>
      </c>
      <c r="W728" s="4">
        <v>2</v>
      </c>
      <c r="X728" s="5">
        <v>2.8</v>
      </c>
      <c r="Y728" s="5">
        <v>1.7</v>
      </c>
      <c r="Z728" s="6">
        <v>1000</v>
      </c>
      <c r="AA728" s="6">
        <v>1000</v>
      </c>
      <c r="AB728" s="4" t="s">
        <v>13</v>
      </c>
    </row>
    <row r="729" spans="1:28">
      <c r="A729" s="3" t="s">
        <v>580</v>
      </c>
      <c r="B729" s="9" t="s">
        <v>1672</v>
      </c>
      <c r="C729" s="9" t="s">
        <v>1673</v>
      </c>
      <c r="D729" s="4">
        <v>115</v>
      </c>
      <c r="E729" s="3" t="s">
        <v>744</v>
      </c>
      <c r="F729" s="7" t="s">
        <v>1410</v>
      </c>
      <c r="G729" s="4">
        <v>63.1</v>
      </c>
      <c r="H729" s="3" t="s">
        <v>756</v>
      </c>
      <c r="I729" s="3" t="s">
        <v>761</v>
      </c>
      <c r="J729" s="4">
        <v>3</v>
      </c>
      <c r="K729" s="4">
        <v>823.77170000000001</v>
      </c>
      <c r="L729" s="4" t="str">
        <f>HYPERLINK("http://ms.phosphosite.org:5080/cgi-bin/plot-msms.cgi?MassType=1&amp;NumAxis=1&amp;Mod7=184&amp;Pep=GGAYPPRYFYPFPVPPLLYQV&amp;Dta=/var/www/html/dta/yong/23616.33678.3.dta&amp;Global_Mod=CS57.0215", "33678")</f>
        <v>33678</v>
      </c>
      <c r="M729" s="4" t="str">
        <f>HYPERLINK("http://ms.phosphosite.org:5080/cgi-bin/plot-msms.cgi?MassType=1&amp;NumAxis=1&amp;Mod7=184&amp;Pep=GGAYPPRYFYPFPVPPLLYQV&amp;Dta=/var/www/html/dta/yong/23617.34034.3.dta&amp;Global_Mod=CS57.0215", "34034")</f>
        <v>34034</v>
      </c>
      <c r="N729" s="5">
        <v>152.71</v>
      </c>
      <c r="O729" s="5">
        <v>154.44</v>
      </c>
      <c r="P729" s="5">
        <v>2.5579999999999998</v>
      </c>
      <c r="Q729" s="5">
        <v>1.901</v>
      </c>
      <c r="R729" s="5">
        <v>1.0536000000000001</v>
      </c>
      <c r="S729" s="5">
        <v>1.4434</v>
      </c>
      <c r="T729" s="5">
        <v>4.7399999999999998E-2</v>
      </c>
      <c r="U729" s="5">
        <v>3.3700000000000001E-2</v>
      </c>
      <c r="V729" s="4">
        <v>39</v>
      </c>
      <c r="W729" s="4">
        <v>16</v>
      </c>
      <c r="X729" s="5">
        <v>2.09</v>
      </c>
      <c r="Y729" s="5">
        <v>1.61</v>
      </c>
      <c r="Z729" s="6">
        <v>1000</v>
      </c>
      <c r="AA729" s="6">
        <v>1000</v>
      </c>
      <c r="AB729" s="4" t="s">
        <v>13</v>
      </c>
    </row>
    <row r="730" spans="1:28">
      <c r="A730" s="3" t="s">
        <v>580</v>
      </c>
      <c r="B730" s="9" t="s">
        <v>1672</v>
      </c>
      <c r="C730" s="9" t="s">
        <v>1673</v>
      </c>
      <c r="D730" s="4">
        <v>115</v>
      </c>
      <c r="E730" s="3" t="s">
        <v>744</v>
      </c>
      <c r="F730" s="7" t="s">
        <v>1410</v>
      </c>
      <c r="G730" s="4">
        <v>63.1</v>
      </c>
      <c r="H730" s="3" t="s">
        <v>756</v>
      </c>
      <c r="I730" s="3" t="s">
        <v>761</v>
      </c>
      <c r="J730" s="4">
        <v>2</v>
      </c>
      <c r="K730" s="4">
        <v>1235.1539</v>
      </c>
      <c r="L730" s="4" t="str">
        <f>HYPERLINK("http://ms.phosphosite.org:5080/cgi-bin/plot-msms.cgi?MassType=1&amp;NumAxis=1&amp;Mod7=184&amp;Pep=GGAYPPRYFYPFPVPPLLYQV&amp;Dta=/var/www/html/dta/yong/23616.33745.2.dta&amp;Global_Mod=CS57.0215", "33745")</f>
        <v>33745</v>
      </c>
      <c r="M730" s="4" t="str">
        <f>HYPERLINK("http://ms.phosphosite.org:5080/cgi-bin/plot-msms.cgi?MassType=1&amp;NumAxis=1&amp;Mod7=184&amp;Pep=GGAYPPRYFYPFPVPPLLYQV&amp;Dta=/var/www/html/dta/yong/23617.34027.2.dta&amp;Global_Mod=CS57.0215", "34027")</f>
        <v>34027</v>
      </c>
      <c r="N730" s="5">
        <v>153.04</v>
      </c>
      <c r="O730" s="5">
        <v>154.4</v>
      </c>
      <c r="P730" s="5">
        <v>2.9969999999999999</v>
      </c>
      <c r="Q730" s="5">
        <v>2.1280000000000001</v>
      </c>
      <c r="R730" s="5">
        <v>1.3624000000000001</v>
      </c>
      <c r="S730" s="5">
        <v>1.6642999999999999</v>
      </c>
      <c r="T730" s="5">
        <v>0.1641</v>
      </c>
      <c r="U730" s="5">
        <v>0.1023</v>
      </c>
      <c r="V730" s="4">
        <v>1</v>
      </c>
      <c r="W730" s="4">
        <v>18</v>
      </c>
      <c r="X730" s="5">
        <v>2.86</v>
      </c>
      <c r="Y730" s="5">
        <v>2.04</v>
      </c>
      <c r="Z730" s="6">
        <v>1000</v>
      </c>
      <c r="AA730" s="6">
        <v>1000</v>
      </c>
      <c r="AB730" s="4" t="s">
        <v>13</v>
      </c>
    </row>
    <row r="731" spans="1:28">
      <c r="A731" s="3" t="s">
        <v>580</v>
      </c>
      <c r="B731" s="9" t="s">
        <v>1672</v>
      </c>
      <c r="C731" s="9" t="s">
        <v>1673</v>
      </c>
      <c r="D731" s="4">
        <v>115</v>
      </c>
      <c r="E731" s="3" t="s">
        <v>744</v>
      </c>
      <c r="F731" s="7" t="s">
        <v>1410</v>
      </c>
      <c r="G731" s="4">
        <v>63.1</v>
      </c>
      <c r="H731" s="3" t="s">
        <v>756</v>
      </c>
      <c r="I731" s="3" t="s">
        <v>761</v>
      </c>
      <c r="J731" s="4">
        <v>2</v>
      </c>
      <c r="K731" s="4">
        <v>1235.1539</v>
      </c>
      <c r="L731" s="4" t="str">
        <f>HYPERLINK("http://ms.phosphosite.org:5080/cgi-bin/plot-msms.cgi?MassType=1&amp;NumAxis=1&amp;Mod7=184&amp;Pep=GGAYPPRYFYPFPVPPLLYQV&amp;Dta=/var/www/html/dta/yong/23616.33888.2.dta&amp;Global_Mod=CS57.0215", "33888")</f>
        <v>33888</v>
      </c>
      <c r="M731" s="4" t="str">
        <f>HYPERLINK("http://ms.phosphosite.org:5080/cgi-bin/plot-msms.cgi?MassType=1&amp;NumAxis=1&amp;Mod7=184&amp;Pep=GGAYPPRYFYPFPVPPLLYQV&amp;Dta=/var/www/html/dta/yong/23617.33977.2.dta&amp;Global_Mod=CS57.0215", "33977")</f>
        <v>33977</v>
      </c>
      <c r="N731" s="5">
        <v>153.76</v>
      </c>
      <c r="O731" s="5">
        <v>154.13</v>
      </c>
      <c r="P731" s="5">
        <v>2.758</v>
      </c>
      <c r="Q731" s="5">
        <v>2.72</v>
      </c>
      <c r="R731" s="5">
        <v>1.4742</v>
      </c>
      <c r="S731" s="5">
        <v>1.4857</v>
      </c>
      <c r="T731" s="5">
        <v>0.1953</v>
      </c>
      <c r="U731" s="5">
        <v>0.14180000000000001</v>
      </c>
      <c r="V731" s="4">
        <v>2</v>
      </c>
      <c r="W731" s="4">
        <v>1</v>
      </c>
      <c r="X731" s="5">
        <v>2.97</v>
      </c>
      <c r="Y731" s="5">
        <v>2.4700000000000002</v>
      </c>
      <c r="Z731" s="6">
        <v>1000</v>
      </c>
      <c r="AA731" s="6">
        <v>1000</v>
      </c>
      <c r="AB731" s="4" t="s">
        <v>13</v>
      </c>
    </row>
    <row r="732" spans="1:28">
      <c r="A732" s="3" t="s">
        <v>580</v>
      </c>
      <c r="B732" s="9" t="s">
        <v>1672</v>
      </c>
      <c r="C732" s="9" t="s">
        <v>1673</v>
      </c>
      <c r="D732" s="4">
        <v>115</v>
      </c>
      <c r="E732" s="3" t="s">
        <v>744</v>
      </c>
      <c r="F732" s="7" t="s">
        <v>1410</v>
      </c>
      <c r="G732" s="4">
        <v>63.1</v>
      </c>
      <c r="H732" s="3" t="s">
        <v>756</v>
      </c>
      <c r="I732" s="3" t="s">
        <v>761</v>
      </c>
      <c r="J732" s="4">
        <v>3</v>
      </c>
      <c r="K732" s="4">
        <v>823.77170000000001</v>
      </c>
      <c r="L732" s="4" t="str">
        <f>HYPERLINK("http://ms.phosphosite.org:5080/cgi-bin/plot-msms.cgi?MassType=1&amp;NumAxis=1&amp;Mod7=184&amp;Pep=GGAYPPRYFYPFPVPPLLYQV&amp;Dta=/var/www/html/dta/yong/23616.33956.3.dta&amp;Global_Mod=CS57.0215", "33956")</f>
        <v>33956</v>
      </c>
      <c r="M732" s="4" t="str">
        <f>HYPERLINK("http://ms.phosphosite.org:5080/cgi-bin/plot-msms.cgi?MassType=1&amp;NumAxis=1&amp;Mod7=184&amp;Pep=GGAYPPRYFYPFPVPPLLYQV&amp;Dta=/var/www/html/dta/yong/23617.33773.3.dta&amp;Global_Mod=CS57.0215", "33773")</f>
        <v>33773</v>
      </c>
      <c r="N732" s="5">
        <v>154.11000000000001</v>
      </c>
      <c r="O732" s="5">
        <v>153.1</v>
      </c>
      <c r="P732" s="5">
        <v>2.2069999999999999</v>
      </c>
      <c r="Q732" s="5">
        <v>2.823</v>
      </c>
      <c r="R732" s="5">
        <v>1.4598</v>
      </c>
      <c r="S732" s="5">
        <v>1.1056999999999999</v>
      </c>
      <c r="T732" s="5">
        <v>1.5699999999999999E-2</v>
      </c>
      <c r="U732" s="5">
        <v>0.14380000000000001</v>
      </c>
      <c r="V732" s="4">
        <v>32</v>
      </c>
      <c r="W732" s="4">
        <v>76</v>
      </c>
      <c r="X732" s="5">
        <v>1.8</v>
      </c>
      <c r="Y732" s="5">
        <v>2.5</v>
      </c>
      <c r="Z732" s="6">
        <v>1000</v>
      </c>
      <c r="AA732" s="6">
        <v>1000</v>
      </c>
      <c r="AB732" s="4" t="s">
        <v>13</v>
      </c>
    </row>
    <row r="733" spans="1:28">
      <c r="A733" s="3" t="s">
        <v>580</v>
      </c>
      <c r="B733" s="9" t="s">
        <v>1672</v>
      </c>
      <c r="C733" s="9" t="s">
        <v>1673</v>
      </c>
      <c r="D733" s="4">
        <v>115</v>
      </c>
      <c r="E733" s="3" t="s">
        <v>744</v>
      </c>
      <c r="F733" s="7" t="s">
        <v>1410</v>
      </c>
      <c r="G733" s="4">
        <v>63.1</v>
      </c>
      <c r="H733" s="3" t="s">
        <v>756</v>
      </c>
      <c r="I733" s="3" t="s">
        <v>761</v>
      </c>
      <c r="J733" s="4">
        <v>2</v>
      </c>
      <c r="K733" s="4">
        <v>1235.1539</v>
      </c>
      <c r="L733" s="4" t="str">
        <f>HYPERLINK("http://ms.phosphosite.org:5080/cgi-bin/plot-msms.cgi?MassType=1&amp;NumAxis=1&amp;Mod7=184&amp;Pep=GGAYPPRYFYPFPVPPLLYQV&amp;Dta=/var/www/html/dta/yong/23616.33964.2.dta&amp;Global_Mod=CS57.0215", "33964")</f>
        <v>33964</v>
      </c>
      <c r="M733" s="4" t="str">
        <f>HYPERLINK("http://ms.phosphosite.org:5080/cgi-bin/plot-msms.cgi?MassType=1&amp;NumAxis=1&amp;Mod7=184&amp;Pep=GGAYPPRYFYPFPVPPLLYQV&amp;Dta=/var/www/html/dta/yong/23617.33766.2.dta&amp;Global_Mod=CS57.0215", "33766")</f>
        <v>33766</v>
      </c>
      <c r="N733" s="5">
        <v>154.15</v>
      </c>
      <c r="O733" s="5">
        <v>153.07</v>
      </c>
      <c r="P733" s="5">
        <v>2.9380000000000002</v>
      </c>
      <c r="Q733" s="5">
        <v>3.0750000000000002</v>
      </c>
      <c r="R733" s="5">
        <v>1.9268000000000001</v>
      </c>
      <c r="S733" s="5">
        <v>1.4055</v>
      </c>
      <c r="T733" s="5">
        <v>0.26219999999999999</v>
      </c>
      <c r="U733" s="5">
        <v>0.246</v>
      </c>
      <c r="V733" s="4">
        <v>1</v>
      </c>
      <c r="W733" s="4">
        <v>1</v>
      </c>
      <c r="X733" s="5">
        <v>3.38</v>
      </c>
      <c r="Y733" s="5">
        <v>3.17</v>
      </c>
      <c r="Z733" s="6">
        <v>1000</v>
      </c>
      <c r="AA733" s="6">
        <v>1000</v>
      </c>
      <c r="AB733" s="4" t="s">
        <v>13</v>
      </c>
    </row>
    <row r="734" spans="1:28">
      <c r="A734" s="3" t="s">
        <v>580</v>
      </c>
      <c r="B734" s="9" t="s">
        <v>1672</v>
      </c>
      <c r="C734" s="9" t="s">
        <v>1673</v>
      </c>
      <c r="D734" s="4">
        <v>115</v>
      </c>
      <c r="E734" s="3" t="s">
        <v>744</v>
      </c>
      <c r="F734" s="7" t="s">
        <v>1410</v>
      </c>
      <c r="G734" s="4">
        <v>63.1</v>
      </c>
      <c r="H734" s="3" t="s">
        <v>756</v>
      </c>
      <c r="I734" s="3" t="s">
        <v>764</v>
      </c>
      <c r="J734" s="4">
        <v>3</v>
      </c>
      <c r="K734" s="4">
        <v>1238.6433999999999</v>
      </c>
      <c r="L734" s="4" t="str">
        <f>HYPERLINK("http://ms.phosphosite.org:5080/cgi-bin/plot-msms.cgi?MassType=1&amp;NumAxis=1&amp;Mod7=184&amp;Pep=GGAYPPRYFYPFPVPPLLYQVELSVGGQQFNGK&amp;Dta=/var/www/html/dta/yong/23616.34022.3.dta&amp;Global_Mod=CS57.0215", "34022")</f>
        <v>34022</v>
      </c>
      <c r="M734" s="4"/>
      <c r="N734" s="5">
        <v>154.44999999999999</v>
      </c>
      <c r="O734" s="5"/>
      <c r="P734" s="5">
        <v>5.484</v>
      </c>
      <c r="Q734" s="5"/>
      <c r="R734" s="5">
        <v>0.57989999999999997</v>
      </c>
      <c r="S734" s="5"/>
      <c r="T734" s="5">
        <v>0.44640000000000002</v>
      </c>
      <c r="U734" s="5"/>
      <c r="V734" s="4">
        <v>1</v>
      </c>
      <c r="W734" s="4"/>
      <c r="X734" s="5">
        <v>5.12</v>
      </c>
      <c r="Y734" s="5"/>
      <c r="Z734" s="6">
        <v>1000</v>
      </c>
      <c r="AA734" s="6"/>
      <c r="AB734" s="4" t="s">
        <v>13</v>
      </c>
    </row>
    <row r="735" spans="1:28">
      <c r="A735" s="3" t="s">
        <v>580</v>
      </c>
      <c r="B735" s="9" t="s">
        <v>1672</v>
      </c>
      <c r="C735" s="9" t="s">
        <v>1673</v>
      </c>
      <c r="D735" s="4">
        <v>115</v>
      </c>
      <c r="E735" s="3" t="s">
        <v>744</v>
      </c>
      <c r="F735" s="7" t="s">
        <v>1410</v>
      </c>
      <c r="G735" s="4">
        <v>63.1</v>
      </c>
      <c r="H735" s="3" t="s">
        <v>756</v>
      </c>
      <c r="I735" s="3" t="s">
        <v>764</v>
      </c>
      <c r="J735" s="4">
        <v>3</v>
      </c>
      <c r="K735" s="4">
        <v>1238.6433999999999</v>
      </c>
      <c r="L735" s="4" t="str">
        <f>HYPERLINK("http://ms.phosphosite.org:5080/cgi-bin/plot-msms.cgi?MassType=1&amp;NumAxis=1&amp;Mod7=184&amp;Pep=GGAYPPRYFYPFPVPPLLYQVELSVGGQQFNGK&amp;Dta=/var/www/html/dta/yong/23616.34033.3.dta&amp;Global_Mod=CS57.0215", "34033")</f>
        <v>34033</v>
      </c>
      <c r="M735" s="4" t="str">
        <f>HYPERLINK("http://ms.phosphosite.org:5080/cgi-bin/plot-msms.cgi?MassType=1&amp;NumAxis=1&amp;Mod7=184&amp;Pep=GGAYPPRYFYPFPVPPLLYQVELSVGGQQFNGK&amp;Dta=/var/www/html/dta/yong/23617.34018.3.dta&amp;Global_Mod=CS57.0215", "34018")</f>
        <v>34018</v>
      </c>
      <c r="N735" s="5">
        <v>154.5</v>
      </c>
      <c r="O735" s="5">
        <v>154.35</v>
      </c>
      <c r="P735" s="5">
        <v>5.3310000000000004</v>
      </c>
      <c r="Q735" s="5">
        <v>4.7300000000000004</v>
      </c>
      <c r="R735" s="5">
        <v>0.45579999999999998</v>
      </c>
      <c r="S735" s="5">
        <v>0.6825</v>
      </c>
      <c r="T735" s="5">
        <v>0.4158</v>
      </c>
      <c r="U735" s="5">
        <v>0.34910000000000002</v>
      </c>
      <c r="V735" s="4">
        <v>1</v>
      </c>
      <c r="W735" s="4">
        <v>1</v>
      </c>
      <c r="X735" s="5">
        <v>4.91</v>
      </c>
      <c r="Y735" s="5">
        <v>4.18</v>
      </c>
      <c r="Z735" s="6">
        <v>1000</v>
      </c>
      <c r="AA735" s="6">
        <v>1000</v>
      </c>
      <c r="AB735" s="4" t="s">
        <v>13</v>
      </c>
    </row>
    <row r="736" spans="1:28">
      <c r="A736" s="3" t="s">
        <v>580</v>
      </c>
      <c r="B736" s="9" t="s">
        <v>1672</v>
      </c>
      <c r="C736" s="9" t="s">
        <v>1673</v>
      </c>
      <c r="D736" s="4">
        <v>115</v>
      </c>
      <c r="E736" s="3" t="s">
        <v>744</v>
      </c>
      <c r="F736" s="7" t="s">
        <v>1410</v>
      </c>
      <c r="G736" s="4">
        <v>63.1</v>
      </c>
      <c r="H736" s="3" t="s">
        <v>756</v>
      </c>
      <c r="I736" s="3" t="s">
        <v>764</v>
      </c>
      <c r="J736" s="4">
        <v>3</v>
      </c>
      <c r="K736" s="4">
        <v>1238.6433999999999</v>
      </c>
      <c r="L736" s="4" t="str">
        <f>HYPERLINK("http://ms.phosphosite.org:5080/cgi-bin/plot-msms.cgi?MassType=1&amp;NumAxis=1&amp;Mod7=184&amp;Pep=GGAYPPRYFYPFPVPPLLYQVELSVGGQQFNGK&amp;Dta=/var/www/html/dta/yong/23616.34060.3.dta&amp;Global_Mod=CS57.0215", "34060")</f>
        <v>34060</v>
      </c>
      <c r="M736" s="4"/>
      <c r="N736" s="5">
        <v>154.65</v>
      </c>
      <c r="O736" s="5"/>
      <c r="P736" s="5">
        <v>5.4349999999999996</v>
      </c>
      <c r="Q736" s="5"/>
      <c r="R736" s="5">
        <v>1.7270000000000001</v>
      </c>
      <c r="S736" s="5"/>
      <c r="T736" s="5">
        <v>0.50719999999999998</v>
      </c>
      <c r="U736" s="5"/>
      <c r="V736" s="4">
        <v>1</v>
      </c>
      <c r="W736" s="4"/>
      <c r="X736" s="5">
        <v>5.4</v>
      </c>
      <c r="Y736" s="5"/>
      <c r="Z736" s="6">
        <v>1000</v>
      </c>
      <c r="AA736" s="6"/>
      <c r="AB736" s="4" t="s">
        <v>13</v>
      </c>
    </row>
    <row r="737" spans="1:28">
      <c r="A737" s="3" t="s">
        <v>580</v>
      </c>
      <c r="B737" s="9" t="s">
        <v>1672</v>
      </c>
      <c r="C737" s="9" t="s">
        <v>1673</v>
      </c>
      <c r="D737" s="4">
        <v>115</v>
      </c>
      <c r="E737" s="3" t="s">
        <v>744</v>
      </c>
      <c r="F737" s="7" t="s">
        <v>1410</v>
      </c>
      <c r="G737" s="4">
        <v>63.1</v>
      </c>
      <c r="H737" s="3" t="s">
        <v>756</v>
      </c>
      <c r="I737" s="3" t="s">
        <v>764</v>
      </c>
      <c r="J737" s="4">
        <v>3</v>
      </c>
      <c r="K737" s="4">
        <v>1238.6433999999999</v>
      </c>
      <c r="L737" s="4" t="str">
        <f>HYPERLINK("http://ms.phosphosite.org:5080/cgi-bin/plot-msms.cgi?MassType=1&amp;NumAxis=1&amp;Mod7=184&amp;Pep=GGAYPPRYFYPFPVPPLLYQVELSVGGQQFNGK&amp;Dta=/var/www/html/dta/yong/23616.34074.3.dta&amp;Global_Mod=CS57.0215", "34074")</f>
        <v>34074</v>
      </c>
      <c r="M737" s="4" t="str">
        <f>HYPERLINK("http://ms.phosphosite.org:5080/cgi-bin/plot-msms.cgi?MassType=1&amp;NumAxis=1&amp;Mod7=184&amp;Pep=GGAYPPRYFYPFPVPPLLYQVELSVGGQQFNGK&amp;Dta=/var/www/html/dta/yong/23617.34136.3.dta&amp;Global_Mod=CS57.0215", "34136")</f>
        <v>34136</v>
      </c>
      <c r="N737" s="5">
        <v>154.72</v>
      </c>
      <c r="O737" s="5">
        <v>154.97999999999999</v>
      </c>
      <c r="P737" s="5">
        <v>5.492</v>
      </c>
      <c r="Q737" s="5">
        <v>5.8390000000000004</v>
      </c>
      <c r="R737" s="5">
        <v>1.1323000000000001</v>
      </c>
      <c r="S737" s="5">
        <v>1.0385</v>
      </c>
      <c r="T737" s="5">
        <v>0.45700000000000002</v>
      </c>
      <c r="U737" s="5">
        <v>0.44230000000000003</v>
      </c>
      <c r="V737" s="4">
        <v>1</v>
      </c>
      <c r="W737" s="4">
        <v>1</v>
      </c>
      <c r="X737" s="5">
        <v>5.16</v>
      </c>
      <c r="Y737" s="5">
        <v>5.0199999999999996</v>
      </c>
      <c r="Z737" s="6">
        <v>1000</v>
      </c>
      <c r="AA737" s="6">
        <v>1000</v>
      </c>
      <c r="AB737" s="4" t="s">
        <v>13</v>
      </c>
    </row>
    <row r="738" spans="1:28">
      <c r="A738" s="3" t="s">
        <v>580</v>
      </c>
      <c r="B738" s="9" t="s">
        <v>1672</v>
      </c>
      <c r="C738" s="9" t="s">
        <v>1673</v>
      </c>
      <c r="D738" s="4">
        <v>115</v>
      </c>
      <c r="E738" s="3" t="s">
        <v>744</v>
      </c>
      <c r="F738" s="7" t="s">
        <v>1410</v>
      </c>
      <c r="G738" s="4">
        <v>63.1</v>
      </c>
      <c r="H738" s="3" t="s">
        <v>756</v>
      </c>
      <c r="I738" s="3" t="s">
        <v>764</v>
      </c>
      <c r="J738" s="4">
        <v>3</v>
      </c>
      <c r="K738" s="4">
        <v>1238.6433999999999</v>
      </c>
      <c r="L738" s="4" t="str">
        <f>HYPERLINK("http://ms.phosphosite.org:5080/cgi-bin/plot-msms.cgi?MassType=1&amp;NumAxis=1&amp;Mod7=184&amp;Pep=GGAYPPRYFYPFPVPPLLYQVELSVGGQQFNGK&amp;Dta=/var/www/html/dta/yong/23616.34079.3.dta&amp;Global_Mod=CS57.0215", "34079")</f>
        <v>34079</v>
      </c>
      <c r="M738" s="4" t="str">
        <f>HYPERLINK("http://ms.phosphosite.org:5080/cgi-bin/plot-msms.cgi?MassType=1&amp;NumAxis=1&amp;Mod7=184&amp;Pep=GGAYPPRYFYPFPVPPLLYQVELSVGGQQFNGK&amp;Dta=/var/www/html/dta/yong/23617.34290.3.dta&amp;Global_Mod=CS57.0215", "34290")</f>
        <v>34290</v>
      </c>
      <c r="N738" s="5">
        <v>154.75</v>
      </c>
      <c r="O738" s="5">
        <v>155.78</v>
      </c>
      <c r="P738" s="5">
        <v>4.6820000000000004</v>
      </c>
      <c r="Q738" s="5">
        <v>5.2409999999999997</v>
      </c>
      <c r="R738" s="5">
        <v>1.3086</v>
      </c>
      <c r="S738" s="5">
        <v>1.0062</v>
      </c>
      <c r="T738" s="5">
        <v>0.33189999999999997</v>
      </c>
      <c r="U738" s="5">
        <v>0.436</v>
      </c>
      <c r="V738" s="4">
        <v>1</v>
      </c>
      <c r="W738" s="4">
        <v>1</v>
      </c>
      <c r="X738" s="5">
        <v>4.21</v>
      </c>
      <c r="Y738" s="5">
        <v>4.8099999999999996</v>
      </c>
      <c r="Z738" s="6">
        <v>1000</v>
      </c>
      <c r="AA738" s="6">
        <v>1000</v>
      </c>
      <c r="AB738" s="4" t="s">
        <v>13</v>
      </c>
    </row>
    <row r="739" spans="1:28">
      <c r="A739" s="3" t="s">
        <v>580</v>
      </c>
      <c r="B739" s="9" t="s">
        <v>1672</v>
      </c>
      <c r="C739" s="9" t="s">
        <v>1673</v>
      </c>
      <c r="D739" s="4">
        <v>115</v>
      </c>
      <c r="E739" s="3" t="s">
        <v>744</v>
      </c>
      <c r="F739" s="7" t="s">
        <v>1410</v>
      </c>
      <c r="G739" s="4">
        <v>63.1</v>
      </c>
      <c r="H739" s="3" t="s">
        <v>756</v>
      </c>
      <c r="I739" s="3" t="s">
        <v>764</v>
      </c>
      <c r="J739" s="4">
        <v>4</v>
      </c>
      <c r="K739" s="4">
        <v>929.23429999999996</v>
      </c>
      <c r="L739" s="4" t="str">
        <f>HYPERLINK("http://ms.phosphosite.org:5080/cgi-bin/plot-msms.cgi?MassType=1&amp;NumAxis=1&amp;Mod7=184&amp;Pep=GGAYPPRYFYPFPVPPLLYQVELSVGGQQFNGK&amp;Dta=/var/www/html/dta/yong/23616.34129.4.dta&amp;Global_Mod=CS57.0215", "34129")</f>
        <v>34129</v>
      </c>
      <c r="M739" s="4" t="str">
        <f>HYPERLINK("http://ms.phosphosite.org:5080/cgi-bin/plot-msms.cgi?MassType=1&amp;NumAxis=1&amp;Mod7=184&amp;Pep=GGAYPPRYFYPFPVPPLLYQVELSVGGQQFNGK&amp;Dta=/var/www/html/dta/yong/23617.34230.4.dta&amp;Global_Mod=CS57.0215", "34230")</f>
        <v>34230</v>
      </c>
      <c r="N739" s="5">
        <v>155</v>
      </c>
      <c r="O739" s="5">
        <v>155.47999999999999</v>
      </c>
      <c r="P739" s="5">
        <v>5.4340000000000002</v>
      </c>
      <c r="Q739" s="5">
        <v>4.5650000000000004</v>
      </c>
      <c r="R739" s="5">
        <v>1.7599</v>
      </c>
      <c r="S739" s="5">
        <v>1.2261</v>
      </c>
      <c r="T739" s="5">
        <v>0.38140000000000002</v>
      </c>
      <c r="U739" s="5">
        <v>0.26960000000000001</v>
      </c>
      <c r="V739" s="4">
        <v>1</v>
      </c>
      <c r="W739" s="4">
        <v>1</v>
      </c>
      <c r="X739" s="5">
        <v>4.7</v>
      </c>
      <c r="Y739" s="5">
        <v>3.66</v>
      </c>
      <c r="Z739" s="6">
        <v>1000</v>
      </c>
      <c r="AA739" s="6">
        <v>1000</v>
      </c>
      <c r="AB739" s="4" t="s">
        <v>13</v>
      </c>
    </row>
    <row r="740" spans="1:28">
      <c r="A740" s="3" t="s">
        <v>580</v>
      </c>
      <c r="B740" s="9" t="s">
        <v>1672</v>
      </c>
      <c r="C740" s="9" t="s">
        <v>1673</v>
      </c>
      <c r="D740" s="4">
        <v>115</v>
      </c>
      <c r="E740" s="3" t="s">
        <v>744</v>
      </c>
      <c r="F740" s="7" t="s">
        <v>1410</v>
      </c>
      <c r="G740" s="4">
        <v>63.1</v>
      </c>
      <c r="H740" s="3" t="s">
        <v>756</v>
      </c>
      <c r="I740" s="3" t="s">
        <v>764</v>
      </c>
      <c r="J740" s="4">
        <v>4</v>
      </c>
      <c r="K740" s="4">
        <v>929.23429999999996</v>
      </c>
      <c r="L740" s="4" t="str">
        <f>HYPERLINK("http://ms.phosphosite.org:5080/cgi-bin/plot-msms.cgi?MassType=1&amp;NumAxis=1&amp;Mod7=184&amp;Pep=GGAYPPRYFYPFPVPPLLYQVELSVGGQQFNGK&amp;Dta=/var/www/html/dta/yong/23616.34192.4.dta&amp;Global_Mod=CS57.0215", "34192")</f>
        <v>34192</v>
      </c>
      <c r="M740" s="4" t="str">
        <f>HYPERLINK("http://ms.phosphosite.org:5080/cgi-bin/plot-msms.cgi?MassType=1&amp;NumAxis=1&amp;Mod7=184&amp;Pep=GGAYPPRYFYPFPVPPLLYQVELSVGGQQFNGK&amp;Dta=/var/www/html/dta/yong/23617.34273.4.dta&amp;Global_Mod=CS57.0215", "34273")</f>
        <v>34273</v>
      </c>
      <c r="N740" s="5">
        <v>155.32</v>
      </c>
      <c r="O740" s="5">
        <v>155.69999999999999</v>
      </c>
      <c r="P740" s="5">
        <v>4.819</v>
      </c>
      <c r="Q740" s="5">
        <v>4.9240000000000004</v>
      </c>
      <c r="R740" s="5">
        <v>1.7929999999999999</v>
      </c>
      <c r="S740" s="5">
        <v>1.0238</v>
      </c>
      <c r="T740" s="5">
        <v>0.18590000000000001</v>
      </c>
      <c r="U740" s="5">
        <v>0.3468</v>
      </c>
      <c r="V740" s="4">
        <v>1</v>
      </c>
      <c r="W740" s="4">
        <v>1</v>
      </c>
      <c r="X740" s="5">
        <v>3.41</v>
      </c>
      <c r="Y740" s="5">
        <v>4.22</v>
      </c>
      <c r="Z740" s="6">
        <v>1000</v>
      </c>
      <c r="AA740" s="6">
        <v>1000</v>
      </c>
      <c r="AB740" s="4" t="s">
        <v>13</v>
      </c>
    </row>
    <row r="741" spans="1:28">
      <c r="A741" s="3" t="s">
        <v>580</v>
      </c>
      <c r="B741" s="9" t="s">
        <v>1672</v>
      </c>
      <c r="C741" s="9" t="s">
        <v>1673</v>
      </c>
      <c r="D741" s="4">
        <v>115</v>
      </c>
      <c r="E741" s="3" t="s">
        <v>744</v>
      </c>
      <c r="F741" s="7" t="s">
        <v>1410</v>
      </c>
      <c r="G741" s="4">
        <v>63.1</v>
      </c>
      <c r="H741" s="3" t="s">
        <v>756</v>
      </c>
      <c r="I741" s="3" t="s">
        <v>764</v>
      </c>
      <c r="J741" s="4">
        <v>3</v>
      </c>
      <c r="K741" s="4">
        <v>1238.6433999999999</v>
      </c>
      <c r="L741" s="4" t="str">
        <f>HYPERLINK("http://ms.phosphosite.org:5080/cgi-bin/plot-msms.cgi?MassType=1&amp;NumAxis=1&amp;Mod7=184&amp;Pep=GGAYPPRYFYPFPVPPLLYQVELSVGGQQFNGK&amp;Dta=/var/www/html/dta/yong/23616.34212.3.dta&amp;Global_Mod=CS57.0215", "34212")</f>
        <v>34212</v>
      </c>
      <c r="M741" s="4" t="str">
        <f>HYPERLINK("http://ms.phosphosite.org:5080/cgi-bin/plot-msms.cgi?MassType=1&amp;NumAxis=1&amp;Mod7=184&amp;Pep=GGAYPPRYFYPFPVPPLLYQVELSVGGQQFNGK&amp;Dta=/var/www/html/dta/yong/23617.34214.3.dta&amp;Global_Mod=CS57.0215", "34214")</f>
        <v>34214</v>
      </c>
      <c r="N741" s="5">
        <v>155.41999999999999</v>
      </c>
      <c r="O741" s="5">
        <v>155.38999999999999</v>
      </c>
      <c r="P741" s="5">
        <v>5.0629999999999997</v>
      </c>
      <c r="Q741" s="5">
        <v>5.7910000000000004</v>
      </c>
      <c r="R741" s="5">
        <v>1.1978</v>
      </c>
      <c r="S741" s="5">
        <v>1.3535999999999999</v>
      </c>
      <c r="T741" s="5">
        <v>0.45100000000000001</v>
      </c>
      <c r="U741" s="5">
        <v>0.44319999999999998</v>
      </c>
      <c r="V741" s="4">
        <v>1</v>
      </c>
      <c r="W741" s="4">
        <v>1</v>
      </c>
      <c r="X741" s="5">
        <v>5</v>
      </c>
      <c r="Y741" s="5">
        <v>5</v>
      </c>
      <c r="Z741" s="6">
        <v>1000</v>
      </c>
      <c r="AA741" s="6">
        <v>1000</v>
      </c>
      <c r="AB741" s="4" t="s">
        <v>13</v>
      </c>
    </row>
    <row r="742" spans="1:28">
      <c r="A742" s="3" t="s">
        <v>580</v>
      </c>
      <c r="B742" s="9" t="s">
        <v>1672</v>
      </c>
      <c r="C742" s="9" t="s">
        <v>1673</v>
      </c>
      <c r="D742" s="4">
        <v>115</v>
      </c>
      <c r="E742" s="3" t="s">
        <v>744</v>
      </c>
      <c r="F742" s="7" t="s">
        <v>1410</v>
      </c>
      <c r="G742" s="4">
        <v>63.1</v>
      </c>
      <c r="H742" s="3" t="s">
        <v>756</v>
      </c>
      <c r="I742" s="3" t="s">
        <v>764</v>
      </c>
      <c r="J742" s="4">
        <v>4</v>
      </c>
      <c r="K742" s="4">
        <v>929.23429999999996</v>
      </c>
      <c r="L742" s="4" t="str">
        <f>HYPERLINK("http://ms.phosphosite.org:5080/cgi-bin/plot-msms.cgi?MassType=1&amp;NumAxis=1&amp;Mod7=184&amp;Pep=GGAYPPRYFYPFPVPPLLYQVELSVGGQQFNGK&amp;Dta=/var/www/html/dta/yong/23616.34265.4.dta&amp;Global_Mod=CS57.0215", "34265")</f>
        <v>34265</v>
      </c>
      <c r="M742" s="4" t="str">
        <f>HYPERLINK("http://ms.phosphosite.org:5080/cgi-bin/plot-msms.cgi?MassType=1&amp;NumAxis=1&amp;Mod7=184&amp;Pep=GGAYPPRYFYPFPVPPLLYQVELSVGGQQFNGK&amp;Dta=/var/www/html/dta/yong/23617.34102.4.dta&amp;Global_Mod=CS57.0215", "34102")</f>
        <v>34102</v>
      </c>
      <c r="N742" s="5">
        <v>155.69</v>
      </c>
      <c r="O742" s="5">
        <v>154.80000000000001</v>
      </c>
      <c r="P742" s="5">
        <v>4.8570000000000002</v>
      </c>
      <c r="Q742" s="5">
        <v>5.0650000000000004</v>
      </c>
      <c r="R742" s="5">
        <v>1.6604000000000001</v>
      </c>
      <c r="S742" s="5">
        <v>1.3247</v>
      </c>
      <c r="T742" s="5">
        <v>0.29289999999999999</v>
      </c>
      <c r="U742" s="5">
        <v>0.30380000000000001</v>
      </c>
      <c r="V742" s="4">
        <v>1</v>
      </c>
      <c r="W742" s="4">
        <v>1</v>
      </c>
      <c r="X742" s="5">
        <v>4.04</v>
      </c>
      <c r="Y742" s="5">
        <v>4</v>
      </c>
      <c r="Z742" s="6">
        <v>1000</v>
      </c>
      <c r="AA742" s="6">
        <v>1000</v>
      </c>
      <c r="AB742" s="4" t="s">
        <v>13</v>
      </c>
    </row>
    <row r="743" spans="1:28">
      <c r="A743" s="3" t="s">
        <v>580</v>
      </c>
      <c r="B743" s="9" t="s">
        <v>1672</v>
      </c>
      <c r="C743" s="9" t="s">
        <v>1673</v>
      </c>
      <c r="D743" s="4">
        <v>115</v>
      </c>
      <c r="E743" s="3" t="s">
        <v>744</v>
      </c>
      <c r="F743" s="7" t="s">
        <v>1410</v>
      </c>
      <c r="G743" s="4">
        <v>63.1</v>
      </c>
      <c r="H743" s="3" t="s">
        <v>756</v>
      </c>
      <c r="I743" s="3" t="s">
        <v>764</v>
      </c>
      <c r="J743" s="4">
        <v>3</v>
      </c>
      <c r="K743" s="4">
        <v>1238.6433999999999</v>
      </c>
      <c r="L743" s="4" t="str">
        <f>HYPERLINK("http://ms.phosphosite.org:5080/cgi-bin/plot-msms.cgi?MassType=1&amp;NumAxis=1&amp;Mod7=184&amp;Pep=GGAYPPRYFYPFPVPPLLYQVELSVGGQQFNGK&amp;Dta=/var/www/html/dta/yong/23616.34314.3.dta&amp;Global_Mod=CS57.0215", "34314")</f>
        <v>34314</v>
      </c>
      <c r="M743" s="4" t="str">
        <f>HYPERLINK("http://ms.phosphosite.org:5080/cgi-bin/plot-msms.cgi?MassType=1&amp;NumAxis=1&amp;Mod7=184&amp;Pep=GGAYPPRYFYPFPVPPLLYQVELSVGGQQFNGK&amp;Dta=/var/www/html/dta/yong/23617.34144.3.dta&amp;Global_Mod=CS57.0215", "34144")</f>
        <v>34144</v>
      </c>
      <c r="N743" s="5">
        <v>155.94999999999999</v>
      </c>
      <c r="O743" s="5">
        <v>155.02000000000001</v>
      </c>
      <c r="P743" s="5">
        <v>5.3719999999999999</v>
      </c>
      <c r="Q743" s="5">
        <v>5.609</v>
      </c>
      <c r="R743" s="5">
        <v>1.6352</v>
      </c>
      <c r="S743" s="5">
        <v>0.98029999999999995</v>
      </c>
      <c r="T743" s="5">
        <v>0.41930000000000001</v>
      </c>
      <c r="U743" s="5">
        <v>0.50180000000000002</v>
      </c>
      <c r="V743" s="4">
        <v>1</v>
      </c>
      <c r="W743" s="4">
        <v>1</v>
      </c>
      <c r="X743" s="5">
        <v>4.8899999999999997</v>
      </c>
      <c r="Y743" s="5">
        <v>5.29</v>
      </c>
      <c r="Z743" s="6">
        <v>1000</v>
      </c>
      <c r="AA743" s="6">
        <v>1000</v>
      </c>
      <c r="AB743" s="4" t="s">
        <v>13</v>
      </c>
    </row>
    <row r="744" spans="1:28">
      <c r="A744" s="3" t="s">
        <v>580</v>
      </c>
      <c r="B744" s="9" t="s">
        <v>1672</v>
      </c>
      <c r="C744" s="9" t="s">
        <v>1673</v>
      </c>
      <c r="D744" s="4">
        <v>115</v>
      </c>
      <c r="E744" s="3" t="s">
        <v>744</v>
      </c>
      <c r="F744" s="7" t="s">
        <v>1410</v>
      </c>
      <c r="G744" s="4">
        <v>63.1</v>
      </c>
      <c r="H744" s="3" t="s">
        <v>756</v>
      </c>
      <c r="I744" s="3" t="s">
        <v>764</v>
      </c>
      <c r="J744" s="4">
        <v>3</v>
      </c>
      <c r="K744" s="4">
        <v>1238.6433999999999</v>
      </c>
      <c r="L744" s="4" t="str">
        <f>HYPERLINK("http://ms.phosphosite.org:5080/cgi-bin/plot-msms.cgi?MassType=1&amp;NumAxis=1&amp;Mod7=184&amp;Pep=GGAYPPRYFYPFPVPPLLYQVELSVGGQQFNGK&amp;Dta=/var/www/html/dta/yong/23616.34337.3.dta&amp;Global_Mod=CS57.0215", "34337")</f>
        <v>34337</v>
      </c>
      <c r="M744" s="4"/>
      <c r="N744" s="5">
        <v>156.06</v>
      </c>
      <c r="O744" s="5"/>
      <c r="P744" s="5">
        <v>5.4850000000000003</v>
      </c>
      <c r="Q744" s="5"/>
      <c r="R744" s="5">
        <v>1.6334</v>
      </c>
      <c r="S744" s="5"/>
      <c r="T744" s="5">
        <v>0.41549999999999998</v>
      </c>
      <c r="U744" s="5"/>
      <c r="V744" s="4">
        <v>1</v>
      </c>
      <c r="W744" s="4"/>
      <c r="X744" s="5">
        <v>4.9000000000000004</v>
      </c>
      <c r="Y744" s="5"/>
      <c r="Z744" s="6">
        <v>1000</v>
      </c>
      <c r="AA744" s="6"/>
      <c r="AB744" s="4" t="s">
        <v>13</v>
      </c>
    </row>
    <row r="745" spans="1:28">
      <c r="A745" s="3" t="s">
        <v>580</v>
      </c>
      <c r="B745" s="9" t="s">
        <v>1672</v>
      </c>
      <c r="C745" s="9" t="s">
        <v>1673</v>
      </c>
      <c r="D745" s="4">
        <v>115</v>
      </c>
      <c r="E745" s="3" t="s">
        <v>744</v>
      </c>
      <c r="F745" s="7" t="s">
        <v>1410</v>
      </c>
      <c r="G745" s="4">
        <v>63.1</v>
      </c>
      <c r="H745" s="3" t="s">
        <v>756</v>
      </c>
      <c r="I745" s="3" t="s">
        <v>764</v>
      </c>
      <c r="J745" s="4">
        <v>3</v>
      </c>
      <c r="K745" s="4">
        <v>1238.6433999999999</v>
      </c>
      <c r="L745" s="4" t="str">
        <f>HYPERLINK("http://ms.phosphosite.org:5080/cgi-bin/plot-msms.cgi?MassType=1&amp;NumAxis=1&amp;Mod7=184&amp;Pep=GGAYPPRYFYPFPVPPLLYQVELSVGGQQFNGK&amp;Dta=/var/www/html/dta/yong/23616.34345.3.dta&amp;Global_Mod=CS57.0215", "34345")</f>
        <v>34345</v>
      </c>
      <c r="M745" s="4" t="str">
        <f>HYPERLINK("http://ms.phosphosite.org:5080/cgi-bin/plot-msms.cgi?MassType=1&amp;NumAxis=1&amp;Mod7=184&amp;Pep=GGAYPPRYFYPFPVPPLLYQVELSVGGQQFNGK&amp;Dta=/var/www/html/dta/yong/23617.34009.3.dta&amp;Global_Mod=CS57.0215", "34009")</f>
        <v>34009</v>
      </c>
      <c r="N745" s="5">
        <v>156.1</v>
      </c>
      <c r="O745" s="5">
        <v>154.30000000000001</v>
      </c>
      <c r="P745" s="5">
        <v>3.8380000000000001</v>
      </c>
      <c r="Q745" s="5">
        <v>4.7030000000000003</v>
      </c>
      <c r="R745" s="5">
        <v>1.5491999999999999</v>
      </c>
      <c r="S745" s="5">
        <v>0.68920000000000003</v>
      </c>
      <c r="T745" s="5">
        <v>0.3034</v>
      </c>
      <c r="U745" s="5">
        <v>0.31040000000000001</v>
      </c>
      <c r="V745" s="4">
        <v>1</v>
      </c>
      <c r="W745" s="4">
        <v>1</v>
      </c>
      <c r="X745" s="5">
        <v>3.79</v>
      </c>
      <c r="Y745" s="5">
        <v>3.95</v>
      </c>
      <c r="Z745" s="6">
        <v>1000</v>
      </c>
      <c r="AA745" s="6">
        <v>1000</v>
      </c>
      <c r="AB745" s="4" t="s">
        <v>13</v>
      </c>
    </row>
    <row r="746" spans="1:28">
      <c r="A746" s="3" t="s">
        <v>580</v>
      </c>
      <c r="B746" s="9" t="s">
        <v>1672</v>
      </c>
      <c r="C746" s="9" t="s">
        <v>1673</v>
      </c>
      <c r="D746" s="4">
        <v>115</v>
      </c>
      <c r="E746" s="3" t="s">
        <v>744</v>
      </c>
      <c r="F746" s="7" t="s">
        <v>1410</v>
      </c>
      <c r="G746" s="4">
        <v>63.1</v>
      </c>
      <c r="H746" s="3" t="s">
        <v>756</v>
      </c>
      <c r="I746" s="3" t="s">
        <v>763</v>
      </c>
      <c r="J746" s="4">
        <v>3</v>
      </c>
      <c r="K746" s="4">
        <v>933.49130000000002</v>
      </c>
      <c r="L746" s="4" t="str">
        <f>HYPERLINK("http://ms.phosphosite.org:5080/cgi-bin/plot-msms.cgi?MassType=1&amp;NumAxis=1&amp;Mod7=184&amp;Pep=GGAYPPRYFYPFPVPPLLYQVELS&amp;Dta=/var/www/html/dta/yong/23616.34561.3.dta&amp;Global_Mod=CS57.0215", "34561")</f>
        <v>34561</v>
      </c>
      <c r="M746" s="4" t="str">
        <f>HYPERLINK("http://ms.phosphosite.org:5080/cgi-bin/plot-msms.cgi?MassType=1&amp;NumAxis=1&amp;Mod7=184&amp;Pep=GGAYPPRYFYPFPVPPLLYQVELS&amp;Dta=/var/www/html/dta/yong/23617.34535.3.dta&amp;Global_Mod=CS57.0215", "34535")</f>
        <v>34535</v>
      </c>
      <c r="N746" s="5">
        <v>157.22999999999999</v>
      </c>
      <c r="O746" s="5">
        <v>157.08000000000001</v>
      </c>
      <c r="P746" s="5">
        <v>3.1880000000000002</v>
      </c>
      <c r="Q746" s="5">
        <v>2.879</v>
      </c>
      <c r="R746" s="5">
        <v>1.4046000000000001</v>
      </c>
      <c r="S746" s="5">
        <v>1.8265</v>
      </c>
      <c r="T746" s="5">
        <v>0.1565</v>
      </c>
      <c r="U746" s="5">
        <v>0.1341</v>
      </c>
      <c r="V746" s="4">
        <v>1</v>
      </c>
      <c r="W746" s="4">
        <v>45</v>
      </c>
      <c r="X746" s="5">
        <v>2.86</v>
      </c>
      <c r="Y746" s="5">
        <v>2.41</v>
      </c>
      <c r="Z746" s="6">
        <v>1000</v>
      </c>
      <c r="AA746" s="6">
        <v>1000</v>
      </c>
      <c r="AB746" s="4" t="s">
        <v>13</v>
      </c>
    </row>
    <row r="747" spans="1:28">
      <c r="A747" s="3" t="s">
        <v>580</v>
      </c>
      <c r="B747" s="9" t="s">
        <v>1672</v>
      </c>
      <c r="C747" s="9" t="s">
        <v>1673</v>
      </c>
      <c r="D747" s="4">
        <v>115</v>
      </c>
      <c r="E747" s="3" t="s">
        <v>744</v>
      </c>
      <c r="F747" s="7" t="s">
        <v>1410</v>
      </c>
      <c r="G747" s="4">
        <v>63.1</v>
      </c>
      <c r="H747" s="3" t="s">
        <v>756</v>
      </c>
      <c r="I747" s="3" t="s">
        <v>762</v>
      </c>
      <c r="J747" s="4">
        <v>3</v>
      </c>
      <c r="K747" s="4">
        <v>904.48059999999998</v>
      </c>
      <c r="L747" s="4" t="str">
        <f>HYPERLINK("http://ms.phosphosite.org:5080/cgi-bin/plot-msms.cgi?MassType=1&amp;NumAxis=1&amp;Mod7=184&amp;Pep=GGAYPPRYFYPFPVPPLLYQVEL&amp;Dta=/var/www/html/dta/yong/23616.35255.3.dta&amp;Global_Mod=CS57.0215", "35255")</f>
        <v>35255</v>
      </c>
      <c r="M747" s="4" t="str">
        <f>HYPERLINK("http://ms.phosphosite.org:5080/cgi-bin/plot-msms.cgi?MassType=1&amp;NumAxis=1&amp;Mod7=184&amp;Pep=GGAYPPRYFYPFPVPPLLYQVEL&amp;Dta=/var/www/html/dta/yong/23617.35266.3.dta&amp;Global_Mod=CS57.0215", "35266")</f>
        <v>35266</v>
      </c>
      <c r="N747" s="5">
        <v>160.80000000000001</v>
      </c>
      <c r="O747" s="5">
        <v>160.9</v>
      </c>
      <c r="P747" s="5">
        <v>2.8730000000000002</v>
      </c>
      <c r="Q747" s="5">
        <v>2.6789999999999998</v>
      </c>
      <c r="R747" s="5">
        <v>2.1993</v>
      </c>
      <c r="S747" s="5">
        <v>1.6094999999999999</v>
      </c>
      <c r="T747" s="5">
        <v>0.26269999999999999</v>
      </c>
      <c r="U747" s="5">
        <v>0.12039999999999999</v>
      </c>
      <c r="V747" s="4">
        <v>8</v>
      </c>
      <c r="W747" s="4">
        <v>4</v>
      </c>
      <c r="X747" s="5">
        <v>3.34</v>
      </c>
      <c r="Y747" s="5">
        <v>2.31</v>
      </c>
      <c r="Z747" s="6">
        <v>1000</v>
      </c>
      <c r="AA747" s="6">
        <v>1000</v>
      </c>
      <c r="AB747" s="4" t="s">
        <v>13</v>
      </c>
    </row>
    <row r="748" spans="1:28">
      <c r="A748" s="3" t="s">
        <v>580</v>
      </c>
      <c r="B748" s="9" t="s">
        <v>1672</v>
      </c>
      <c r="C748" s="9" t="s">
        <v>1673</v>
      </c>
      <c r="D748" s="4">
        <v>115</v>
      </c>
      <c r="E748" s="3" t="s">
        <v>744</v>
      </c>
      <c r="F748" s="7" t="s">
        <v>1410</v>
      </c>
      <c r="G748" s="4">
        <v>63.1</v>
      </c>
      <c r="H748" s="3" t="s">
        <v>756</v>
      </c>
      <c r="I748" s="3" t="s">
        <v>760</v>
      </c>
      <c r="J748" s="4">
        <v>3</v>
      </c>
      <c r="K748" s="4">
        <v>790.74890000000005</v>
      </c>
      <c r="L748" s="4"/>
      <c r="M748" s="4" t="str">
        <f>HYPERLINK("http://ms.phosphosite.org:5080/cgi-bin/plot-msms.cgi?MassType=1&amp;NumAxis=1&amp;Mod7=184&amp;Pep=GGAYPPRYFYPFPVPPLLYQ&amp;Dta=/var/www/html/dta/yong/23617.31726.3.dta&amp;Global_Mod=CS57.0215", "31726")</f>
        <v>31726</v>
      </c>
      <c r="N748" s="5"/>
      <c r="O748" s="5">
        <v>142.72999999999999</v>
      </c>
      <c r="P748" s="5"/>
      <c r="Q748" s="5">
        <v>3.145</v>
      </c>
      <c r="R748" s="5"/>
      <c r="S748" s="5">
        <v>1.2096</v>
      </c>
      <c r="T748" s="5"/>
      <c r="U748" s="5">
        <v>6.3600000000000004E-2</v>
      </c>
      <c r="V748" s="4"/>
      <c r="W748" s="4">
        <v>9</v>
      </c>
      <c r="X748" s="5"/>
      <c r="Y748" s="5">
        <v>2.1800000000000002</v>
      </c>
      <c r="Z748" s="6"/>
      <c r="AA748" s="6">
        <v>1000</v>
      </c>
      <c r="AB748" s="4" t="s">
        <v>13</v>
      </c>
    </row>
    <row r="749" spans="1:28">
      <c r="A749" s="3" t="s">
        <v>580</v>
      </c>
      <c r="B749" s="9" t="s">
        <v>1672</v>
      </c>
      <c r="C749" s="9" t="s">
        <v>1673</v>
      </c>
      <c r="D749" s="4">
        <v>115</v>
      </c>
      <c r="E749" s="3" t="s">
        <v>744</v>
      </c>
      <c r="F749" s="7" t="s">
        <v>1410</v>
      </c>
      <c r="G749" s="4">
        <v>63.1</v>
      </c>
      <c r="H749" s="3" t="s">
        <v>756</v>
      </c>
      <c r="I749" s="3" t="s">
        <v>760</v>
      </c>
      <c r="J749" s="4">
        <v>3</v>
      </c>
      <c r="K749" s="4">
        <v>790.74890000000005</v>
      </c>
      <c r="L749" s="4"/>
      <c r="M749" s="4" t="str">
        <f>HYPERLINK("http://ms.phosphosite.org:5080/cgi-bin/plot-msms.cgi?MassType=1&amp;NumAxis=1&amp;Mod7=184&amp;Pep=GGAYPPRYFYPFPVPPLLYQ&amp;Dta=/var/www/html/dta/yong/23617.31925.3.dta&amp;Global_Mod=CS57.0215", "31925")</f>
        <v>31925</v>
      </c>
      <c r="N749" s="5"/>
      <c r="O749" s="5">
        <v>143.72999999999999</v>
      </c>
      <c r="P749" s="5"/>
      <c r="Q749" s="5">
        <v>2.6110000000000002</v>
      </c>
      <c r="R749" s="5"/>
      <c r="S749" s="5">
        <v>0.83499999999999996</v>
      </c>
      <c r="T749" s="5"/>
      <c r="U749" s="5">
        <v>7.4399999999999994E-2</v>
      </c>
      <c r="V749" s="4"/>
      <c r="W749" s="4">
        <v>4</v>
      </c>
      <c r="X749" s="5"/>
      <c r="Y749" s="5">
        <v>2.1</v>
      </c>
      <c r="Z749" s="6"/>
      <c r="AA749" s="6">
        <v>1000</v>
      </c>
      <c r="AB749" s="4" t="s">
        <v>13</v>
      </c>
    </row>
    <row r="750" spans="1:28">
      <c r="A750" s="3" t="s">
        <v>580</v>
      </c>
      <c r="B750" s="9" t="s">
        <v>1672</v>
      </c>
      <c r="C750" s="9" t="s">
        <v>1673</v>
      </c>
      <c r="D750" s="4">
        <v>115</v>
      </c>
      <c r="E750" s="3" t="s">
        <v>744</v>
      </c>
      <c r="F750" s="7" t="s">
        <v>1410</v>
      </c>
      <c r="G750" s="4">
        <v>63.1</v>
      </c>
      <c r="H750" s="3" t="s">
        <v>756</v>
      </c>
      <c r="I750" s="3" t="s">
        <v>759</v>
      </c>
      <c r="J750" s="4">
        <v>2</v>
      </c>
      <c r="K750" s="4">
        <v>1121.5904</v>
      </c>
      <c r="L750" s="4"/>
      <c r="M750" s="4" t="str">
        <f>HYPERLINK("http://ms.phosphosite.org:5080/cgi-bin/plot-msms.cgi?MassType=1&amp;NumAxis=1&amp;Mod7=184&amp;Pep=GGAYPPRYFYPFPVPPLLY&amp;Dta=/var/www/html/dta/yong/23617.32759.2.dta&amp;Global_Mod=CS57.0215", "32759")</f>
        <v>32759</v>
      </c>
      <c r="N750" s="5"/>
      <c r="O750" s="5">
        <v>147.94999999999999</v>
      </c>
      <c r="P750" s="5"/>
      <c r="Q750" s="5">
        <v>2.7480000000000002</v>
      </c>
      <c r="R750" s="5"/>
      <c r="S750" s="5">
        <v>1.7504999999999999</v>
      </c>
      <c r="T750" s="5"/>
      <c r="U750" s="5">
        <v>0.26050000000000001</v>
      </c>
      <c r="V750" s="4"/>
      <c r="W750" s="4">
        <v>2</v>
      </c>
      <c r="X750" s="5"/>
      <c r="Y750" s="5">
        <v>3.15</v>
      </c>
      <c r="Z750" s="6"/>
      <c r="AA750" s="6">
        <v>1000</v>
      </c>
      <c r="AB750" s="4" t="s">
        <v>13</v>
      </c>
    </row>
    <row r="751" spans="1:28">
      <c r="A751" s="3" t="s">
        <v>580</v>
      </c>
      <c r="B751" s="9" t="s">
        <v>1672</v>
      </c>
      <c r="C751" s="9" t="s">
        <v>1673</v>
      </c>
      <c r="D751" s="4">
        <v>115</v>
      </c>
      <c r="E751" s="3" t="s">
        <v>744</v>
      </c>
      <c r="F751" s="7" t="s">
        <v>1410</v>
      </c>
      <c r="G751" s="4">
        <v>63.1</v>
      </c>
      <c r="H751" s="3" t="s">
        <v>756</v>
      </c>
      <c r="I751" s="3" t="s">
        <v>759</v>
      </c>
      <c r="J751" s="4">
        <v>2</v>
      </c>
      <c r="K751" s="4">
        <v>1121.5904</v>
      </c>
      <c r="L751" s="4"/>
      <c r="M751" s="4" t="str">
        <f>HYPERLINK("http://ms.phosphosite.org:5080/cgi-bin/plot-msms.cgi?MassType=1&amp;NumAxis=1&amp;Mod7=184&amp;Pep=GGAYPPRYFYPFPVPPLLY&amp;Dta=/var/www/html/dta/yong/23617.32914.2.dta&amp;Global_Mod=CS57.0215", "32914")</f>
        <v>32914</v>
      </c>
      <c r="N751" s="5"/>
      <c r="O751" s="5">
        <v>148.72</v>
      </c>
      <c r="P751" s="5"/>
      <c r="Q751" s="5">
        <v>2.6989999999999998</v>
      </c>
      <c r="R751" s="5"/>
      <c r="S751" s="5">
        <v>2.1046999999999998</v>
      </c>
      <c r="T751" s="5"/>
      <c r="U751" s="5">
        <v>0.29870000000000002</v>
      </c>
      <c r="V751" s="4"/>
      <c r="W751" s="4">
        <v>11</v>
      </c>
      <c r="X751" s="5"/>
      <c r="Y751" s="5">
        <v>3.33</v>
      </c>
      <c r="Z751" s="6"/>
      <c r="AA751" s="6">
        <v>1000</v>
      </c>
      <c r="AB751" s="4" t="s">
        <v>13</v>
      </c>
    </row>
    <row r="752" spans="1:28">
      <c r="A752" s="3" t="s">
        <v>580</v>
      </c>
      <c r="B752" s="9" t="s">
        <v>1672</v>
      </c>
      <c r="C752" s="9" t="s">
        <v>1673</v>
      </c>
      <c r="D752" s="4">
        <v>115</v>
      </c>
      <c r="E752" s="3" t="s">
        <v>744</v>
      </c>
      <c r="F752" s="7" t="s">
        <v>1410</v>
      </c>
      <c r="G752" s="4">
        <v>63.1</v>
      </c>
      <c r="H752" s="3" t="s">
        <v>756</v>
      </c>
      <c r="I752" s="3" t="s">
        <v>761</v>
      </c>
      <c r="J752" s="4">
        <v>3</v>
      </c>
      <c r="K752" s="4">
        <v>823.77170000000001</v>
      </c>
      <c r="L752" s="4"/>
      <c r="M752" s="4" t="str">
        <f>HYPERLINK("http://ms.phosphosite.org:5080/cgi-bin/plot-msms.cgi?MassType=1&amp;NumAxis=1&amp;Mod7=184&amp;Pep=GGAYPPRYFYPFPVPPLLYQV&amp;Dta=/var/www/html/dta/yong/23617.33637.3.dta&amp;Global_Mod=CS57.0215", "33637")</f>
        <v>33637</v>
      </c>
      <c r="N752" s="5"/>
      <c r="O752" s="5">
        <v>152.41999999999999</v>
      </c>
      <c r="P752" s="5"/>
      <c r="Q752" s="5">
        <v>2.6059999999999999</v>
      </c>
      <c r="R752" s="5"/>
      <c r="S752" s="5">
        <v>1.1589</v>
      </c>
      <c r="T752" s="5"/>
      <c r="U752" s="5">
        <v>0.20519999999999999</v>
      </c>
      <c r="V752" s="4"/>
      <c r="W752" s="4">
        <v>17</v>
      </c>
      <c r="X752" s="5"/>
      <c r="Y752" s="5">
        <v>2.81</v>
      </c>
      <c r="Z752" s="6"/>
      <c r="AA752" s="6">
        <v>1000</v>
      </c>
      <c r="AB752" s="4" t="s">
        <v>13</v>
      </c>
    </row>
    <row r="753" spans="1:28">
      <c r="A753" s="3" t="s">
        <v>580</v>
      </c>
      <c r="B753" s="9" t="s">
        <v>1672</v>
      </c>
      <c r="C753" s="9" t="s">
        <v>1673</v>
      </c>
      <c r="D753" s="4">
        <v>115</v>
      </c>
      <c r="E753" s="3" t="s">
        <v>744</v>
      </c>
      <c r="F753" s="7" t="s">
        <v>1410</v>
      </c>
      <c r="G753" s="4">
        <v>63.1</v>
      </c>
      <c r="H753" s="3" t="s">
        <v>756</v>
      </c>
      <c r="I753" s="3" t="s">
        <v>763</v>
      </c>
      <c r="J753" s="4">
        <v>3</v>
      </c>
      <c r="K753" s="4">
        <v>933.49130000000002</v>
      </c>
      <c r="L753" s="4"/>
      <c r="M753" s="4" t="str">
        <f>HYPERLINK("http://ms.phosphosite.org:5080/cgi-bin/plot-msms.cgi?MassType=1&amp;NumAxis=1&amp;Mod7=184&amp;Pep=GGAYPPRYFYPFPVPPLLYQVELS&amp;Dta=/var/www/html/dta/yong/23617.34512.3.dta&amp;Global_Mod=CS57.0215", "34512")</f>
        <v>34512</v>
      </c>
      <c r="N753" s="5"/>
      <c r="O753" s="5">
        <v>156.96</v>
      </c>
      <c r="P753" s="5"/>
      <c r="Q753" s="5">
        <v>2.44</v>
      </c>
      <c r="R753" s="5"/>
      <c r="S753" s="5">
        <v>2.0394000000000001</v>
      </c>
      <c r="T753" s="5"/>
      <c r="U753" s="5">
        <v>4.8000000000000001E-2</v>
      </c>
      <c r="V753" s="4"/>
      <c r="W753" s="4">
        <v>8</v>
      </c>
      <c r="X753" s="5"/>
      <c r="Y753" s="5">
        <v>1.8</v>
      </c>
      <c r="Z753" s="6"/>
      <c r="AA753" s="6">
        <v>1000</v>
      </c>
      <c r="AB753" s="4" t="s">
        <v>13</v>
      </c>
    </row>
    <row r="754" spans="1:28">
      <c r="A754" s="3" t="s">
        <v>580</v>
      </c>
      <c r="B754" s="9" t="s">
        <v>1672</v>
      </c>
      <c r="C754" s="9" t="s">
        <v>1673</v>
      </c>
      <c r="D754" s="4">
        <v>115</v>
      </c>
      <c r="E754" s="3" t="s">
        <v>744</v>
      </c>
      <c r="F754" s="7" t="s">
        <v>1410</v>
      </c>
      <c r="G754" s="4">
        <v>63.1</v>
      </c>
      <c r="H754" s="3" t="s">
        <v>756</v>
      </c>
      <c r="I754" s="3" t="s">
        <v>762</v>
      </c>
      <c r="J754" s="4">
        <v>3</v>
      </c>
      <c r="K754" s="4">
        <v>904.48059999999998</v>
      </c>
      <c r="L754" s="4"/>
      <c r="M754" s="4" t="str">
        <f>HYPERLINK("http://ms.phosphosite.org:5080/cgi-bin/plot-msms.cgi?MassType=1&amp;NumAxis=1&amp;Mod7=184&amp;Pep=GGAYPPRYFYPFPVPPLLYQVEL&amp;Dta=/var/www/html/dta/yong/23617.35277.3.dta&amp;Global_Mod=CS57.0215", "35277")</f>
        <v>35277</v>
      </c>
      <c r="N754" s="5"/>
      <c r="O754" s="5">
        <v>160.96</v>
      </c>
      <c r="P754" s="5"/>
      <c r="Q754" s="5">
        <v>2.891</v>
      </c>
      <c r="R754" s="5"/>
      <c r="S754" s="5">
        <v>1.6094999999999999</v>
      </c>
      <c r="T754" s="5"/>
      <c r="U754" s="5">
        <v>1.3100000000000001E-2</v>
      </c>
      <c r="V754" s="4"/>
      <c r="W754" s="4">
        <v>19</v>
      </c>
      <c r="X754" s="5"/>
      <c r="Y754" s="5">
        <v>1.77</v>
      </c>
      <c r="Z754" s="6"/>
      <c r="AA754" s="6">
        <v>1000</v>
      </c>
      <c r="AB754" s="4" t="s">
        <v>13</v>
      </c>
    </row>
    <row r="755" spans="1:28" s="18" customFormat="1">
      <c r="A755" s="13" t="s">
        <v>580</v>
      </c>
      <c r="B755" s="9" t="s">
        <v>1672</v>
      </c>
      <c r="C755" s="9" t="s">
        <v>1673</v>
      </c>
      <c r="D755" s="15"/>
      <c r="E755" s="13" t="s">
        <v>744</v>
      </c>
      <c r="F755" s="15" t="s">
        <v>1410</v>
      </c>
      <c r="G755" s="15">
        <v>63.1</v>
      </c>
      <c r="H755" s="13"/>
      <c r="I755" s="13" t="s">
        <v>766</v>
      </c>
      <c r="J755" s="15">
        <v>2</v>
      </c>
      <c r="K755" s="15">
        <v>677.2817</v>
      </c>
      <c r="L755" s="15" t="str">
        <f>HYPERLINK("http://ms.phosphosite.org:5080/cgi-bin/plot-msms.cgi?MassType=1&amp;NumAxis=1&amp;Mod1=147&amp;Mod9=147&amp;Mod10=170&amp;Pep=MQSTYNYNMR&amp;Dta=/var/www/html/dta/yong/23616.4415.2.dta&amp;Global_Mod=CS57.0215", "4415")</f>
        <v>4415</v>
      </c>
      <c r="M755" s="15" t="str">
        <f>HYPERLINK("http://ms.phosphosite.org:5080/cgi-bin/plot-msms.cgi?MassType=1&amp;NumAxis=1&amp;Mod1=147&amp;Mod9=147&amp;Mod10=170&amp;Pep=MQSTYNYNMR&amp;Dta=/var/www/html/dta/yong/23617.4492.2.dta&amp;Global_Mod=CS57.0215", "4492")</f>
        <v>4492</v>
      </c>
      <c r="N755" s="16">
        <v>25.78</v>
      </c>
      <c r="O755" s="16">
        <v>25.76</v>
      </c>
      <c r="P755" s="16">
        <v>3.06</v>
      </c>
      <c r="Q755" s="16">
        <v>3.109</v>
      </c>
      <c r="R755" s="16">
        <v>1.2157</v>
      </c>
      <c r="S755" s="16">
        <v>0.76249999999999996</v>
      </c>
      <c r="T755" s="16">
        <v>0.26</v>
      </c>
      <c r="U755" s="16">
        <v>0.33150000000000002</v>
      </c>
      <c r="V755" s="15">
        <v>1</v>
      </c>
      <c r="W755" s="15">
        <v>1</v>
      </c>
      <c r="X755" s="16">
        <v>3.72</v>
      </c>
      <c r="Y755" s="16">
        <v>3.98</v>
      </c>
      <c r="Z755" s="17">
        <v>1000</v>
      </c>
      <c r="AA755" s="17">
        <v>1000</v>
      </c>
      <c r="AB755" s="15" t="s">
        <v>13</v>
      </c>
    </row>
    <row r="756" spans="1:28" s="18" customFormat="1">
      <c r="A756" s="13" t="s">
        <v>580</v>
      </c>
      <c r="B756" s="9" t="s">
        <v>1672</v>
      </c>
      <c r="C756" s="9" t="s">
        <v>1673</v>
      </c>
      <c r="D756" s="15"/>
      <c r="E756" s="13" t="s">
        <v>744</v>
      </c>
      <c r="F756" s="15" t="s">
        <v>1410</v>
      </c>
      <c r="G756" s="15">
        <v>63.1</v>
      </c>
      <c r="H756" s="13"/>
      <c r="I756" s="13" t="s">
        <v>766</v>
      </c>
      <c r="J756" s="15">
        <v>2</v>
      </c>
      <c r="K756" s="15">
        <v>677.2817</v>
      </c>
      <c r="L756" s="15" t="str">
        <f>HYPERLINK("http://ms.phosphosite.org:5080/cgi-bin/plot-msms.cgi?MassType=1&amp;NumAxis=1&amp;Mod1=147&amp;Mod9=147&amp;Mod10=170&amp;Pep=MQSTYNYNMR&amp;Dta=/var/www/html/dta/yong/23616.4480.2.dta&amp;Global_Mod=CS57.0215", "4480")</f>
        <v>4480</v>
      </c>
      <c r="M756" s="15"/>
      <c r="N756" s="16">
        <v>26.07</v>
      </c>
      <c r="O756" s="16"/>
      <c r="P756" s="16">
        <v>2.6960000000000002</v>
      </c>
      <c r="Q756" s="16"/>
      <c r="R756" s="16">
        <v>1.3285</v>
      </c>
      <c r="S756" s="16"/>
      <c r="T756" s="16">
        <v>0.1663</v>
      </c>
      <c r="U756" s="16"/>
      <c r="V756" s="15">
        <v>1</v>
      </c>
      <c r="W756" s="15"/>
      <c r="X756" s="16">
        <v>3.08</v>
      </c>
      <c r="Y756" s="16"/>
      <c r="Z756" s="17">
        <v>1000</v>
      </c>
      <c r="AA756" s="17"/>
      <c r="AB756" s="15" t="s">
        <v>13</v>
      </c>
    </row>
    <row r="757" spans="1:28" s="18" customFormat="1">
      <c r="A757" s="13" t="s">
        <v>580</v>
      </c>
      <c r="B757" s="9" t="s">
        <v>1672</v>
      </c>
      <c r="C757" s="9" t="s">
        <v>1673</v>
      </c>
      <c r="D757" s="15"/>
      <c r="E757" s="13" t="s">
        <v>744</v>
      </c>
      <c r="F757" s="15" t="s">
        <v>1410</v>
      </c>
      <c r="G757" s="15">
        <v>63.1</v>
      </c>
      <c r="H757" s="13"/>
      <c r="I757" s="13" t="s">
        <v>766</v>
      </c>
      <c r="J757" s="15">
        <v>2</v>
      </c>
      <c r="K757" s="15">
        <v>677.2817</v>
      </c>
      <c r="L757" s="15" t="str">
        <f>HYPERLINK("http://ms.phosphosite.org:5080/cgi-bin/plot-msms.cgi?MassType=1&amp;NumAxis=1&amp;Mod1=147&amp;Mod9=147&amp;Mod10=170&amp;Pep=MQSTYNYNMR&amp;Dta=/var/www/html/dta/yong/23616.4568.2.dta&amp;Global_Mod=CS57.0215", "4568")</f>
        <v>4568</v>
      </c>
      <c r="M757" s="15" t="str">
        <f>HYPERLINK("http://ms.phosphosite.org:5080/cgi-bin/plot-msms.cgi?MassType=1&amp;NumAxis=1&amp;Mod1=147&amp;Mod9=147&amp;Mod10=170&amp;Pep=MQSTYNYNMR&amp;Dta=/var/www/html/dta/yong/23617.4594.2.dta&amp;Global_Mod=CS57.0215", "4594")</f>
        <v>4594</v>
      </c>
      <c r="N757" s="16">
        <v>26.45</v>
      </c>
      <c r="O757" s="16">
        <v>26.22</v>
      </c>
      <c r="P757" s="16">
        <v>3.052</v>
      </c>
      <c r="Q757" s="16">
        <v>2.5960000000000001</v>
      </c>
      <c r="R757" s="16">
        <v>1.252</v>
      </c>
      <c r="S757" s="16">
        <v>0.87770000000000004</v>
      </c>
      <c r="T757" s="16">
        <v>0.2031</v>
      </c>
      <c r="U757" s="16">
        <v>0.1094</v>
      </c>
      <c r="V757" s="15">
        <v>1</v>
      </c>
      <c r="W757" s="15">
        <v>1</v>
      </c>
      <c r="X757" s="16">
        <v>3.39</v>
      </c>
      <c r="Y757" s="16">
        <v>2.56</v>
      </c>
      <c r="Z757" s="17">
        <v>1000</v>
      </c>
      <c r="AA757" s="17">
        <v>1000</v>
      </c>
      <c r="AB757" s="15" t="s">
        <v>13</v>
      </c>
    </row>
    <row r="758" spans="1:28" s="18" customFormat="1">
      <c r="A758" s="13" t="s">
        <v>580</v>
      </c>
      <c r="B758" s="9" t="s">
        <v>1672</v>
      </c>
      <c r="C758" s="9" t="s">
        <v>1673</v>
      </c>
      <c r="D758" s="15"/>
      <c r="E758" s="13" t="s">
        <v>744</v>
      </c>
      <c r="F758" s="15" t="s">
        <v>1410</v>
      </c>
      <c r="G758" s="15">
        <v>63.1</v>
      </c>
      <c r="H758" s="13"/>
      <c r="I758" s="13" t="s">
        <v>769</v>
      </c>
      <c r="J758" s="15">
        <v>2</v>
      </c>
      <c r="K758" s="15">
        <v>424.21910000000003</v>
      </c>
      <c r="L758" s="15" t="str">
        <f>HYPERLINK("http://ms.phosphosite.org:5080/cgi-bin/plot-msms.cgi?MassType=1&amp;NumAxis=1&amp;Mod7=170&amp;Pep=PVDPYSR&amp;Dta=/var/www/html/dta/yong/23616.4579.2.dta&amp;Global_Mod=CS57.0215", "4579")</f>
        <v>4579</v>
      </c>
      <c r="M758" s="15"/>
      <c r="N758" s="16">
        <v>26.5</v>
      </c>
      <c r="O758" s="16"/>
      <c r="P758" s="16">
        <v>1.931</v>
      </c>
      <c r="Q758" s="16"/>
      <c r="R758" s="16">
        <v>-9.0899999999999995E-2</v>
      </c>
      <c r="S758" s="16"/>
      <c r="T758" s="16">
        <v>8.3400000000000002E-2</v>
      </c>
      <c r="U758" s="16"/>
      <c r="V758" s="15">
        <v>2</v>
      </c>
      <c r="W758" s="15"/>
      <c r="X758" s="16">
        <v>2.4300000000000002</v>
      </c>
      <c r="Y758" s="16"/>
      <c r="Z758" s="17">
        <v>1000</v>
      </c>
      <c r="AA758" s="17"/>
      <c r="AB758" s="15" t="s">
        <v>13</v>
      </c>
    </row>
    <row r="759" spans="1:28" s="18" customFormat="1">
      <c r="A759" s="13" t="s">
        <v>580</v>
      </c>
      <c r="B759" s="9" t="s">
        <v>1672</v>
      </c>
      <c r="C759" s="9" t="s">
        <v>1673</v>
      </c>
      <c r="D759" s="15"/>
      <c r="E759" s="13" t="s">
        <v>744</v>
      </c>
      <c r="F759" s="15" t="s">
        <v>1410</v>
      </c>
      <c r="G759" s="15">
        <v>63.1</v>
      </c>
      <c r="H759" s="13"/>
      <c r="I759" s="13" t="s">
        <v>766</v>
      </c>
      <c r="J759" s="15">
        <v>2</v>
      </c>
      <c r="K759" s="15">
        <v>677.2817</v>
      </c>
      <c r="L759" s="15" t="str">
        <f>HYPERLINK("http://ms.phosphosite.org:5080/cgi-bin/plot-msms.cgi?MassType=1&amp;NumAxis=1&amp;Mod1=147&amp;Mod9=147&amp;Mod10=170&amp;Pep=MQSTYNYNMR&amp;Dta=/var/www/html/dta/yong/23616.4654.2.dta&amp;Global_Mod=CS57.0215", "4654")</f>
        <v>4654</v>
      </c>
      <c r="M759" s="15" t="str">
        <f>HYPERLINK("http://ms.phosphosite.org:5080/cgi-bin/plot-msms.cgi?MassType=1&amp;NumAxis=1&amp;Mod1=147&amp;Mod9=147&amp;Mod10=170&amp;Pep=MQSTYNYNMR&amp;Dta=/var/www/html/dta/yong/23617.4802.2.dta&amp;Global_Mod=CS57.0215", "4802")</f>
        <v>4802</v>
      </c>
      <c r="N759" s="16">
        <v>26.83</v>
      </c>
      <c r="O759" s="16">
        <v>27.1</v>
      </c>
      <c r="P759" s="16">
        <v>3.0569999999999999</v>
      </c>
      <c r="Q759" s="16">
        <v>2.577</v>
      </c>
      <c r="R759" s="16">
        <v>1.0680000000000001</v>
      </c>
      <c r="S759" s="16">
        <v>0.84289999999999998</v>
      </c>
      <c r="T759" s="16">
        <v>0.26540000000000002</v>
      </c>
      <c r="U759" s="16">
        <v>0.23</v>
      </c>
      <c r="V759" s="15">
        <v>1</v>
      </c>
      <c r="W759" s="15">
        <v>1</v>
      </c>
      <c r="X759" s="16">
        <v>3.75</v>
      </c>
      <c r="Y759" s="16">
        <v>3.24</v>
      </c>
      <c r="Z759" s="17">
        <v>1000</v>
      </c>
      <c r="AA759" s="17">
        <v>1000</v>
      </c>
      <c r="AB759" s="15" t="s">
        <v>13</v>
      </c>
    </row>
    <row r="760" spans="1:28" s="18" customFormat="1">
      <c r="A760" s="13" t="s">
        <v>580</v>
      </c>
      <c r="B760" s="9" t="s">
        <v>1672</v>
      </c>
      <c r="C760" s="9" t="s">
        <v>1673</v>
      </c>
      <c r="D760" s="15"/>
      <c r="E760" s="13" t="s">
        <v>744</v>
      </c>
      <c r="F760" s="15" t="s">
        <v>1410</v>
      </c>
      <c r="G760" s="15">
        <v>63.1</v>
      </c>
      <c r="H760" s="13"/>
      <c r="I760" s="13" t="s">
        <v>766</v>
      </c>
      <c r="J760" s="15">
        <v>2</v>
      </c>
      <c r="K760" s="15">
        <v>677.2817</v>
      </c>
      <c r="L760" s="15" t="str">
        <f>HYPERLINK("http://ms.phosphosite.org:5080/cgi-bin/plot-msms.cgi?MassType=1&amp;NumAxis=1&amp;Mod1=147&amp;Mod9=147&amp;Mod10=170&amp;Pep=MQSTYNYNMR&amp;Dta=/var/www/html/dta/yong/23616.4734.2.dta&amp;Global_Mod=CS57.0215", "4734")</f>
        <v>4734</v>
      </c>
      <c r="M760" s="15" t="str">
        <f>HYPERLINK("http://ms.phosphosite.org:5080/cgi-bin/plot-msms.cgi?MassType=1&amp;NumAxis=1&amp;Mod1=147&amp;Mod9=147&amp;Mod10=170&amp;Pep=MQSTYNYNMR&amp;Dta=/var/www/html/dta/yong/23617.4824.2.dta&amp;Global_Mod=CS57.0215", "4824")</f>
        <v>4824</v>
      </c>
      <c r="N760" s="16">
        <v>27.18</v>
      </c>
      <c r="O760" s="16">
        <v>27.2</v>
      </c>
      <c r="P760" s="16">
        <v>2.7080000000000002</v>
      </c>
      <c r="Q760" s="16">
        <v>2.5619999999999998</v>
      </c>
      <c r="R760" s="16">
        <v>0.88319999999999999</v>
      </c>
      <c r="S760" s="16">
        <v>0.87980000000000003</v>
      </c>
      <c r="T760" s="16">
        <v>0.193</v>
      </c>
      <c r="U760" s="16">
        <v>0.2137</v>
      </c>
      <c r="V760" s="15">
        <v>1</v>
      </c>
      <c r="W760" s="15">
        <v>1</v>
      </c>
      <c r="X760" s="16">
        <v>3.25</v>
      </c>
      <c r="Y760" s="16">
        <v>3.14</v>
      </c>
      <c r="Z760" s="17">
        <v>1000</v>
      </c>
      <c r="AA760" s="17">
        <v>1000</v>
      </c>
      <c r="AB760" s="15" t="s">
        <v>13</v>
      </c>
    </row>
    <row r="761" spans="1:28" s="18" customFormat="1">
      <c r="A761" s="13" t="s">
        <v>580</v>
      </c>
      <c r="B761" s="9" t="s">
        <v>1672</v>
      </c>
      <c r="C761" s="9" t="s">
        <v>1673</v>
      </c>
      <c r="D761" s="15"/>
      <c r="E761" s="13" t="s">
        <v>744</v>
      </c>
      <c r="F761" s="15" t="s">
        <v>1410</v>
      </c>
      <c r="G761" s="15">
        <v>63.1</v>
      </c>
      <c r="H761" s="13"/>
      <c r="I761" s="13" t="s">
        <v>766</v>
      </c>
      <c r="J761" s="15">
        <v>2</v>
      </c>
      <c r="K761" s="15">
        <v>677.2817</v>
      </c>
      <c r="L761" s="15" t="str">
        <f>HYPERLINK("http://ms.phosphosite.org:5080/cgi-bin/plot-msms.cgi?MassType=1&amp;NumAxis=1&amp;Mod1=147&amp;Mod9=147&amp;Mod10=170&amp;Pep=MQSTYNYNMR&amp;Dta=/var/www/html/dta/yong/23616.4841.2.dta&amp;Global_Mod=CS57.0215", "4841")</f>
        <v>4841</v>
      </c>
      <c r="M761" s="15" t="str">
        <f>HYPERLINK("http://ms.phosphosite.org:5080/cgi-bin/plot-msms.cgi?MassType=1&amp;NumAxis=1&amp;Mod1=147&amp;Mod9=147&amp;Mod10=170&amp;Pep=MQSTYNYNMR&amp;Dta=/var/www/html/dta/yong/23617.4645.2.dta&amp;Global_Mod=CS57.0215", "4645")</f>
        <v>4645</v>
      </c>
      <c r="N761" s="16">
        <v>27.66</v>
      </c>
      <c r="O761" s="16">
        <v>26.43</v>
      </c>
      <c r="P761" s="16">
        <v>2.5859999999999999</v>
      </c>
      <c r="Q761" s="16">
        <v>2.9630000000000001</v>
      </c>
      <c r="R761" s="16">
        <v>0.60099999999999998</v>
      </c>
      <c r="S761" s="16">
        <v>0.8528</v>
      </c>
      <c r="T761" s="16">
        <v>0.1108</v>
      </c>
      <c r="U761" s="16">
        <v>0.2762</v>
      </c>
      <c r="V761" s="15">
        <v>1</v>
      </c>
      <c r="W761" s="15">
        <v>1</v>
      </c>
      <c r="X761" s="16">
        <v>2.76</v>
      </c>
      <c r="Y761" s="16">
        <v>3.62</v>
      </c>
      <c r="Z761" s="17">
        <v>1000</v>
      </c>
      <c r="AA761" s="17">
        <v>1000</v>
      </c>
      <c r="AB761" s="15" t="s">
        <v>13</v>
      </c>
    </row>
    <row r="762" spans="1:28" s="18" customFormat="1">
      <c r="A762" s="13" t="s">
        <v>580</v>
      </c>
      <c r="B762" s="9" t="s">
        <v>1672</v>
      </c>
      <c r="C762" s="9" t="s">
        <v>1673</v>
      </c>
      <c r="D762" s="15"/>
      <c r="E762" s="13" t="s">
        <v>744</v>
      </c>
      <c r="F762" s="15" t="s">
        <v>1410</v>
      </c>
      <c r="G762" s="15">
        <v>63.1</v>
      </c>
      <c r="H762" s="13"/>
      <c r="I762" s="13" t="s">
        <v>768</v>
      </c>
      <c r="J762" s="15">
        <v>2</v>
      </c>
      <c r="K762" s="15">
        <v>669.28430000000003</v>
      </c>
      <c r="L762" s="15" t="str">
        <f>HYPERLINK("http://ms.phosphosite.org:5080/cgi-bin/plot-msms.cgi?MassType=1&amp;NumAxis=1&amp;Mod9=147&amp;Mod10=170&amp;Pep=MQSTYNYNMR&amp;Dta=/var/www/html/dta/yong/23616.5771.2.dta&amp;Global_Mod=CS57.0215", "5771")</f>
        <v>5771</v>
      </c>
      <c r="M762" s="15" t="str">
        <f>HYPERLINK("http://ms.phosphosite.org:5080/cgi-bin/plot-msms.cgi?MassType=1&amp;NumAxis=1&amp;Mod9=147&amp;Mod10=170&amp;Pep=MQSTYNYNMR&amp;Dta=/var/www/html/dta/yong/23617.6034.2.dta&amp;Global_Mod=CS57.0215", "6034")</f>
        <v>6034</v>
      </c>
      <c r="N762" s="16">
        <v>31.39</v>
      </c>
      <c r="O762" s="16">
        <v>32.21</v>
      </c>
      <c r="P762" s="16">
        <v>2.8820000000000001</v>
      </c>
      <c r="Q762" s="16">
        <v>2.3759999999999999</v>
      </c>
      <c r="R762" s="16">
        <v>1.0947</v>
      </c>
      <c r="S762" s="16">
        <v>1.1759999999999999</v>
      </c>
      <c r="T762" s="16">
        <v>0.33529999999999999</v>
      </c>
      <c r="U762" s="16">
        <v>0.1648</v>
      </c>
      <c r="V762" s="15">
        <v>1</v>
      </c>
      <c r="W762" s="15">
        <v>2</v>
      </c>
      <c r="X762" s="16">
        <v>4.0999999999999996</v>
      </c>
      <c r="Y762" s="16">
        <v>2.79</v>
      </c>
      <c r="Z762" s="17">
        <v>1000</v>
      </c>
      <c r="AA762" s="17">
        <v>1000</v>
      </c>
      <c r="AB762" s="15" t="s">
        <v>13</v>
      </c>
    </row>
    <row r="763" spans="1:28" s="18" customFormat="1">
      <c r="A763" s="13" t="s">
        <v>580</v>
      </c>
      <c r="B763" s="9" t="s">
        <v>1672</v>
      </c>
      <c r="C763" s="9" t="s">
        <v>1673</v>
      </c>
      <c r="D763" s="15"/>
      <c r="E763" s="13" t="s">
        <v>744</v>
      </c>
      <c r="F763" s="15" t="s">
        <v>1410</v>
      </c>
      <c r="G763" s="15">
        <v>63.1</v>
      </c>
      <c r="H763" s="13"/>
      <c r="I763" s="13" t="s">
        <v>768</v>
      </c>
      <c r="J763" s="15">
        <v>2</v>
      </c>
      <c r="K763" s="15">
        <v>669.28430000000003</v>
      </c>
      <c r="L763" s="15" t="str">
        <f>HYPERLINK("http://ms.phosphosite.org:5080/cgi-bin/plot-msms.cgi?MassType=1&amp;NumAxis=1&amp;Mod9=147&amp;Mod10=170&amp;Pep=MQSTYNYNMR&amp;Dta=/var/www/html/dta/yong/23616.5940.2.dta&amp;Global_Mod=CS57.0215", "5940")</f>
        <v>5940</v>
      </c>
      <c r="M763" s="15" t="str">
        <f>HYPERLINK("http://ms.phosphosite.org:5080/cgi-bin/plot-msms.cgi?MassType=1&amp;NumAxis=1&amp;Mod9=147&amp;Mod10=170&amp;Pep=MQSTYNYNMR&amp;Dta=/var/www/html/dta/yong/23617.6013.2.dta&amp;Global_Mod=CS57.0215", "6013")</f>
        <v>6013</v>
      </c>
      <c r="N763" s="16">
        <v>32.11</v>
      </c>
      <c r="O763" s="16">
        <v>32.119999999999997</v>
      </c>
      <c r="P763" s="16">
        <v>2.5579999999999998</v>
      </c>
      <c r="Q763" s="16">
        <v>3.09</v>
      </c>
      <c r="R763" s="16">
        <v>0.93889999999999996</v>
      </c>
      <c r="S763" s="16">
        <v>1.1935</v>
      </c>
      <c r="T763" s="16">
        <v>0.22520000000000001</v>
      </c>
      <c r="U763" s="16">
        <v>0.45590000000000003</v>
      </c>
      <c r="V763" s="15">
        <v>2</v>
      </c>
      <c r="W763" s="15">
        <v>1</v>
      </c>
      <c r="X763" s="16">
        <v>3.39</v>
      </c>
      <c r="Y763" s="16">
        <v>4.6500000000000004</v>
      </c>
      <c r="Z763" s="17">
        <v>1000</v>
      </c>
      <c r="AA763" s="17">
        <v>1000</v>
      </c>
      <c r="AB763" s="15" t="s">
        <v>13</v>
      </c>
    </row>
    <row r="764" spans="1:28" s="18" customFormat="1">
      <c r="A764" s="13" t="s">
        <v>580</v>
      </c>
      <c r="B764" s="9" t="s">
        <v>1672</v>
      </c>
      <c r="C764" s="9" t="s">
        <v>1673</v>
      </c>
      <c r="D764" s="15"/>
      <c r="E764" s="13" t="s">
        <v>744</v>
      </c>
      <c r="F764" s="15" t="s">
        <v>1410</v>
      </c>
      <c r="G764" s="15">
        <v>63.1</v>
      </c>
      <c r="H764" s="13"/>
      <c r="I764" s="13" t="s">
        <v>767</v>
      </c>
      <c r="J764" s="15">
        <v>2</v>
      </c>
      <c r="K764" s="15">
        <v>669.28430000000003</v>
      </c>
      <c r="L764" s="15" t="str">
        <f>HYPERLINK("http://ms.phosphosite.org:5080/cgi-bin/plot-msms.cgi?MassType=1&amp;NumAxis=1&amp;Mod1=147&amp;Mod10=170&amp;Pep=MQSTYNYNMR&amp;Dta=/var/www/html/dta/yong/23616.6956.2.dta&amp;Global_Mod=CS57.0215", "6956")</f>
        <v>6956</v>
      </c>
      <c r="M764" s="15" t="str">
        <f>HYPERLINK("http://ms.phosphosite.org:5080/cgi-bin/plot-msms.cgi?MassType=1&amp;NumAxis=1&amp;Mod1=147&amp;Mod10=170&amp;Pep=MQSTYNYNMR&amp;Dta=/var/www/html/dta/yong/23617.7072.2.dta&amp;Global_Mod=CS57.0215", "7072")</f>
        <v>7072</v>
      </c>
      <c r="N764" s="16">
        <v>36.25</v>
      </c>
      <c r="O764" s="16">
        <v>36.44</v>
      </c>
      <c r="P764" s="16">
        <v>2.903</v>
      </c>
      <c r="Q764" s="16">
        <v>2.9049999999999998</v>
      </c>
      <c r="R764" s="16">
        <v>1.1364000000000001</v>
      </c>
      <c r="S764" s="16">
        <v>0.74150000000000005</v>
      </c>
      <c r="T764" s="16">
        <v>0.2074</v>
      </c>
      <c r="U764" s="16">
        <v>0.182</v>
      </c>
      <c r="V764" s="15">
        <v>1</v>
      </c>
      <c r="W764" s="15">
        <v>1</v>
      </c>
      <c r="X764" s="16">
        <v>3.38</v>
      </c>
      <c r="Y764" s="16">
        <v>3.08</v>
      </c>
      <c r="Z764" s="17">
        <v>1000</v>
      </c>
      <c r="AA764" s="17">
        <v>1000</v>
      </c>
      <c r="AB764" s="15" t="s">
        <v>13</v>
      </c>
    </row>
    <row r="765" spans="1:28" s="18" customFormat="1">
      <c r="A765" s="13" t="s">
        <v>580</v>
      </c>
      <c r="B765" s="9" t="s">
        <v>1672</v>
      </c>
      <c r="C765" s="9" t="s">
        <v>1673</v>
      </c>
      <c r="D765" s="15"/>
      <c r="E765" s="13" t="s">
        <v>744</v>
      </c>
      <c r="F765" s="15" t="s">
        <v>1410</v>
      </c>
      <c r="G765" s="15">
        <v>63.1</v>
      </c>
      <c r="H765" s="13"/>
      <c r="I765" s="13" t="s">
        <v>767</v>
      </c>
      <c r="J765" s="15">
        <v>2</v>
      </c>
      <c r="K765" s="15">
        <v>669.28430000000003</v>
      </c>
      <c r="L765" s="15" t="str">
        <f>HYPERLINK("http://ms.phosphosite.org:5080/cgi-bin/plot-msms.cgi?MassType=1&amp;NumAxis=1&amp;Mod1=147&amp;Mod10=170&amp;Pep=MQSTYNYNMR&amp;Dta=/var/www/html/dta/yong/23616.6961.2.dta&amp;Global_Mod=CS57.0215", "6961")</f>
        <v>6961</v>
      </c>
      <c r="M765" s="15"/>
      <c r="N765" s="16">
        <v>36.28</v>
      </c>
      <c r="O765" s="16"/>
      <c r="P765" s="16">
        <v>2.855</v>
      </c>
      <c r="Q765" s="16"/>
      <c r="R765" s="16">
        <v>0.89639999999999997</v>
      </c>
      <c r="S765" s="16"/>
      <c r="T765" s="16">
        <v>0.2278</v>
      </c>
      <c r="U765" s="16"/>
      <c r="V765" s="15">
        <v>1</v>
      </c>
      <c r="W765" s="15"/>
      <c r="X765" s="16">
        <v>3.49</v>
      </c>
      <c r="Y765" s="16"/>
      <c r="Z765" s="17">
        <v>1000</v>
      </c>
      <c r="AA765" s="17"/>
      <c r="AB765" s="15" t="s">
        <v>13</v>
      </c>
    </row>
    <row r="766" spans="1:28" s="18" customFormat="1">
      <c r="A766" s="13" t="s">
        <v>580</v>
      </c>
      <c r="B766" s="9" t="s">
        <v>1672</v>
      </c>
      <c r="C766" s="9" t="s">
        <v>1673</v>
      </c>
      <c r="D766" s="15"/>
      <c r="E766" s="13" t="s">
        <v>744</v>
      </c>
      <c r="F766" s="15" t="s">
        <v>1410</v>
      </c>
      <c r="G766" s="15">
        <v>63.1</v>
      </c>
      <c r="H766" s="13"/>
      <c r="I766" s="13" t="s">
        <v>768</v>
      </c>
      <c r="J766" s="15">
        <v>2</v>
      </c>
      <c r="K766" s="15">
        <v>669.28430000000003</v>
      </c>
      <c r="L766" s="15"/>
      <c r="M766" s="15" t="str">
        <f>HYPERLINK("http://ms.phosphosite.org:5080/cgi-bin/plot-msms.cgi?MassType=1&amp;NumAxis=1&amp;Mod9=147&amp;Mod10=170&amp;Pep=MQSTYNYNMR&amp;Dta=/var/www/html/dta/yong/23617.5857.2.dta&amp;Global_Mod=CS57.0215", "5857")</f>
        <v>5857</v>
      </c>
      <c r="N766" s="16"/>
      <c r="O766" s="16">
        <v>31.49</v>
      </c>
      <c r="P766" s="16"/>
      <c r="Q766" s="16">
        <v>3.004</v>
      </c>
      <c r="R766" s="16"/>
      <c r="S766" s="16">
        <v>1.1617</v>
      </c>
      <c r="T766" s="16"/>
      <c r="U766" s="16">
        <v>0.34360000000000002</v>
      </c>
      <c r="V766" s="15"/>
      <c r="W766" s="15">
        <v>1</v>
      </c>
      <c r="X766" s="16"/>
      <c r="Y766" s="16">
        <v>4</v>
      </c>
      <c r="Z766" s="17"/>
      <c r="AA766" s="17">
        <v>1000</v>
      </c>
      <c r="AB766" s="15" t="s">
        <v>13</v>
      </c>
    </row>
    <row r="767" spans="1:28">
      <c r="A767" s="9" t="s">
        <v>580</v>
      </c>
      <c r="B767" s="9" t="s">
        <v>1675</v>
      </c>
      <c r="C767" s="9" t="s">
        <v>1676</v>
      </c>
      <c r="D767" s="7">
        <v>946</v>
      </c>
      <c r="E767" s="9" t="s">
        <v>770</v>
      </c>
      <c r="F767" s="7" t="s">
        <v>1410</v>
      </c>
      <c r="G767" s="7">
        <v>108.5</v>
      </c>
      <c r="H767" s="9" t="s">
        <v>771</v>
      </c>
      <c r="I767" s="9" t="s">
        <v>772</v>
      </c>
      <c r="J767" s="7">
        <v>3</v>
      </c>
      <c r="K767" s="7">
        <v>572.96669999999995</v>
      </c>
      <c r="L767" s="7" t="str">
        <f>HYPERLINK("http://ms.phosphosite.org:5080/cgi-bin/plot-msms.cgi?MassType=1&amp;NumAxis=1&amp;Mod10=184&amp;Pep=KYPLPPPSGRYNWN&amp;Dta=/var/www/html/dta/yong/23616.12815.3.dta&amp;Global_Mod=CS57.0215", "12815")</f>
        <v>12815</v>
      </c>
      <c r="M767" s="7"/>
      <c r="N767" s="10">
        <v>61.13</v>
      </c>
      <c r="O767" s="10"/>
      <c r="P767" s="10">
        <v>4.1189999999999998</v>
      </c>
      <c r="Q767" s="10"/>
      <c r="R767" s="10">
        <v>0.71220000000000006</v>
      </c>
      <c r="S767" s="10"/>
      <c r="T767" s="10">
        <v>0.26229999999999998</v>
      </c>
      <c r="U767" s="10"/>
      <c r="V767" s="7">
        <v>1</v>
      </c>
      <c r="W767" s="7"/>
      <c r="X767" s="10">
        <v>2.27</v>
      </c>
      <c r="Y767" s="10"/>
      <c r="Z767" s="11">
        <v>1000</v>
      </c>
      <c r="AA767" s="11"/>
      <c r="AB767" s="7" t="s">
        <v>13</v>
      </c>
    </row>
    <row r="768" spans="1:28">
      <c r="A768" s="9" t="s">
        <v>580</v>
      </c>
      <c r="B768" s="9" t="s">
        <v>1675</v>
      </c>
      <c r="C768" s="9" t="s">
        <v>1676</v>
      </c>
      <c r="D768" s="7">
        <v>946</v>
      </c>
      <c r="E768" s="9" t="s">
        <v>770</v>
      </c>
      <c r="F768" s="7" t="s">
        <v>1410</v>
      </c>
      <c r="G768" s="7">
        <v>108.5</v>
      </c>
      <c r="H768" s="9" t="s">
        <v>771</v>
      </c>
      <c r="I768" s="9" t="s">
        <v>772</v>
      </c>
      <c r="J768" s="7">
        <v>3</v>
      </c>
      <c r="K768" s="7">
        <v>572.96669999999995</v>
      </c>
      <c r="L768" s="7" t="str">
        <f>HYPERLINK("http://ms.phosphosite.org:5080/cgi-bin/plot-msms.cgi?MassType=1&amp;NumAxis=1&amp;Mod10=184&amp;Pep=KYPLPPPSGRYNWN&amp;Dta=/var/www/html/dta/yong/23616.12987.3.dta&amp;Global_Mod=CS57.0215", "12987")</f>
        <v>12987</v>
      </c>
      <c r="M768" s="7" t="str">
        <f>HYPERLINK("http://ms.phosphosite.org:5080/cgi-bin/plot-msms.cgi?MassType=1&amp;NumAxis=1&amp;Mod10=184&amp;Pep=KYPLPPPSGRYNWN&amp;Dta=/var/www/html/dta/yong/23617.13091.3.dta&amp;Global_Mod=CS57.0215", "13091")</f>
        <v>13091</v>
      </c>
      <c r="N768" s="10">
        <v>61.89</v>
      </c>
      <c r="O768" s="10">
        <v>61.67</v>
      </c>
      <c r="P768" s="10">
        <v>3.7530000000000001</v>
      </c>
      <c r="Q768" s="10">
        <v>3.7949999999999999</v>
      </c>
      <c r="R768" s="10">
        <v>0.46479999999999999</v>
      </c>
      <c r="S768" s="10">
        <v>0.42249999999999999</v>
      </c>
      <c r="T768" s="10">
        <v>0.254</v>
      </c>
      <c r="U768" s="10">
        <v>0.12509999999999999</v>
      </c>
      <c r="V768" s="7">
        <v>1</v>
      </c>
      <c r="W768" s="7">
        <v>2</v>
      </c>
      <c r="X768" s="10">
        <v>2.13</v>
      </c>
      <c r="Y768" s="10">
        <v>1.44</v>
      </c>
      <c r="Z768" s="11">
        <v>1000</v>
      </c>
      <c r="AA768" s="11">
        <v>1000</v>
      </c>
      <c r="AB768" s="7" t="s">
        <v>13</v>
      </c>
    </row>
    <row r="769" spans="1:28">
      <c r="A769" s="9" t="s">
        <v>580</v>
      </c>
      <c r="B769" s="9" t="s">
        <v>1675</v>
      </c>
      <c r="C769" s="9" t="s">
        <v>1676</v>
      </c>
      <c r="D769" s="7">
        <v>946</v>
      </c>
      <c r="E769" s="9" t="s">
        <v>770</v>
      </c>
      <c r="F769" s="7" t="s">
        <v>1410</v>
      </c>
      <c r="G769" s="7">
        <v>108.5</v>
      </c>
      <c r="H769" s="9" t="s">
        <v>771</v>
      </c>
      <c r="I769" s="9" t="s">
        <v>772</v>
      </c>
      <c r="J769" s="7">
        <v>3</v>
      </c>
      <c r="K769" s="7">
        <v>572.96669999999995</v>
      </c>
      <c r="L769" s="7" t="str">
        <f>HYPERLINK("http://ms.phosphosite.org:5080/cgi-bin/plot-msms.cgi?MassType=1&amp;NumAxis=1&amp;Mod10=184&amp;Pep=KYPLPPPSGRYNWN&amp;Dta=/var/www/html/dta/yong/23616.13183.3.dta&amp;Global_Mod=CS57.0215", "13183")</f>
        <v>13183</v>
      </c>
      <c r="M769" s="7" t="str">
        <f>HYPERLINK("http://ms.phosphosite.org:5080/cgi-bin/plot-msms.cgi?MassType=1&amp;NumAxis=1&amp;Mod10=184&amp;Pep=KYPLPPPSGRYNWN&amp;Dta=/var/www/html/dta/yong/23617.12893.3.dta&amp;Global_Mod=CS57.0215", "12893")</f>
        <v>12893</v>
      </c>
      <c r="N769" s="10">
        <v>62.74</v>
      </c>
      <c r="O769" s="10">
        <v>60.86</v>
      </c>
      <c r="P769" s="10">
        <v>2.8679999999999999</v>
      </c>
      <c r="Q769" s="10">
        <v>3.218</v>
      </c>
      <c r="R769" s="10">
        <v>0.57820000000000005</v>
      </c>
      <c r="S769" s="10">
        <v>0.53059999999999996</v>
      </c>
      <c r="T769" s="10">
        <v>0.13150000000000001</v>
      </c>
      <c r="U769" s="10">
        <v>0.12479999999999999</v>
      </c>
      <c r="V769" s="7">
        <v>3</v>
      </c>
      <c r="W769" s="7">
        <v>1</v>
      </c>
      <c r="X769" s="10">
        <v>1.18</v>
      </c>
      <c r="Y769" s="10">
        <v>1.26</v>
      </c>
      <c r="Z769" s="11">
        <v>1000</v>
      </c>
      <c r="AA769" s="11">
        <v>1000</v>
      </c>
      <c r="AB769" s="7" t="s">
        <v>13</v>
      </c>
    </row>
    <row r="770" spans="1:28" s="13" customFormat="1">
      <c r="A770" s="13" t="s">
        <v>773</v>
      </c>
      <c r="B770" s="13" t="s">
        <v>774</v>
      </c>
      <c r="C770" s="13" t="s">
        <v>774</v>
      </c>
      <c r="D770" s="15">
        <v>820</v>
      </c>
      <c r="E770" s="13" t="s">
        <v>775</v>
      </c>
      <c r="F770" s="15" t="s">
        <v>1411</v>
      </c>
      <c r="G770" s="15">
        <v>172.9</v>
      </c>
      <c r="H770" s="13" t="s">
        <v>798</v>
      </c>
      <c r="I770" s="13" t="s">
        <v>799</v>
      </c>
      <c r="J770" s="15">
        <v>4</v>
      </c>
      <c r="K770" s="15">
        <v>1030.0261</v>
      </c>
      <c r="L770" s="15" t="str">
        <f>HYPERLINK("http://ms.phosphosite.org:5080/cgi-bin/plot-msms.cgi?MassType=1&amp;NumAxis=1&amp;Mod14=184&amp;Mod27=170&amp;Mod41=170&amp;Pep=EGPQGQLGGGCPLRFEGPPGPVGTPLRFEGPIGQAGGGGFR&amp;Dta=/var/www/html/dta/yong/23616.22256.4.dta&amp;Global_Mod=CS57.0215", "22256")</f>
        <v>22256</v>
      </c>
      <c r="M770" s="15"/>
      <c r="N770" s="16">
        <v>101.18</v>
      </c>
      <c r="O770" s="16"/>
      <c r="P770" s="16">
        <v>2.72</v>
      </c>
      <c r="Q770" s="16"/>
      <c r="R770" s="16">
        <v>2.0169999999999999</v>
      </c>
      <c r="S770" s="16"/>
      <c r="T770" s="16">
        <v>8.2100000000000006E-2</v>
      </c>
      <c r="U770" s="16"/>
      <c r="V770" s="15">
        <v>1</v>
      </c>
      <c r="W770" s="15"/>
      <c r="X770" s="16">
        <v>1.55</v>
      </c>
      <c r="Y770" s="16"/>
      <c r="Z770" s="17" t="s">
        <v>1307</v>
      </c>
      <c r="AA770" s="17"/>
      <c r="AB770" s="15" t="s">
        <v>13</v>
      </c>
    </row>
    <row r="771" spans="1:28" s="13" customFormat="1">
      <c r="A771" s="13" t="s">
        <v>773</v>
      </c>
      <c r="B771" s="13" t="s">
        <v>774</v>
      </c>
      <c r="C771" s="13" t="s">
        <v>774</v>
      </c>
      <c r="D771" s="15">
        <v>820</v>
      </c>
      <c r="E771" s="13" t="s">
        <v>775</v>
      </c>
      <c r="F771" s="15" t="s">
        <v>1411</v>
      </c>
      <c r="G771" s="15">
        <v>172.9</v>
      </c>
      <c r="H771" s="13" t="s">
        <v>798</v>
      </c>
      <c r="I771" s="13" t="s">
        <v>800</v>
      </c>
      <c r="J771" s="15">
        <v>4</v>
      </c>
      <c r="K771" s="15">
        <v>1066.7932000000001</v>
      </c>
      <c r="L771" s="15"/>
      <c r="M771" s="15" t="str">
        <f>HYPERLINK("http://ms.phosphosite.org:5080/cgi-bin/plot-msms.cgi?MassType=1&amp;NumAxis=1&amp;Mod15=184&amp;Mod28=170&amp;Mod42=170&amp;Pep=FEGPQGQLGGGCPLRFEGPPGPVGTPLRFEGPIGQAGGGGFR&amp;Dta=/var/www/html/dta/yong/23617.23259.4.dta&amp;Global_Mod=CS57.0215", "23259")</f>
        <v>23259</v>
      </c>
      <c r="N771" s="16"/>
      <c r="O771" s="16">
        <v>104.56</v>
      </c>
      <c r="P771" s="16"/>
      <c r="Q771" s="16">
        <v>2.95</v>
      </c>
      <c r="R771" s="16"/>
      <c r="S771" s="16">
        <v>1.6955</v>
      </c>
      <c r="T771" s="16"/>
      <c r="U771" s="16">
        <v>3.9300000000000002E-2</v>
      </c>
      <c r="V771" s="15"/>
      <c r="W771" s="15">
        <v>10</v>
      </c>
      <c r="X771" s="16"/>
      <c r="Y771" s="16">
        <v>1.37</v>
      </c>
      <c r="Z771" s="17"/>
      <c r="AA771" s="17" t="s">
        <v>1307</v>
      </c>
      <c r="AB771" s="15" t="s">
        <v>13</v>
      </c>
    </row>
    <row r="772" spans="1:28" s="12" customFormat="1">
      <c r="A772" s="9" t="s">
        <v>773</v>
      </c>
      <c r="B772" s="9" t="s">
        <v>774</v>
      </c>
      <c r="C772" s="9" t="s">
        <v>774</v>
      </c>
      <c r="D772" s="7">
        <v>833</v>
      </c>
      <c r="E772" s="9" t="s">
        <v>775</v>
      </c>
      <c r="F772" s="7" t="s">
        <v>1411</v>
      </c>
      <c r="G772" s="7">
        <v>172.9</v>
      </c>
      <c r="H772" s="9" t="s">
        <v>813</v>
      </c>
      <c r="I772" s="9" t="s">
        <v>816</v>
      </c>
      <c r="J772" s="7">
        <v>3</v>
      </c>
      <c r="K772" s="7">
        <v>511.93560000000002</v>
      </c>
      <c r="L772" s="7" t="str">
        <f>HYPERLINK("http://ms.phosphosite.org:5080/cgi-bin/plot-msms.cgi?MassType=1&amp;NumAxis=1&amp;Mod1=184&amp;Pep=RFEGPIGQAGGGGFR&amp;Dta=/var/www/html/dta/yong/23616.10574.3.dta&amp;Global_Mod=CS57.0215", "10574")</f>
        <v>10574</v>
      </c>
      <c r="M772" s="7" t="str">
        <f>HYPERLINK("http://ms.phosphosite.org:5080/cgi-bin/plot-msms.cgi?MassType=1&amp;NumAxis=1&amp;Mod1=184&amp;Pep=RFEGPIGQAGGGGFR&amp;Dta=/var/www/html/dta/yong/23617.10700.3.dta&amp;Global_Mod=CS57.0215", "10700")</f>
        <v>10700</v>
      </c>
      <c r="N772" s="10">
        <v>51.49</v>
      </c>
      <c r="O772" s="10">
        <v>51.5</v>
      </c>
      <c r="P772" s="10">
        <v>3.1909999999999998</v>
      </c>
      <c r="Q772" s="10">
        <v>3.53</v>
      </c>
      <c r="R772" s="10">
        <v>-0.46660000000000001</v>
      </c>
      <c r="S772" s="10">
        <v>-0.56589999999999996</v>
      </c>
      <c r="T772" s="10">
        <v>0.14169999999999999</v>
      </c>
      <c r="U772" s="10">
        <v>0.25879999999999997</v>
      </c>
      <c r="V772" s="7">
        <v>1</v>
      </c>
      <c r="W772" s="7">
        <v>1</v>
      </c>
      <c r="X772" s="10">
        <v>2.4700000000000002</v>
      </c>
      <c r="Y772" s="10">
        <v>3.26</v>
      </c>
      <c r="Z772" s="11">
        <v>1000</v>
      </c>
      <c r="AA772" s="11">
        <v>1000</v>
      </c>
      <c r="AB772" s="7" t="s">
        <v>13</v>
      </c>
    </row>
    <row r="773" spans="1:28" s="12" customFormat="1">
      <c r="A773" s="9" t="s">
        <v>773</v>
      </c>
      <c r="B773" s="9" t="s">
        <v>774</v>
      </c>
      <c r="C773" s="9" t="s">
        <v>774</v>
      </c>
      <c r="D773" s="7">
        <v>833</v>
      </c>
      <c r="E773" s="9" t="s">
        <v>775</v>
      </c>
      <c r="F773" s="7" t="s">
        <v>1411</v>
      </c>
      <c r="G773" s="7">
        <v>172.9</v>
      </c>
      <c r="H773" s="9" t="s">
        <v>813</v>
      </c>
      <c r="I773" s="9" t="s">
        <v>816</v>
      </c>
      <c r="J773" s="7">
        <v>2</v>
      </c>
      <c r="K773" s="7">
        <v>767.39970000000005</v>
      </c>
      <c r="L773" s="7" t="str">
        <f>HYPERLINK("http://ms.phosphosite.org:5080/cgi-bin/plot-msms.cgi?MassType=1&amp;NumAxis=1&amp;Mod1=184&amp;Pep=RFEGPIGQAGGGGFR&amp;Dta=/var/www/html/dta/yong/23616.10612.2.dta&amp;Global_Mod=CS57.0215", "10612")</f>
        <v>10612</v>
      </c>
      <c r="M773" s="7"/>
      <c r="N773" s="10">
        <v>51.63</v>
      </c>
      <c r="O773" s="10"/>
      <c r="P773" s="10">
        <v>3.7570000000000001</v>
      </c>
      <c r="Q773" s="10"/>
      <c r="R773" s="10">
        <v>0.28699999999999998</v>
      </c>
      <c r="S773" s="10"/>
      <c r="T773" s="10">
        <v>0.36990000000000001</v>
      </c>
      <c r="U773" s="10"/>
      <c r="V773" s="7">
        <v>1</v>
      </c>
      <c r="W773" s="7"/>
      <c r="X773" s="10">
        <v>3.94</v>
      </c>
      <c r="Y773" s="10"/>
      <c r="Z773" s="11">
        <v>1000</v>
      </c>
      <c r="AA773" s="11"/>
      <c r="AB773" s="7" t="s">
        <v>13</v>
      </c>
    </row>
    <row r="774" spans="1:28" s="12" customFormat="1">
      <c r="A774" s="9" t="s">
        <v>773</v>
      </c>
      <c r="B774" s="9" t="s">
        <v>774</v>
      </c>
      <c r="C774" s="9" t="s">
        <v>774</v>
      </c>
      <c r="D774" s="7">
        <v>833</v>
      </c>
      <c r="E774" s="9" t="s">
        <v>775</v>
      </c>
      <c r="F774" s="7" t="s">
        <v>1411</v>
      </c>
      <c r="G774" s="7">
        <v>172.9</v>
      </c>
      <c r="H774" s="9" t="s">
        <v>813</v>
      </c>
      <c r="I774" s="9" t="s">
        <v>816</v>
      </c>
      <c r="J774" s="7">
        <v>2</v>
      </c>
      <c r="K774" s="7">
        <v>767.39970000000005</v>
      </c>
      <c r="L774" s="7" t="str">
        <f>HYPERLINK("http://ms.phosphosite.org:5080/cgi-bin/plot-msms.cgi?MassType=1&amp;NumAxis=1&amp;Mod1=184&amp;Pep=RFEGPIGQAGGGGFR&amp;Dta=/var/www/html/dta/yong/23616.10616.2.dta&amp;Global_Mod=CS57.0215", "10616")</f>
        <v>10616</v>
      </c>
      <c r="M774" s="7" t="str">
        <f>HYPERLINK("http://ms.phosphosite.org:5080/cgi-bin/plot-msms.cgi?MassType=1&amp;NumAxis=1&amp;Mod1=184&amp;Pep=RFEGPIGQAGGGGFR&amp;Dta=/var/www/html/dta/yong/23617.10746.2.dta&amp;Global_Mod=CS57.0215", "10746")</f>
        <v>10746</v>
      </c>
      <c r="N774" s="10">
        <v>51.65</v>
      </c>
      <c r="O774" s="10">
        <v>51.66</v>
      </c>
      <c r="P774" s="10">
        <v>3.3660000000000001</v>
      </c>
      <c r="Q774" s="10">
        <v>3.7930000000000001</v>
      </c>
      <c r="R774" s="10">
        <v>0.35709999999999997</v>
      </c>
      <c r="S774" s="10">
        <v>0.85609999999999997</v>
      </c>
      <c r="T774" s="10">
        <v>0.42849999999999999</v>
      </c>
      <c r="U774" s="10">
        <v>0.38179999999999997</v>
      </c>
      <c r="V774" s="7">
        <v>1</v>
      </c>
      <c r="W774" s="7">
        <v>1</v>
      </c>
      <c r="X774" s="10">
        <v>4.16</v>
      </c>
      <c r="Y774" s="10">
        <v>4.04</v>
      </c>
      <c r="Z774" s="11">
        <v>1000</v>
      </c>
      <c r="AA774" s="11">
        <v>1000</v>
      </c>
      <c r="AB774" s="7" t="s">
        <v>13</v>
      </c>
    </row>
    <row r="775" spans="1:28" s="13" customFormat="1">
      <c r="A775" s="13" t="s">
        <v>773</v>
      </c>
      <c r="B775" s="13" t="s">
        <v>774</v>
      </c>
      <c r="C775" s="13" t="s">
        <v>774</v>
      </c>
      <c r="D775" s="15">
        <v>833</v>
      </c>
      <c r="E775" s="13" t="s">
        <v>775</v>
      </c>
      <c r="F775" s="15" t="s">
        <v>1411</v>
      </c>
      <c r="G775" s="15">
        <v>172.9</v>
      </c>
      <c r="H775" s="13" t="s">
        <v>813</v>
      </c>
      <c r="I775" s="13" t="s">
        <v>817</v>
      </c>
      <c r="J775" s="15">
        <v>4</v>
      </c>
      <c r="K775" s="15">
        <v>598.5634</v>
      </c>
      <c r="L775" s="15" t="str">
        <f>HYPERLINK("http://ms.phosphosite.org:5080/cgi-bin/plot-msms.cgi?MassType=1&amp;NumAxis=1&amp;Mod1=184&amp;Mod15=170&amp;Pep=RFEGPIGQAGGGGFRFEGSPGLR&amp;Dta=/var/www/html/dta/yong/23616.15623.4.dta&amp;Global_Mod=CS57.0215", "15623")</f>
        <v>15623</v>
      </c>
      <c r="M775" s="15"/>
      <c r="N775" s="16">
        <v>73.34</v>
      </c>
      <c r="O775" s="16"/>
      <c r="P775" s="16">
        <v>2.734</v>
      </c>
      <c r="Q775" s="16"/>
      <c r="R775" s="16">
        <v>1.1584000000000001</v>
      </c>
      <c r="S775" s="16"/>
      <c r="T775" s="16">
        <v>5.7700000000000001E-2</v>
      </c>
      <c r="U775" s="16"/>
      <c r="V775" s="15">
        <v>1</v>
      </c>
      <c r="W775" s="15"/>
      <c r="X775" s="16">
        <v>1.63</v>
      </c>
      <c r="Y775" s="16"/>
      <c r="Z775" s="17" t="s">
        <v>1306</v>
      </c>
      <c r="AA775" s="17"/>
      <c r="AB775" s="15" t="s">
        <v>13</v>
      </c>
    </row>
    <row r="776" spans="1:28" s="13" customFormat="1">
      <c r="A776" s="13" t="s">
        <v>773</v>
      </c>
      <c r="B776" s="13" t="s">
        <v>774</v>
      </c>
      <c r="C776" s="13" t="s">
        <v>774</v>
      </c>
      <c r="D776" s="15">
        <v>833</v>
      </c>
      <c r="E776" s="13" t="s">
        <v>775</v>
      </c>
      <c r="F776" s="15" t="s">
        <v>1411</v>
      </c>
      <c r="G776" s="15">
        <v>172.9</v>
      </c>
      <c r="H776" s="13" t="s">
        <v>813</v>
      </c>
      <c r="I776" s="13" t="s">
        <v>818</v>
      </c>
      <c r="J776" s="15">
        <v>4</v>
      </c>
      <c r="K776" s="15">
        <v>602.06730000000005</v>
      </c>
      <c r="L776" s="15" t="str">
        <f>HYPERLINK("http://ms.phosphosite.org:5080/cgi-bin/plot-msms.cgi?MassType=1&amp;NumAxis=1&amp;Mod1=184&amp;Mod15=170&amp;Mod23=170&amp;Pep=RFEGPIGQAGGGGFRFEGSPGLR&amp;Dta=/var/www/html/dta/yong/23616.15640.4.dta&amp;Global_Mod=CS57.0215", "15640")</f>
        <v>15640</v>
      </c>
      <c r="M776" s="15" t="str">
        <f>HYPERLINK("http://ms.phosphosite.org:5080/cgi-bin/plot-msms.cgi?MassType=1&amp;NumAxis=1&amp;Mod1=184&amp;Mod15=170&amp;Mod23=170&amp;Pep=RFEGPIGQAGGGGFRFEGSPGLR&amp;Dta=/var/www/html/dta/yong/23617.15815.4.dta&amp;Global_Mod=CS57.0215", "15815")</f>
        <v>15815</v>
      </c>
      <c r="N776" s="16">
        <v>73.41</v>
      </c>
      <c r="O776" s="16">
        <v>73.319999999999993</v>
      </c>
      <c r="P776" s="16">
        <v>2.9969999999999999</v>
      </c>
      <c r="Q776" s="16">
        <v>2.9449999999999998</v>
      </c>
      <c r="R776" s="16">
        <v>0.59789999999999999</v>
      </c>
      <c r="S776" s="16">
        <v>0.3473</v>
      </c>
      <c r="T776" s="16">
        <v>9.9599999999999994E-2</v>
      </c>
      <c r="U776" s="16">
        <v>0.12970000000000001</v>
      </c>
      <c r="V776" s="15">
        <v>10</v>
      </c>
      <c r="W776" s="15">
        <v>2</v>
      </c>
      <c r="X776" s="16">
        <v>1.97</v>
      </c>
      <c r="Y776" s="16">
        <v>2.15</v>
      </c>
      <c r="Z776" s="17" t="s">
        <v>1307</v>
      </c>
      <c r="AA776" s="17" t="s">
        <v>1307</v>
      </c>
      <c r="AB776" s="15" t="s">
        <v>13</v>
      </c>
    </row>
    <row r="777" spans="1:28" s="13" customFormat="1">
      <c r="A777" s="13" t="s">
        <v>773</v>
      </c>
      <c r="B777" s="13" t="s">
        <v>774</v>
      </c>
      <c r="C777" s="13" t="s">
        <v>774</v>
      </c>
      <c r="D777" s="15">
        <v>833</v>
      </c>
      <c r="E777" s="13" t="s">
        <v>775</v>
      </c>
      <c r="F777" s="15" t="s">
        <v>1411</v>
      </c>
      <c r="G777" s="15">
        <v>172.9</v>
      </c>
      <c r="H777" s="13" t="s">
        <v>813</v>
      </c>
      <c r="I777" s="13" t="s">
        <v>817</v>
      </c>
      <c r="J777" s="15">
        <v>3</v>
      </c>
      <c r="K777" s="15">
        <v>797.74869999999999</v>
      </c>
      <c r="L777" s="15" t="str">
        <f>HYPERLINK("http://ms.phosphosite.org:5080/cgi-bin/plot-msms.cgi?MassType=1&amp;NumAxis=1&amp;Mod1=184&amp;Mod15=170&amp;Pep=RFEGPIGQAGGGGFRFEGSPGLR&amp;Dta=/var/www/html/dta/yong/23616.15646.3.dta&amp;Global_Mod=CS57.0215", "15646")</f>
        <v>15646</v>
      </c>
      <c r="M777" s="15"/>
      <c r="N777" s="16">
        <v>73.430000000000007</v>
      </c>
      <c r="O777" s="16"/>
      <c r="P777" s="16">
        <v>2.63</v>
      </c>
      <c r="Q777" s="16"/>
      <c r="R777" s="16">
        <v>0.19470000000000001</v>
      </c>
      <c r="S777" s="16"/>
      <c r="T777" s="16">
        <v>0.18870000000000001</v>
      </c>
      <c r="U777" s="16"/>
      <c r="V777" s="15">
        <v>5</v>
      </c>
      <c r="W777" s="15"/>
      <c r="X777" s="16">
        <v>2.35</v>
      </c>
      <c r="Y777" s="16"/>
      <c r="Z777" s="17" t="s">
        <v>1306</v>
      </c>
      <c r="AA777" s="17"/>
      <c r="AB777" s="15" t="s">
        <v>13</v>
      </c>
    </row>
    <row r="778" spans="1:28" s="12" customFormat="1">
      <c r="A778" s="9" t="s">
        <v>773</v>
      </c>
      <c r="B778" s="9" t="s">
        <v>774</v>
      </c>
      <c r="C778" s="9" t="s">
        <v>774</v>
      </c>
      <c r="D778" s="7">
        <v>833</v>
      </c>
      <c r="E778" s="9" t="s">
        <v>775</v>
      </c>
      <c r="F778" s="7" t="s">
        <v>1411</v>
      </c>
      <c r="G778" s="7">
        <v>172.9</v>
      </c>
      <c r="H778" s="9" t="s">
        <v>813</v>
      </c>
      <c r="I778" s="9" t="s">
        <v>814</v>
      </c>
      <c r="J778" s="7">
        <v>3</v>
      </c>
      <c r="K778" s="7">
        <v>845.7749</v>
      </c>
      <c r="L778" s="7" t="str">
        <f>HYPERLINK("http://ms.phosphosite.org:5080/cgi-bin/plot-msms.cgi?MassType=1&amp;NumAxis=1&amp;Mod12=184&amp;Pep=EGPPGPVGTPLRFEGPIGQAGGGGFR&amp;Dta=/var/www/html/dta/yong/23616.18720.3.dta&amp;Global_Mod=CS57.0215", "18720")</f>
        <v>18720</v>
      </c>
      <c r="M778" s="7" t="str">
        <f>HYPERLINK("http://ms.phosphosite.org:5080/cgi-bin/plot-msms.cgi?MassType=1&amp;NumAxis=1&amp;Mod12=184&amp;Pep=EGPPGPVGTPLRFEGPIGQAGGGGFR&amp;Dta=/var/www/html/dta/yong/23617.18880.3.dta&amp;Global_Mod=CS57.0215", "18880")</f>
        <v>18880</v>
      </c>
      <c r="N778" s="10">
        <v>86.46</v>
      </c>
      <c r="O778" s="10">
        <v>86.39</v>
      </c>
      <c r="P778" s="10">
        <v>3.3410000000000002</v>
      </c>
      <c r="Q778" s="10">
        <v>2.7639999999999998</v>
      </c>
      <c r="R778" s="10">
        <v>1.0435000000000001</v>
      </c>
      <c r="S778" s="10">
        <v>1.1526000000000001</v>
      </c>
      <c r="T778" s="10">
        <v>0.34510000000000002</v>
      </c>
      <c r="U778" s="10">
        <v>0.2898</v>
      </c>
      <c r="V778" s="7">
        <v>1</v>
      </c>
      <c r="W778" s="7">
        <v>2</v>
      </c>
      <c r="X778" s="10">
        <v>3.57</v>
      </c>
      <c r="Y778" s="10">
        <v>3.09</v>
      </c>
      <c r="Z778" s="11">
        <v>1000</v>
      </c>
      <c r="AA778" s="11">
        <v>1000</v>
      </c>
      <c r="AB778" s="7" t="s">
        <v>13</v>
      </c>
    </row>
    <row r="779" spans="1:28" s="12" customFormat="1">
      <c r="A779" s="9" t="s">
        <v>773</v>
      </c>
      <c r="B779" s="9" t="s">
        <v>774</v>
      </c>
      <c r="C779" s="9" t="s">
        <v>774</v>
      </c>
      <c r="D779" s="7">
        <v>833</v>
      </c>
      <c r="E779" s="9" t="s">
        <v>775</v>
      </c>
      <c r="F779" s="7" t="s">
        <v>1411</v>
      </c>
      <c r="G779" s="7">
        <v>172.9</v>
      </c>
      <c r="H779" s="9" t="s">
        <v>813</v>
      </c>
      <c r="I779" s="9" t="s">
        <v>815</v>
      </c>
      <c r="J779" s="7">
        <v>3</v>
      </c>
      <c r="K779" s="7">
        <v>894.79780000000005</v>
      </c>
      <c r="L779" s="7" t="str">
        <f>HYPERLINK("http://ms.phosphosite.org:5080/cgi-bin/plot-msms.cgi?MassType=1&amp;NumAxis=1&amp;Mod13=184&amp;Pep=FEGPPGPVGTPLRFEGPIGQAGGGGFR&amp;Dta=/var/www/html/dta/yong/23616.20465.3.dta&amp;Global_Mod=CS57.0215", "20465")</f>
        <v>20465</v>
      </c>
      <c r="M779" s="7" t="str">
        <f>HYPERLINK("http://ms.phosphosite.org:5080/cgi-bin/plot-msms.cgi?MassType=1&amp;NumAxis=1&amp;Mod13=184&amp;Pep=FEGPPGPVGTPLRFEGPIGQAGGGGFR&amp;Dta=/var/www/html/dta/yong/23617.20612.3.dta&amp;Global_Mod=CS57.0215", "20612")</f>
        <v>20612</v>
      </c>
      <c r="N779" s="10">
        <v>93.79</v>
      </c>
      <c r="O779" s="10">
        <v>93.72</v>
      </c>
      <c r="P779" s="10">
        <v>3.3490000000000002</v>
      </c>
      <c r="Q779" s="10">
        <v>4.1890000000000001</v>
      </c>
      <c r="R779" s="10">
        <v>1.2484</v>
      </c>
      <c r="S779" s="10">
        <v>1.0896999999999999</v>
      </c>
      <c r="T779" s="10">
        <v>0.29970000000000002</v>
      </c>
      <c r="U779" s="10">
        <v>0.46139999999999998</v>
      </c>
      <c r="V779" s="7">
        <v>1</v>
      </c>
      <c r="W779" s="7">
        <v>1</v>
      </c>
      <c r="X779" s="10">
        <v>3.3</v>
      </c>
      <c r="Y779" s="10">
        <v>4.49</v>
      </c>
      <c r="Z779" s="11">
        <v>1000</v>
      </c>
      <c r="AA779" s="11">
        <v>1000</v>
      </c>
      <c r="AB779" s="7" t="s">
        <v>13</v>
      </c>
    </row>
    <row r="780" spans="1:28" s="12" customFormat="1">
      <c r="A780" s="9" t="s">
        <v>773</v>
      </c>
      <c r="B780" s="9" t="s">
        <v>774</v>
      </c>
      <c r="C780" s="9" t="s">
        <v>774</v>
      </c>
      <c r="D780" s="7">
        <v>833</v>
      </c>
      <c r="E780" s="9" t="s">
        <v>775</v>
      </c>
      <c r="F780" s="7" t="s">
        <v>1411</v>
      </c>
      <c r="G780" s="7">
        <v>172.9</v>
      </c>
      <c r="H780" s="9" t="s">
        <v>813</v>
      </c>
      <c r="I780" s="9" t="s">
        <v>815</v>
      </c>
      <c r="J780" s="7">
        <v>3</v>
      </c>
      <c r="K780" s="7">
        <v>894.79780000000005</v>
      </c>
      <c r="L780" s="7" t="str">
        <f>HYPERLINK("http://ms.phosphosite.org:5080/cgi-bin/plot-msms.cgi?MassType=1&amp;NumAxis=1&amp;Mod13=184&amp;Pep=FEGPPGPVGTPLRFEGPIGQAGGGGFR&amp;Dta=/var/www/html/dta/yong/23616.20554.3.dta&amp;Global_Mod=CS57.0215", "20554")</f>
        <v>20554</v>
      </c>
      <c r="M780" s="7"/>
      <c r="N780" s="10">
        <v>94.17</v>
      </c>
      <c r="O780" s="10"/>
      <c r="P780" s="10">
        <v>2.2490000000000001</v>
      </c>
      <c r="Q780" s="10"/>
      <c r="R780" s="10">
        <v>1.2484</v>
      </c>
      <c r="S780" s="10"/>
      <c r="T780" s="10">
        <v>1.7999999999999999E-2</v>
      </c>
      <c r="U780" s="10"/>
      <c r="V780" s="7">
        <v>9</v>
      </c>
      <c r="W780" s="7"/>
      <c r="X780" s="10">
        <v>1.38</v>
      </c>
      <c r="Y780" s="10"/>
      <c r="Z780" s="11">
        <v>1000</v>
      </c>
      <c r="AA780" s="11"/>
      <c r="AB780" s="7" t="s">
        <v>13</v>
      </c>
    </row>
    <row r="781" spans="1:28" s="12" customFormat="1">
      <c r="A781" s="9" t="s">
        <v>773</v>
      </c>
      <c r="B781" s="9" t="s">
        <v>774</v>
      </c>
      <c r="C781" s="9" t="s">
        <v>774</v>
      </c>
      <c r="D781" s="7">
        <v>847</v>
      </c>
      <c r="E781" s="9" t="s">
        <v>775</v>
      </c>
      <c r="F781" s="7" t="s">
        <v>1411</v>
      </c>
      <c r="G781" s="7">
        <v>172.9</v>
      </c>
      <c r="H781" s="9" t="s">
        <v>822</v>
      </c>
      <c r="I781" s="9" t="s">
        <v>823</v>
      </c>
      <c r="J781" s="7">
        <v>3</v>
      </c>
      <c r="K781" s="7">
        <v>498.26</v>
      </c>
      <c r="L781" s="7" t="str">
        <f>HYPERLINK("http://ms.phosphosite.org:5080/cgi-bin/plot-msms.cgi?MassType=1&amp;NumAxis=1&amp;Mod7=184&amp;Pep=AGGGGFRFEGSPGLR&amp;Dta=/var/www/html/dta/yong/23616.11569.3.dta&amp;Global_Mod=CS57.0215", "11569")</f>
        <v>11569</v>
      </c>
      <c r="M781" s="7" t="str">
        <f>HYPERLINK("http://ms.phosphosite.org:5080/cgi-bin/plot-msms.cgi?MassType=1&amp;NumAxis=1&amp;Mod7=184&amp;Pep=AGGGGFRFEGSPGLR&amp;Dta=/var/www/html/dta/yong/23617.11698.3.dta&amp;Global_Mod=CS57.0215", "11698")</f>
        <v>11698</v>
      </c>
      <c r="N781" s="10">
        <v>55.71</v>
      </c>
      <c r="O781" s="10">
        <v>55.71</v>
      </c>
      <c r="P781" s="10">
        <v>3.2160000000000002</v>
      </c>
      <c r="Q781" s="10">
        <v>3.5350000000000001</v>
      </c>
      <c r="R781" s="10">
        <v>0.4405</v>
      </c>
      <c r="S781" s="10">
        <v>0.34589999999999999</v>
      </c>
      <c r="T781" s="10">
        <v>0.41560000000000002</v>
      </c>
      <c r="U781" s="10">
        <v>0.40610000000000002</v>
      </c>
      <c r="V781" s="7">
        <v>1</v>
      </c>
      <c r="W781" s="7">
        <v>1</v>
      </c>
      <c r="X781" s="10">
        <v>4.07</v>
      </c>
      <c r="Y781" s="10">
        <v>4.13</v>
      </c>
      <c r="Z781" s="11">
        <v>1000</v>
      </c>
      <c r="AA781" s="11">
        <v>1000</v>
      </c>
      <c r="AB781" s="7" t="s">
        <v>13</v>
      </c>
    </row>
    <row r="782" spans="1:28" s="12" customFormat="1">
      <c r="A782" s="9" t="s">
        <v>773</v>
      </c>
      <c r="B782" s="9" t="s">
        <v>774</v>
      </c>
      <c r="C782" s="9" t="s">
        <v>774</v>
      </c>
      <c r="D782" s="7">
        <v>847</v>
      </c>
      <c r="E782" s="9" t="s">
        <v>775</v>
      </c>
      <c r="F782" s="7" t="s">
        <v>1411</v>
      </c>
      <c r="G782" s="7">
        <v>172.9</v>
      </c>
      <c r="H782" s="9" t="s">
        <v>822</v>
      </c>
      <c r="I782" s="9" t="s">
        <v>823</v>
      </c>
      <c r="J782" s="7">
        <v>2</v>
      </c>
      <c r="K782" s="7">
        <v>746.88639999999998</v>
      </c>
      <c r="L782" s="7" t="str">
        <f>HYPERLINK("http://ms.phosphosite.org:5080/cgi-bin/plot-msms.cgi?MassType=1&amp;NumAxis=1&amp;Mod7=184&amp;Pep=AGGGGFRFEGSPGLR&amp;Dta=/var/www/html/dta/yong/23616.11607.2.dta&amp;Global_Mod=CS57.0215", "11607")</f>
        <v>11607</v>
      </c>
      <c r="M782" s="7" t="str">
        <f>HYPERLINK("http://ms.phosphosite.org:5080/cgi-bin/plot-msms.cgi?MassType=1&amp;NumAxis=1&amp;Mod7=184&amp;Pep=AGGGGFRFEGSPGLR&amp;Dta=/var/www/html/dta/yong/23617.11735.2.dta&amp;Global_Mod=CS57.0215", "11735")</f>
        <v>11735</v>
      </c>
      <c r="N782" s="10">
        <v>55.88</v>
      </c>
      <c r="O782" s="10">
        <v>55.88</v>
      </c>
      <c r="P782" s="10">
        <v>2.3359999999999999</v>
      </c>
      <c r="Q782" s="10">
        <v>2.6640000000000001</v>
      </c>
      <c r="R782" s="10">
        <v>0.18240000000000001</v>
      </c>
      <c r="S782" s="10">
        <v>0.62670000000000003</v>
      </c>
      <c r="T782" s="10">
        <v>0.1817</v>
      </c>
      <c r="U782" s="10">
        <v>0.21690000000000001</v>
      </c>
      <c r="V782" s="7">
        <v>2</v>
      </c>
      <c r="W782" s="7">
        <v>1</v>
      </c>
      <c r="X782" s="10">
        <v>2.46</v>
      </c>
      <c r="Y782" s="10">
        <v>2.78</v>
      </c>
      <c r="Z782" s="11">
        <v>1000</v>
      </c>
      <c r="AA782" s="11">
        <v>1000</v>
      </c>
      <c r="AB782" s="7" t="s">
        <v>13</v>
      </c>
    </row>
    <row r="783" spans="1:28" s="12" customFormat="1">
      <c r="A783" s="9" t="s">
        <v>773</v>
      </c>
      <c r="B783" s="9" t="s">
        <v>774</v>
      </c>
      <c r="C783" s="9" t="s">
        <v>774</v>
      </c>
      <c r="D783" s="7">
        <v>847</v>
      </c>
      <c r="E783" s="9" t="s">
        <v>775</v>
      </c>
      <c r="F783" s="7" t="s">
        <v>1411</v>
      </c>
      <c r="G783" s="7">
        <v>172.9</v>
      </c>
      <c r="H783" s="9" t="s">
        <v>822</v>
      </c>
      <c r="I783" s="9" t="s">
        <v>823</v>
      </c>
      <c r="J783" s="7">
        <v>2</v>
      </c>
      <c r="K783" s="7">
        <v>746.88639999999998</v>
      </c>
      <c r="L783" s="7"/>
      <c r="M783" s="7" t="str">
        <f>HYPERLINK("http://ms.phosphosite.org:5080/cgi-bin/plot-msms.cgi?MassType=1&amp;NumAxis=1&amp;Mod7=184&amp;Pep=AGGGGFRFEGSPGLR&amp;Dta=/var/www/html/dta/yong/23617.11753.2.dta&amp;Global_Mod=CS57.0215", "11753")</f>
        <v>11753</v>
      </c>
      <c r="N783" s="10"/>
      <c r="O783" s="10">
        <v>55.96</v>
      </c>
      <c r="P783" s="10"/>
      <c r="Q783" s="10">
        <v>2.3559999999999999</v>
      </c>
      <c r="R783" s="10"/>
      <c r="S783" s="10">
        <v>0.62670000000000003</v>
      </c>
      <c r="T783" s="10"/>
      <c r="U783" s="10">
        <v>0.1338</v>
      </c>
      <c r="V783" s="7"/>
      <c r="W783" s="7">
        <v>31</v>
      </c>
      <c r="X783" s="10"/>
      <c r="Y783" s="10">
        <v>2.2000000000000002</v>
      </c>
      <c r="Z783" s="11"/>
      <c r="AA783" s="11">
        <v>1000</v>
      </c>
      <c r="AB783" s="7" t="s">
        <v>13</v>
      </c>
    </row>
    <row r="784" spans="1:28" s="12" customFormat="1">
      <c r="A784" s="9" t="s">
        <v>773</v>
      </c>
      <c r="B784" s="9" t="s">
        <v>774</v>
      </c>
      <c r="C784" s="9" t="s">
        <v>774</v>
      </c>
      <c r="D784" s="7">
        <v>855</v>
      </c>
      <c r="E784" s="9" t="s">
        <v>775</v>
      </c>
      <c r="F784" s="7" t="s">
        <v>1411</v>
      </c>
      <c r="G784" s="7">
        <v>172.9</v>
      </c>
      <c r="H784" s="9" t="s">
        <v>827</v>
      </c>
      <c r="I784" s="9" t="s">
        <v>828</v>
      </c>
      <c r="J784" s="7">
        <v>2</v>
      </c>
      <c r="K784" s="7">
        <v>817.91229999999996</v>
      </c>
      <c r="L784" s="7" t="str">
        <f>HYPERLINK("http://ms.phosphosite.org:5080/cgi-bin/plot-msms.cgi?MassType=1&amp;NumAxis=1&amp;Mod8=184&amp;Pep=FEGSPGLRFEGSPGGL&amp;Dta=/var/www/html/dta/yong/23616.17945.2.dta&amp;Global_Mod=CS57.0215", "17945")</f>
        <v>17945</v>
      </c>
      <c r="M784" s="7" t="str">
        <f>HYPERLINK("http://ms.phosphosite.org:5080/cgi-bin/plot-msms.cgi?MassType=1&amp;NumAxis=1&amp;Mod8=184&amp;Pep=FEGSPGLRFEGSPGGL&amp;Dta=/var/www/html/dta/yong/23617.18114.2.dta&amp;Global_Mod=CS57.0215", "18114")</f>
        <v>18114</v>
      </c>
      <c r="N784" s="10">
        <v>83.05</v>
      </c>
      <c r="O784" s="10">
        <v>82.95</v>
      </c>
      <c r="P784" s="10">
        <v>2.677</v>
      </c>
      <c r="Q784" s="10">
        <v>2.65</v>
      </c>
      <c r="R784" s="10">
        <v>0.67430000000000001</v>
      </c>
      <c r="S784" s="10">
        <v>1.2063999999999999</v>
      </c>
      <c r="T784" s="10">
        <v>0.2742</v>
      </c>
      <c r="U784" s="10">
        <v>0.1404</v>
      </c>
      <c r="V784" s="7">
        <v>3</v>
      </c>
      <c r="W784" s="7">
        <v>2</v>
      </c>
      <c r="X784" s="10">
        <v>3.07</v>
      </c>
      <c r="Y784" s="10">
        <v>2.2999999999999998</v>
      </c>
      <c r="Z784" s="11">
        <v>1000</v>
      </c>
      <c r="AA784" s="11">
        <v>1000</v>
      </c>
      <c r="AB784" s="7" t="s">
        <v>13</v>
      </c>
    </row>
    <row r="785" spans="1:28" s="12" customFormat="1">
      <c r="A785" s="9" t="s">
        <v>773</v>
      </c>
      <c r="B785" s="9" t="s">
        <v>774</v>
      </c>
      <c r="C785" s="9" t="s">
        <v>774</v>
      </c>
      <c r="D785" s="7">
        <v>855</v>
      </c>
      <c r="E785" s="9" t="s">
        <v>775</v>
      </c>
      <c r="F785" s="7" t="s">
        <v>1411</v>
      </c>
      <c r="G785" s="7">
        <v>172.9</v>
      </c>
      <c r="H785" s="9" t="s">
        <v>827</v>
      </c>
      <c r="I785" s="9" t="s">
        <v>828</v>
      </c>
      <c r="J785" s="7">
        <v>2</v>
      </c>
      <c r="K785" s="7">
        <v>817.91229999999996</v>
      </c>
      <c r="L785" s="7" t="str">
        <f>HYPERLINK("http://ms.phosphosite.org:5080/cgi-bin/plot-msms.cgi?MassType=1&amp;NumAxis=1&amp;Mod8=184&amp;Pep=FEGSPGLRFEGSPGGL&amp;Dta=/var/www/html/dta/yong/23616.17961.2.dta&amp;Global_Mod=CS57.0215", "17961")</f>
        <v>17961</v>
      </c>
      <c r="M785" s="7"/>
      <c r="N785" s="10">
        <v>83.12</v>
      </c>
      <c r="O785" s="10"/>
      <c r="P785" s="10">
        <v>2.1419999999999999</v>
      </c>
      <c r="Q785" s="10"/>
      <c r="R785" s="10">
        <v>0.67430000000000001</v>
      </c>
      <c r="S785" s="10"/>
      <c r="T785" s="10">
        <v>0.19189999999999999</v>
      </c>
      <c r="U785" s="10"/>
      <c r="V785" s="7">
        <v>3</v>
      </c>
      <c r="W785" s="7"/>
      <c r="X785" s="10">
        <v>2.4500000000000002</v>
      </c>
      <c r="Y785" s="10"/>
      <c r="Z785" s="11">
        <v>1000</v>
      </c>
      <c r="AA785" s="11"/>
      <c r="AB785" s="7" t="s">
        <v>13</v>
      </c>
    </row>
    <row r="786" spans="1:28" s="12" customFormat="1">
      <c r="A786" s="9" t="s">
        <v>773</v>
      </c>
      <c r="B786" s="9" t="s">
        <v>774</v>
      </c>
      <c r="C786" s="9" t="s">
        <v>774</v>
      </c>
      <c r="D786" s="7">
        <v>955</v>
      </c>
      <c r="E786" s="9" t="s">
        <v>775</v>
      </c>
      <c r="F786" s="7" t="s">
        <v>1411</v>
      </c>
      <c r="G786" s="7">
        <v>172.9</v>
      </c>
      <c r="H786" s="9" t="s">
        <v>848</v>
      </c>
      <c r="I786" s="9" t="s">
        <v>849</v>
      </c>
      <c r="J786" s="7">
        <v>3</v>
      </c>
      <c r="K786" s="7">
        <v>513.61109999999996</v>
      </c>
      <c r="L786" s="7" t="str">
        <f>HYPERLINK("http://ms.phosphosite.org:5080/cgi-bin/plot-msms.cgi?MassType=1&amp;NumAxis=1&amp;Mod1=184&amp;Pep=RFEGPHGQSVAGLR&amp;Dta=/var/www/html/dta/yong/23616.6721.3.dta&amp;Global_Mod=CS57.0215", "6721")</f>
        <v>6721</v>
      </c>
      <c r="M786" s="7"/>
      <c r="N786" s="10">
        <v>35.28</v>
      </c>
      <c r="O786" s="10"/>
      <c r="P786" s="10">
        <v>2.7050000000000001</v>
      </c>
      <c r="Q786" s="10"/>
      <c r="R786" s="10">
        <v>0.9768</v>
      </c>
      <c r="S786" s="10"/>
      <c r="T786" s="10">
        <v>6.5100000000000005E-2</v>
      </c>
      <c r="U786" s="10"/>
      <c r="V786" s="7">
        <v>2</v>
      </c>
      <c r="W786" s="7"/>
      <c r="X786" s="10">
        <v>1.92</v>
      </c>
      <c r="Y786" s="10"/>
      <c r="Z786" s="11">
        <v>1000</v>
      </c>
      <c r="AA786" s="11"/>
      <c r="AB786" s="7" t="s">
        <v>13</v>
      </c>
    </row>
    <row r="787" spans="1:28" s="12" customFormat="1">
      <c r="A787" s="9" t="s">
        <v>773</v>
      </c>
      <c r="B787" s="9" t="s">
        <v>774</v>
      </c>
      <c r="C787" s="9" t="s">
        <v>774</v>
      </c>
      <c r="D787" s="7" t="s">
        <v>781</v>
      </c>
      <c r="E787" s="9" t="s">
        <v>775</v>
      </c>
      <c r="F787" s="7" t="s">
        <v>1411</v>
      </c>
      <c r="G787" s="7">
        <v>172.9</v>
      </c>
      <c r="H787" s="9" t="s">
        <v>778</v>
      </c>
      <c r="I787" s="9" t="s">
        <v>782</v>
      </c>
      <c r="J787" s="7">
        <v>4</v>
      </c>
      <c r="K787" s="7">
        <v>766.14930000000004</v>
      </c>
      <c r="L787" s="7" t="str">
        <f>HYPERLINK("http://ms.phosphosite.org:5080/cgi-bin/plot-msms.cgi?MassType=1&amp;NumAxis=1&amp;Mod24=184&amp;Mod27=184&amp;Pep=FDGQPGQPSLLPRFDGLHGQPGPRFER&amp;Dta=/var/www/html/dta/yong/23616.16938.4.dta&amp;Global_Mod=CS57.0215", "16938")</f>
        <v>16938</v>
      </c>
      <c r="M787" s="7"/>
      <c r="N787" s="10">
        <v>78.900000000000006</v>
      </c>
      <c r="O787" s="10"/>
      <c r="P787" s="10">
        <v>1.9259999999999999</v>
      </c>
      <c r="Q787" s="10"/>
      <c r="R787" s="10">
        <v>1.2494000000000001</v>
      </c>
      <c r="S787" s="10"/>
      <c r="T787" s="10">
        <v>0.16439999999999999</v>
      </c>
      <c r="U787" s="10"/>
      <c r="V787" s="7">
        <v>101</v>
      </c>
      <c r="W787" s="7"/>
      <c r="X787" s="10">
        <v>1.92</v>
      </c>
      <c r="Y787" s="10"/>
      <c r="Z787" s="11" t="s">
        <v>1306</v>
      </c>
      <c r="AA787" s="11"/>
      <c r="AB787" s="7" t="s">
        <v>13</v>
      </c>
    </row>
    <row r="788" spans="1:28" s="12" customFormat="1">
      <c r="A788" s="9" t="s">
        <v>773</v>
      </c>
      <c r="B788" s="9" t="s">
        <v>774</v>
      </c>
      <c r="C788" s="9" t="s">
        <v>774</v>
      </c>
      <c r="D788" s="7" t="s">
        <v>788</v>
      </c>
      <c r="E788" s="9" t="s">
        <v>775</v>
      </c>
      <c r="F788" s="7" t="s">
        <v>1411</v>
      </c>
      <c r="G788" s="7">
        <v>172.9</v>
      </c>
      <c r="H788" s="9" t="s">
        <v>789</v>
      </c>
      <c r="I788" s="9" t="s">
        <v>790</v>
      </c>
      <c r="J788" s="7">
        <v>3</v>
      </c>
      <c r="K788" s="7">
        <v>1069.1817000000001</v>
      </c>
      <c r="L788" s="7" t="str">
        <f>HYPERLINK("http://ms.phosphosite.org:5080/cgi-bin/plot-msms.cgi?MassType=1&amp;NumAxis=1&amp;Mod8=147&amp;Mod15=184&amp;Mod30=184&amp;Pep=FDGSPGQMGGGGPLRFEGPQGQLGGGCPLRF&amp;Dta=/var/www/html/dta/yong/23616.21279.3.dta&amp;Global_Mod=CS57.0215", "21279")</f>
        <v>21279</v>
      </c>
      <c r="M788" s="7" t="str">
        <f>HYPERLINK("http://ms.phosphosite.org:5080/cgi-bin/plot-msms.cgi?MassType=1&amp;NumAxis=1&amp;Mod8=147&amp;Mod15=184&amp;Mod30=184&amp;Pep=FDGSPGQMGGGGPLRFEGPQGQLGGGCPLRF&amp;Dta=/var/www/html/dta/yong/23617.21428.3.dta&amp;Global_Mod=CS57.0215", "21428")</f>
        <v>21428</v>
      </c>
      <c r="N788" s="10">
        <v>97.21</v>
      </c>
      <c r="O788" s="10">
        <v>97.14</v>
      </c>
      <c r="P788" s="10">
        <v>5.0819999999999999</v>
      </c>
      <c r="Q788" s="10">
        <v>5.2030000000000003</v>
      </c>
      <c r="R788" s="10">
        <v>1.3732</v>
      </c>
      <c r="S788" s="10">
        <v>1.3624000000000001</v>
      </c>
      <c r="T788" s="10">
        <v>0.46710000000000002</v>
      </c>
      <c r="U788" s="10">
        <v>0.44790000000000002</v>
      </c>
      <c r="V788" s="7">
        <v>1</v>
      </c>
      <c r="W788" s="7">
        <v>1</v>
      </c>
      <c r="X788" s="10">
        <v>4.5199999999999996</v>
      </c>
      <c r="Y788" s="10">
        <v>4.49</v>
      </c>
      <c r="Z788" s="11" t="s">
        <v>1306</v>
      </c>
      <c r="AA788" s="11" t="s">
        <v>1306</v>
      </c>
      <c r="AB788" s="7" t="s">
        <v>13</v>
      </c>
    </row>
    <row r="789" spans="1:28" s="12" customFormat="1">
      <c r="A789" s="9" t="s">
        <v>773</v>
      </c>
      <c r="B789" s="9" t="s">
        <v>774</v>
      </c>
      <c r="C789" s="9" t="s">
        <v>774</v>
      </c>
      <c r="D789" s="7" t="s">
        <v>788</v>
      </c>
      <c r="E789" s="9" t="s">
        <v>775</v>
      </c>
      <c r="F789" s="7" t="s">
        <v>1411</v>
      </c>
      <c r="G789" s="7">
        <v>172.9</v>
      </c>
      <c r="H789" s="9" t="s">
        <v>789</v>
      </c>
      <c r="I789" s="9" t="s">
        <v>790</v>
      </c>
      <c r="J789" s="7">
        <v>3</v>
      </c>
      <c r="K789" s="7">
        <v>1069.1817000000001</v>
      </c>
      <c r="L789" s="7" t="str">
        <f>HYPERLINK("http://ms.phosphosite.org:5080/cgi-bin/plot-msms.cgi?MassType=1&amp;NumAxis=1&amp;Mod8=147&amp;Mod15=184&amp;Mod30=184&amp;Pep=FDGSPGQMGGGGPLRFEGPQGQLGGGCPLRF&amp;Dta=/var/www/html/dta/yong/23616.21290.3.dta&amp;Global_Mod=CS57.0215", "21290")</f>
        <v>21290</v>
      </c>
      <c r="M789" s="7" t="str">
        <f>HYPERLINK("http://ms.phosphosite.org:5080/cgi-bin/plot-msms.cgi?MassType=1&amp;NumAxis=1&amp;Mod8=147&amp;Mod15=184&amp;Mod30=184&amp;Pep=FDGSPGQMGGGGPLRFEGPQGQLGGGCPLRF&amp;Dta=/var/www/html/dta/yong/23617.21446.3.dta&amp;Global_Mod=CS57.0215", "21446")</f>
        <v>21446</v>
      </c>
      <c r="N789" s="10">
        <v>97.26</v>
      </c>
      <c r="O789" s="10">
        <v>97.22</v>
      </c>
      <c r="P789" s="10">
        <v>4.7640000000000002</v>
      </c>
      <c r="Q789" s="10">
        <v>4.6420000000000003</v>
      </c>
      <c r="R789" s="10">
        <v>1.5489999999999999</v>
      </c>
      <c r="S789" s="10">
        <v>1.3624000000000001</v>
      </c>
      <c r="T789" s="10">
        <v>0.45679999999999998</v>
      </c>
      <c r="U789" s="10">
        <v>0.45700000000000002</v>
      </c>
      <c r="V789" s="7">
        <v>1</v>
      </c>
      <c r="W789" s="7">
        <v>1</v>
      </c>
      <c r="X789" s="10">
        <v>4.3600000000000003</v>
      </c>
      <c r="Y789" s="10">
        <v>4.37</v>
      </c>
      <c r="Z789" s="11" t="s">
        <v>1306</v>
      </c>
      <c r="AA789" s="11" t="s">
        <v>1306</v>
      </c>
      <c r="AB789" s="7" t="s">
        <v>13</v>
      </c>
    </row>
    <row r="790" spans="1:28" s="12" customFormat="1">
      <c r="A790" s="9" t="s">
        <v>773</v>
      </c>
      <c r="B790" s="9" t="s">
        <v>774</v>
      </c>
      <c r="C790" s="9" t="s">
        <v>774</v>
      </c>
      <c r="D790" s="7" t="s">
        <v>788</v>
      </c>
      <c r="E790" s="9" t="s">
        <v>775</v>
      </c>
      <c r="F790" s="7" t="s">
        <v>1411</v>
      </c>
      <c r="G790" s="7">
        <v>172.9</v>
      </c>
      <c r="H790" s="9" t="s">
        <v>789</v>
      </c>
      <c r="I790" s="9" t="s">
        <v>791</v>
      </c>
      <c r="J790" s="7">
        <v>3</v>
      </c>
      <c r="K790" s="7">
        <v>1403.0210999999999</v>
      </c>
      <c r="L790" s="7" t="str">
        <f>HYPERLINK("http://ms.phosphosite.org:5080/cgi-bin/plot-msms.cgi?MassType=1&amp;NumAxis=1&amp;Mod8=147&amp;Mod15=184&amp;Mod30=184&amp;Pep=FDGSPGQMGGGGPLRFEGPQGQLGGGCPLRFEGPPGPVGTPL&amp;Dta=/var/www/html/dta/yong/23616.24032.3.dta&amp;Global_Mod=CS57.0215", "24032")</f>
        <v>24032</v>
      </c>
      <c r="M790" s="7" t="str">
        <f>HYPERLINK("http://ms.phosphosite.org:5080/cgi-bin/plot-msms.cgi?MassType=1&amp;NumAxis=1&amp;Mod8=147&amp;Mod15=184&amp;Mod30=184&amp;Pep=FDGSPGQMGGGGPLRFEGPQGQLGGGCPLRFEGPPGPVGTPL&amp;Dta=/var/www/html/dta/yong/23617.24153.3.dta&amp;Global_Mod=CS57.0215", "24153")</f>
        <v>24153</v>
      </c>
      <c r="N790" s="10">
        <v>108.29</v>
      </c>
      <c r="O790" s="10">
        <v>108.2</v>
      </c>
      <c r="P790" s="10">
        <v>3.4820000000000002</v>
      </c>
      <c r="Q790" s="10">
        <v>3.5779999999999998</v>
      </c>
      <c r="R790" s="10">
        <v>1.6693</v>
      </c>
      <c r="S790" s="10">
        <v>4.0068999999999999</v>
      </c>
      <c r="T790" s="10">
        <v>0.2089</v>
      </c>
      <c r="U790" s="10">
        <v>0.2082</v>
      </c>
      <c r="V790" s="7">
        <v>1</v>
      </c>
      <c r="W790" s="7">
        <v>1</v>
      </c>
      <c r="X790" s="10">
        <v>2.48</v>
      </c>
      <c r="Y790" s="10">
        <v>2.4</v>
      </c>
      <c r="Z790" s="11" t="s">
        <v>1306</v>
      </c>
      <c r="AA790" s="11" t="s">
        <v>1306</v>
      </c>
      <c r="AB790" s="7" t="s">
        <v>13</v>
      </c>
    </row>
    <row r="791" spans="1:28" s="12" customFormat="1">
      <c r="A791" s="9" t="s">
        <v>773</v>
      </c>
      <c r="B791" s="9" t="s">
        <v>774</v>
      </c>
      <c r="C791" s="9" t="s">
        <v>774</v>
      </c>
      <c r="D791" s="7" t="s">
        <v>788</v>
      </c>
      <c r="E791" s="9" t="s">
        <v>775</v>
      </c>
      <c r="F791" s="7" t="s">
        <v>1411</v>
      </c>
      <c r="G791" s="7">
        <v>172.9</v>
      </c>
      <c r="H791" s="9" t="s">
        <v>789</v>
      </c>
      <c r="I791" s="9" t="s">
        <v>790</v>
      </c>
      <c r="J791" s="7">
        <v>3</v>
      </c>
      <c r="K791" s="7">
        <v>1069.1817000000001</v>
      </c>
      <c r="L791" s="7"/>
      <c r="M791" s="7" t="str">
        <f>HYPERLINK("http://ms.phosphosite.org:5080/cgi-bin/plot-msms.cgi?MassType=1&amp;NumAxis=1&amp;Mod8=147&amp;Mod15=184&amp;Mod30=184&amp;Pep=FDGSPGQMGGGGPLRFEGPQGQLGGGCPLRF&amp;Dta=/var/www/html/dta/yong/23617.21513.3.dta&amp;Global_Mod=CS57.0215", "21513")</f>
        <v>21513</v>
      </c>
      <c r="N791" s="10"/>
      <c r="O791" s="10">
        <v>97.49</v>
      </c>
      <c r="P791" s="10"/>
      <c r="Q791" s="10">
        <v>4.1580000000000004</v>
      </c>
      <c r="R791" s="10"/>
      <c r="S791" s="10">
        <v>1.3624000000000001</v>
      </c>
      <c r="T791" s="10"/>
      <c r="U791" s="10">
        <v>0.20050000000000001</v>
      </c>
      <c r="V791" s="7"/>
      <c r="W791" s="7">
        <v>1</v>
      </c>
      <c r="X791" s="10"/>
      <c r="Y791" s="10">
        <v>2.77</v>
      </c>
      <c r="Z791" s="11"/>
      <c r="AA791" s="11" t="s">
        <v>1306</v>
      </c>
      <c r="AB791" s="7" t="s">
        <v>13</v>
      </c>
    </row>
    <row r="792" spans="1:28" s="13" customFormat="1">
      <c r="A792" s="13" t="s">
        <v>773</v>
      </c>
      <c r="B792" s="13" t="s">
        <v>774</v>
      </c>
      <c r="C792" s="13" t="s">
        <v>774</v>
      </c>
      <c r="D792" s="15" t="s">
        <v>788</v>
      </c>
      <c r="E792" s="13" t="s">
        <v>775</v>
      </c>
      <c r="F792" s="15" t="s">
        <v>1411</v>
      </c>
      <c r="G792" s="15">
        <v>172.9</v>
      </c>
      <c r="H792" s="13" t="s">
        <v>789</v>
      </c>
      <c r="I792" s="13" t="s">
        <v>792</v>
      </c>
      <c r="J792" s="15">
        <v>5</v>
      </c>
      <c r="K792" s="15">
        <v>890.46249999999998</v>
      </c>
      <c r="L792" s="15"/>
      <c r="M792" s="15" t="str">
        <f>HYPERLINK("http://ms.phosphosite.org:5080/cgi-bin/plot-msms.cgi?MassType=1&amp;NumAxis=1&amp;Mod1=184&amp;Mod16=184&amp;Mod29=170&amp;Mod43=170&amp;Pep=RFEGPQGQLGGGCPLRFEGPPGPVGTPLRFEGPIGQAGGGGFR&amp;Dta=/var/www/html/dta/yong/23617.21811.5.dta&amp;Global_Mod=CS57.0215", "21811")</f>
        <v>21811</v>
      </c>
      <c r="N792" s="16"/>
      <c r="O792" s="16">
        <v>98.66</v>
      </c>
      <c r="P792" s="16"/>
      <c r="Q792" s="16">
        <v>3.1139999999999999</v>
      </c>
      <c r="R792" s="16"/>
      <c r="S792" s="16">
        <v>1.0848</v>
      </c>
      <c r="T792" s="16"/>
      <c r="U792" s="16">
        <v>9.5699999999999993E-2</v>
      </c>
      <c r="V792" s="15"/>
      <c r="W792" s="15">
        <v>2</v>
      </c>
      <c r="X792" s="16"/>
      <c r="Y792" s="16">
        <v>1.6</v>
      </c>
      <c r="Z792" s="17"/>
      <c r="AA792" s="17" t="s">
        <v>1305</v>
      </c>
      <c r="AB792" s="15" t="s">
        <v>13</v>
      </c>
    </row>
    <row r="793" spans="1:28" s="12" customFormat="1">
      <c r="A793" s="9" t="s">
        <v>773</v>
      </c>
      <c r="B793" s="9" t="s">
        <v>774</v>
      </c>
      <c r="C793" s="9" t="s">
        <v>774</v>
      </c>
      <c r="D793" s="7" t="s">
        <v>807</v>
      </c>
      <c r="E793" s="9" t="s">
        <v>775</v>
      </c>
      <c r="F793" s="7" t="s">
        <v>1411</v>
      </c>
      <c r="G793" s="7">
        <v>172.9</v>
      </c>
      <c r="H793" s="9" t="s">
        <v>808</v>
      </c>
      <c r="I793" s="9" t="s">
        <v>810</v>
      </c>
      <c r="J793" s="7">
        <v>4</v>
      </c>
      <c r="K793" s="7">
        <v>935.24699999999996</v>
      </c>
      <c r="L793" s="7"/>
      <c r="M793" s="7" t="str">
        <f>HYPERLINK("http://ms.phosphosite.org:5080/cgi-bin/plot-msms.cgi?MassType=1&amp;NumAxis=1&amp;Mod1=184&amp;Mod14=184&amp;Mod28=184&amp;Pep=RFEGPPGPVGTPLRFEGPIGQAGGGGFRFEGSPGLR&amp;Dta=/var/www/html/dta/yong/23617.20729.4.dta&amp;Global_Mod=CS57.0215", "20729")</f>
        <v>20729</v>
      </c>
      <c r="N793" s="10"/>
      <c r="O793" s="10">
        <v>94.23</v>
      </c>
      <c r="P793" s="10"/>
      <c r="Q793" s="10">
        <v>3.4329999999999998</v>
      </c>
      <c r="R793" s="10"/>
      <c r="S793" s="10">
        <v>1.3006</v>
      </c>
      <c r="T793" s="10"/>
      <c r="U793" s="10">
        <v>0.22869999999999999</v>
      </c>
      <c r="V793" s="7"/>
      <c r="W793" s="7">
        <v>19</v>
      </c>
      <c r="X793" s="10"/>
      <c r="Y793" s="10">
        <v>2.4900000000000002</v>
      </c>
      <c r="Z793" s="11"/>
      <c r="AA793" s="11" t="s">
        <v>1307</v>
      </c>
      <c r="AB793" s="7" t="s">
        <v>13</v>
      </c>
    </row>
    <row r="794" spans="1:28" s="12" customFormat="1">
      <c r="A794" s="9" t="s">
        <v>773</v>
      </c>
      <c r="B794" s="9" t="s">
        <v>774</v>
      </c>
      <c r="C794" s="9" t="s">
        <v>774</v>
      </c>
      <c r="D794" s="7" t="s">
        <v>807</v>
      </c>
      <c r="E794" s="9" t="s">
        <v>775</v>
      </c>
      <c r="F794" s="7" t="s">
        <v>1411</v>
      </c>
      <c r="G794" s="7">
        <v>172.9</v>
      </c>
      <c r="H794" s="9" t="s">
        <v>808</v>
      </c>
      <c r="I794" s="9" t="s">
        <v>809</v>
      </c>
      <c r="J794" s="7">
        <v>5</v>
      </c>
      <c r="K794" s="7">
        <v>879.26229999999998</v>
      </c>
      <c r="L794" s="7"/>
      <c r="M794" s="7" t="str">
        <f>HYPERLINK("http://ms.phosphosite.org:5080/cgi-bin/plot-msms.cgi?MassType=1&amp;NumAxis=1&amp;Mod8=184&amp;Mod21=184&amp;Mod35=184&amp;Pep=LGGGCPLRFEGPPGPVGTPLRFEGPIGQAGGGGFRFEGSPGLR&amp;Dta=/var/www/html/dta/yong/23617.23133.5.dta&amp;Global_Mod=CS57.0215", "23133")</f>
        <v>23133</v>
      </c>
      <c r="N794" s="10"/>
      <c r="O794" s="10">
        <v>104.03</v>
      </c>
      <c r="P794" s="10"/>
      <c r="Q794" s="10">
        <v>3.5059999999999998</v>
      </c>
      <c r="R794" s="10"/>
      <c r="S794" s="10">
        <v>0.58960000000000001</v>
      </c>
      <c r="T794" s="10"/>
      <c r="U794" s="10">
        <v>0.26350000000000001</v>
      </c>
      <c r="V794" s="7"/>
      <c r="W794" s="7">
        <v>1</v>
      </c>
      <c r="X794" s="10"/>
      <c r="Y794" s="10">
        <v>2.69</v>
      </c>
      <c r="Z794" s="11"/>
      <c r="AA794" s="11" t="s">
        <v>1307</v>
      </c>
      <c r="AB794" s="7" t="s">
        <v>13</v>
      </c>
    </row>
    <row r="795" spans="1:28" s="12" customFormat="1">
      <c r="A795" s="9" t="s">
        <v>773</v>
      </c>
      <c r="B795" s="9" t="s">
        <v>774</v>
      </c>
      <c r="C795" s="9" t="s">
        <v>774</v>
      </c>
      <c r="D795" s="7" t="s">
        <v>835</v>
      </c>
      <c r="E795" s="9" t="s">
        <v>775</v>
      </c>
      <c r="F795" s="7" t="s">
        <v>1411</v>
      </c>
      <c r="G795" s="7">
        <v>172.9</v>
      </c>
      <c r="H795" s="9" t="s">
        <v>836</v>
      </c>
      <c r="I795" s="9" t="s">
        <v>837</v>
      </c>
      <c r="J795" s="7">
        <v>4</v>
      </c>
      <c r="K795" s="7">
        <v>931.9828</v>
      </c>
      <c r="L795" s="7" t="str">
        <f>HYPERLINK("http://ms.phosphosite.org:5080/cgi-bin/plot-msms.cgi?MassType=1&amp;NumAxis=1&amp;Mod8=184&amp;Mod17=184&amp;Mod30=184&amp;Pep=FEGSPGLRFEGSPGGLRFEGPGGQPVGGLRFEGHR&amp;Dta=/var/www/html/dta/yong/23616.18017.4.dta&amp;Global_Mod=CS57.0215", "18017")</f>
        <v>18017</v>
      </c>
      <c r="M795" s="7"/>
      <c r="N795" s="10">
        <v>83.36</v>
      </c>
      <c r="O795" s="10"/>
      <c r="P795" s="10">
        <v>3.004</v>
      </c>
      <c r="Q795" s="10"/>
      <c r="R795" s="10">
        <v>1.768</v>
      </c>
      <c r="S795" s="10"/>
      <c r="T795" s="10">
        <v>7.6999999999999999E-2</v>
      </c>
      <c r="U795" s="10"/>
      <c r="V795" s="7">
        <v>57</v>
      </c>
      <c r="W795" s="7"/>
      <c r="X795" s="10">
        <v>1.47</v>
      </c>
      <c r="Y795" s="10"/>
      <c r="Z795" s="11" t="s">
        <v>1307</v>
      </c>
      <c r="AA795" s="11"/>
      <c r="AB795" s="7" t="s">
        <v>13</v>
      </c>
    </row>
    <row r="796" spans="1:28" s="12" customFormat="1">
      <c r="A796" s="9" t="s">
        <v>773</v>
      </c>
      <c r="B796" s="9" t="s">
        <v>774</v>
      </c>
      <c r="C796" s="9" t="s">
        <v>774</v>
      </c>
      <c r="D796" s="7" t="s">
        <v>852</v>
      </c>
      <c r="E796" s="9" t="s">
        <v>775</v>
      </c>
      <c r="F796" s="7" t="s">
        <v>1411</v>
      </c>
      <c r="G796" s="7">
        <v>172.9</v>
      </c>
      <c r="H796" s="9" t="s">
        <v>853</v>
      </c>
      <c r="I796" s="9" t="s">
        <v>855</v>
      </c>
      <c r="J796" s="7">
        <v>5</v>
      </c>
      <c r="K796" s="7">
        <v>846.84870000000001</v>
      </c>
      <c r="L796" s="7" t="str">
        <f>HYPERLINK("http://ms.phosphosite.org:5080/cgi-bin/plot-msms.cgi?MassType=1&amp;NumAxis=1&amp;Mod2=184&amp;Mod15=184&amp;Mod27=147&amp;Mod28=184&amp;Pep=LRFEGPHGQPGVGIRFEGPLVQQGGGMRFEGPSVPGGGLR&amp;Dta=/var/www/html/dta/yong/23616.18217.5.dta&amp;Global_Mod=CS57.0215", "18217")</f>
        <v>18217</v>
      </c>
      <c r="M796" s="7" t="str">
        <f>HYPERLINK("http://ms.phosphosite.org:5080/cgi-bin/plot-msms.cgi?MassType=1&amp;NumAxis=1&amp;Mod2=184&amp;Mod15=184&amp;Mod27=147&amp;Mod28=184&amp;Pep=LRFEGPHGQPGVGIRFEGPLVQQGGGMRFEGPSVPGGGLR&amp;Dta=/var/www/html/dta/yong/23617.18401.5.dta&amp;Global_Mod=CS57.0215", "18401")</f>
        <v>18401</v>
      </c>
      <c r="N796" s="10">
        <v>84.23</v>
      </c>
      <c r="O796" s="10">
        <v>84.23</v>
      </c>
      <c r="P796" s="10">
        <v>3.16</v>
      </c>
      <c r="Q796" s="10">
        <v>2.9369999999999998</v>
      </c>
      <c r="R796" s="10">
        <v>1.3737999999999999</v>
      </c>
      <c r="S796" s="10">
        <v>1.5001</v>
      </c>
      <c r="T796" s="10">
        <v>0.1099</v>
      </c>
      <c r="U796" s="10">
        <v>0.1825</v>
      </c>
      <c r="V796" s="7">
        <v>2</v>
      </c>
      <c r="W796" s="7">
        <v>2</v>
      </c>
      <c r="X796" s="10">
        <v>1.71</v>
      </c>
      <c r="Y796" s="10">
        <v>2.04</v>
      </c>
      <c r="Z796" s="11" t="s">
        <v>1307</v>
      </c>
      <c r="AA796" s="11" t="s">
        <v>1307</v>
      </c>
      <c r="AB796" s="7" t="s">
        <v>13</v>
      </c>
    </row>
    <row r="797" spans="1:28" s="12" customFormat="1">
      <c r="A797" s="9" t="s">
        <v>773</v>
      </c>
      <c r="B797" s="9" t="s">
        <v>774</v>
      </c>
      <c r="C797" s="9" t="s">
        <v>774</v>
      </c>
      <c r="D797" s="7" t="s">
        <v>852</v>
      </c>
      <c r="E797" s="9" t="s">
        <v>775</v>
      </c>
      <c r="F797" s="7" t="s">
        <v>1411</v>
      </c>
      <c r="G797" s="7">
        <v>172.9</v>
      </c>
      <c r="H797" s="9" t="s">
        <v>853</v>
      </c>
      <c r="I797" s="9" t="s">
        <v>854</v>
      </c>
      <c r="J797" s="7">
        <v>7</v>
      </c>
      <c r="K797" s="7">
        <v>773.96849999999995</v>
      </c>
      <c r="L797" s="7"/>
      <c r="M797" s="7" t="str">
        <f>HYPERLINK("http://ms.phosphosite.org:5080/cgi-bin/plot-msms.cgi?MassType=1&amp;NumAxis=1&amp;Mod13=184&amp;Mod26=184&amp;Mod38=147&amp;Mod39=184&amp;Pep=FEGQHNQLGGNLRFEGPHGQPGVGIRFEGPLVQQGGGMRFEGPSVPGGGLR&amp;Dta=/var/www/html/dta/yong/23617.19053.7.dta&amp;Global_Mod=CS57.0215", "19053")</f>
        <v>19053</v>
      </c>
      <c r="N797" s="10"/>
      <c r="O797" s="10">
        <v>87.13</v>
      </c>
      <c r="P797" s="10"/>
      <c r="Q797" s="10">
        <v>2.7549999999999999</v>
      </c>
      <c r="R797" s="10"/>
      <c r="S797" s="10">
        <v>0.23569999999999999</v>
      </c>
      <c r="T797" s="10"/>
      <c r="U797" s="10">
        <v>0.1017</v>
      </c>
      <c r="V797" s="7"/>
      <c r="W797" s="7">
        <v>1</v>
      </c>
      <c r="X797" s="10"/>
      <c r="Y797" s="10">
        <v>1.49</v>
      </c>
      <c r="Z797" s="11"/>
      <c r="AA797" s="11" t="s">
        <v>1307</v>
      </c>
      <c r="AB797" s="7" t="s">
        <v>13</v>
      </c>
    </row>
    <row r="798" spans="1:28" s="13" customFormat="1">
      <c r="A798" s="13" t="s">
        <v>773</v>
      </c>
      <c r="B798" s="13" t="s">
        <v>774</v>
      </c>
      <c r="C798" s="13" t="s">
        <v>774</v>
      </c>
      <c r="D798" s="15"/>
      <c r="E798" s="13" t="s">
        <v>775</v>
      </c>
      <c r="F798" s="15" t="s">
        <v>1411</v>
      </c>
      <c r="G798" s="15">
        <v>172.9</v>
      </c>
      <c r="I798" s="13" t="s">
        <v>858</v>
      </c>
      <c r="J798" s="15">
        <v>2</v>
      </c>
      <c r="K798" s="15">
        <v>713.37789999999995</v>
      </c>
      <c r="L798" s="15" t="str">
        <f>HYPERLINK("http://ms.phosphosite.org:5080/cgi-bin/plot-msms.cgi?MassType=1&amp;NumAxis=1&amp;Mod13=170&amp;Pep=FDGQPGQPSLLPR&amp;Dta=/var/www/html/dta/yong/23616.13307.2.dta&amp;Global_Mod=CS57.0215", "13307")</f>
        <v>13307</v>
      </c>
      <c r="M798" s="15" t="str">
        <f>HYPERLINK("http://ms.phosphosite.org:5080/cgi-bin/plot-msms.cgi?MassType=1&amp;NumAxis=1&amp;Mod13=170&amp;Pep=FDGQPGQPSLLPR&amp;Dta=/var/www/html/dta/yong/23617.13460.2.dta&amp;Global_Mod=CS57.0215", "13460")</f>
        <v>13460</v>
      </c>
      <c r="N798" s="16">
        <v>63.3</v>
      </c>
      <c r="O798" s="16">
        <v>63.23</v>
      </c>
      <c r="P798" s="16">
        <v>1.756</v>
      </c>
      <c r="Q798" s="16">
        <v>2.1160000000000001</v>
      </c>
      <c r="R798" s="16">
        <v>1.0903</v>
      </c>
      <c r="S798" s="16">
        <v>0.86799999999999999</v>
      </c>
      <c r="T798" s="16">
        <v>7.9399999999999998E-2</v>
      </c>
      <c r="U798" s="16">
        <v>0.2898</v>
      </c>
      <c r="V798" s="15">
        <v>1</v>
      </c>
      <c r="W798" s="15">
        <v>4</v>
      </c>
      <c r="X798" s="16">
        <v>1.89</v>
      </c>
      <c r="Y798" s="16">
        <v>3.2</v>
      </c>
      <c r="Z798" s="17">
        <v>1000</v>
      </c>
      <c r="AA798" s="17">
        <v>1000</v>
      </c>
      <c r="AB798" s="15" t="s">
        <v>13</v>
      </c>
    </row>
    <row r="799" spans="1:28" s="13" customFormat="1">
      <c r="A799" s="13" t="s">
        <v>773</v>
      </c>
      <c r="B799" s="13" t="s">
        <v>774</v>
      </c>
      <c r="C799" s="13" t="s">
        <v>774</v>
      </c>
      <c r="D799" s="15"/>
      <c r="E799" s="13" t="s">
        <v>775</v>
      </c>
      <c r="F799" s="15" t="s">
        <v>1411</v>
      </c>
      <c r="G799" s="15">
        <v>172.9</v>
      </c>
      <c r="I799" s="13" t="s">
        <v>859</v>
      </c>
      <c r="J799" s="15">
        <v>2</v>
      </c>
      <c r="K799" s="15">
        <v>569.31679999999994</v>
      </c>
      <c r="L799" s="15"/>
      <c r="M799" s="15" t="str">
        <f>HYPERLINK("http://ms.phosphosite.org:5080/cgi-bin/plot-msms.cgi?MassType=1&amp;NumAxis=1&amp;Mod11=170&amp;Pep=IDGPPTPASLR&amp;Dta=/var/www/html/dta/yong/23617.10648.2.dta&amp;Global_Mod=CS57.0215", "10648")</f>
        <v>10648</v>
      </c>
      <c r="N799" s="16"/>
      <c r="O799" s="16">
        <v>51.3</v>
      </c>
      <c r="P799" s="16"/>
      <c r="Q799" s="16">
        <v>1.851</v>
      </c>
      <c r="R799" s="16"/>
      <c r="S799" s="16">
        <v>1.2747999999999999</v>
      </c>
      <c r="T799" s="16"/>
      <c r="U799" s="16">
        <v>0.10580000000000001</v>
      </c>
      <c r="V799" s="15"/>
      <c r="W799" s="15">
        <v>25</v>
      </c>
      <c r="X799" s="16"/>
      <c r="Y799" s="16">
        <v>2.08</v>
      </c>
      <c r="Z799" s="17"/>
      <c r="AA799" s="17">
        <v>1000</v>
      </c>
      <c r="AB799" s="15" t="s">
        <v>13</v>
      </c>
    </row>
    <row r="800" spans="1:28" s="13" customFormat="1">
      <c r="A800" s="13" t="s">
        <v>773</v>
      </c>
      <c r="B800" s="13" t="s">
        <v>774</v>
      </c>
      <c r="C800" s="13" t="s">
        <v>774</v>
      </c>
      <c r="D800" s="15"/>
      <c r="E800" s="13" t="s">
        <v>775</v>
      </c>
      <c r="F800" s="15" t="s">
        <v>1411</v>
      </c>
      <c r="G800" s="15">
        <v>172.9</v>
      </c>
      <c r="I800" s="13" t="s">
        <v>857</v>
      </c>
      <c r="J800" s="15">
        <v>3</v>
      </c>
      <c r="K800" s="15">
        <v>640.00210000000004</v>
      </c>
      <c r="L800" s="15"/>
      <c r="M800" s="15" t="str">
        <f>HYPERLINK("http://ms.phosphosite.org:5080/cgi-bin/plot-msms.cgi?MassType=1&amp;NumAxis=1&amp;Mod16=170&amp;Pep=DVPDLTNFTVEELKQR&amp;Dta=/var/www/html/dta/yong/23617.28763.3.dta&amp;Global_Mod=CS57.0215", "28763")</f>
        <v>28763</v>
      </c>
      <c r="N800" s="16"/>
      <c r="O800" s="16">
        <v>128.54</v>
      </c>
      <c r="P800" s="16"/>
      <c r="Q800" s="16">
        <v>1.7070000000000001</v>
      </c>
      <c r="R800" s="16"/>
      <c r="S800" s="16">
        <v>6.4562999999999997</v>
      </c>
      <c r="T800" s="16"/>
      <c r="U800" s="16">
        <v>2.1000000000000001E-2</v>
      </c>
      <c r="V800" s="15"/>
      <c r="W800" s="15">
        <v>6</v>
      </c>
      <c r="X800" s="16"/>
      <c r="Y800" s="16">
        <v>1.0900000000000001</v>
      </c>
      <c r="Z800" s="17"/>
      <c r="AA800" s="17">
        <v>1000</v>
      </c>
      <c r="AB800" s="15" t="s">
        <v>13</v>
      </c>
    </row>
    <row r="801" spans="1:28" s="12" customFormat="1">
      <c r="A801" s="9" t="s">
        <v>773</v>
      </c>
      <c r="B801" s="9" t="s">
        <v>860</v>
      </c>
      <c r="C801" s="9" t="s">
        <v>860</v>
      </c>
      <c r="D801" s="7" t="s">
        <v>1517</v>
      </c>
      <c r="E801" s="9" t="s">
        <v>861</v>
      </c>
      <c r="F801" s="7" t="s">
        <v>1412</v>
      </c>
      <c r="G801" s="7">
        <v>100.2</v>
      </c>
      <c r="H801" s="9" t="s">
        <v>864</v>
      </c>
      <c r="I801" s="9" t="s">
        <v>865</v>
      </c>
      <c r="J801" s="7">
        <v>4</v>
      </c>
      <c r="K801" s="7">
        <v>948.01300000000003</v>
      </c>
      <c r="L801" s="7"/>
      <c r="M801" s="7" t="str">
        <f>HYPERLINK("http://ms.phosphosite.org:5080/cgi-bin/plot-msms.cgi?MassType=1&amp;NumAxis=1&amp;Mod1=147&amp;Mod12=147&amp;Mod18=184&amp;Mod24=184&amp;Pep=MGTPVPRPPQDMGQIGVRTPLGPRVAAPVGPVGPTPT&amp;Dta=/var/www/html/dta/yong/23617.17581.4.dta&amp;Global_Mod=CS57.0215", "17581")</f>
        <v>17581</v>
      </c>
      <c r="N801" s="10"/>
      <c r="O801" s="10">
        <v>80.819999999999993</v>
      </c>
      <c r="P801" s="10"/>
      <c r="Q801" s="10">
        <v>3.0249999999999999</v>
      </c>
      <c r="R801" s="10"/>
      <c r="S801" s="10">
        <v>1.1297999999999999</v>
      </c>
      <c r="T801" s="10"/>
      <c r="U801" s="10">
        <v>0.18959999999999999</v>
      </c>
      <c r="V801" s="7"/>
      <c r="W801" s="7">
        <v>269</v>
      </c>
      <c r="X801" s="10"/>
      <c r="Y801" s="10">
        <v>1.56</v>
      </c>
      <c r="Z801" s="11"/>
      <c r="AA801" s="11" t="s">
        <v>1313</v>
      </c>
      <c r="AB801" s="7" t="s">
        <v>13</v>
      </c>
    </row>
    <row r="802" spans="1:28">
      <c r="A802" s="3" t="s">
        <v>773</v>
      </c>
      <c r="B802" s="3" t="s">
        <v>774</v>
      </c>
      <c r="C802" s="3" t="s">
        <v>774</v>
      </c>
      <c r="D802" s="4">
        <v>805</v>
      </c>
      <c r="E802" s="3" t="s">
        <v>775</v>
      </c>
      <c r="F802" s="7" t="s">
        <v>1411</v>
      </c>
      <c r="G802" s="4">
        <v>172.9</v>
      </c>
      <c r="H802" s="3" t="s">
        <v>783</v>
      </c>
      <c r="I802" s="3" t="s">
        <v>785</v>
      </c>
      <c r="J802" s="4">
        <v>3</v>
      </c>
      <c r="K802" s="4">
        <v>740.67610000000002</v>
      </c>
      <c r="L802" s="4" t="str">
        <f>HYPERLINK("http://ms.phosphosite.org:5080/cgi-bin/plot-msms.cgi?MassType=1&amp;NumAxis=1&amp;Mod8=147&amp;Mod15=184&amp;Pep=FDGSPGQMGGGGPLRFEGPQGQ&amp;Dta=/var/www/html/dta/yong/23616.13678.3.dta&amp;Global_Mod=CS57.0215", "13678")</f>
        <v>13678</v>
      </c>
      <c r="M802" s="4" t="str">
        <f>HYPERLINK("http://ms.phosphosite.org:5080/cgi-bin/plot-msms.cgi?MassType=1&amp;NumAxis=1&amp;Mod8=147&amp;Mod15=184&amp;Pep=FDGSPGQMGGGGPLRFEGPQGQ&amp;Dta=/var/www/html/dta/yong/23617.13825.3.dta&amp;Global_Mod=CS57.0215", "13825")</f>
        <v>13825</v>
      </c>
      <c r="N802" s="5">
        <v>64.95</v>
      </c>
      <c r="O802" s="5">
        <v>64.849999999999994</v>
      </c>
      <c r="P802" s="5">
        <v>3.089</v>
      </c>
      <c r="Q802" s="5">
        <v>2.7610000000000001</v>
      </c>
      <c r="R802" s="5">
        <v>0.88670000000000004</v>
      </c>
      <c r="S802" s="5">
        <v>0.8609</v>
      </c>
      <c r="T802" s="5">
        <v>0.33550000000000002</v>
      </c>
      <c r="U802" s="5">
        <v>0.23580000000000001</v>
      </c>
      <c r="V802" s="4">
        <v>2</v>
      </c>
      <c r="W802" s="4">
        <v>1</v>
      </c>
      <c r="X802" s="5">
        <v>3.49</v>
      </c>
      <c r="Y802" s="5">
        <v>2.84</v>
      </c>
      <c r="Z802" s="6">
        <v>1000</v>
      </c>
      <c r="AA802" s="6">
        <v>1000</v>
      </c>
      <c r="AB802" s="4" t="s">
        <v>13</v>
      </c>
    </row>
    <row r="803" spans="1:28">
      <c r="A803" s="3" t="s">
        <v>773</v>
      </c>
      <c r="B803" s="3" t="s">
        <v>774</v>
      </c>
      <c r="C803" s="3" t="s">
        <v>774</v>
      </c>
      <c r="D803" s="4">
        <v>805</v>
      </c>
      <c r="E803" s="3" t="s">
        <v>775</v>
      </c>
      <c r="F803" s="7" t="s">
        <v>1411</v>
      </c>
      <c r="G803" s="4">
        <v>172.9</v>
      </c>
      <c r="H803" s="3" t="s">
        <v>783</v>
      </c>
      <c r="I803" s="3" t="s">
        <v>785</v>
      </c>
      <c r="J803" s="4">
        <v>3</v>
      </c>
      <c r="K803" s="4">
        <v>740.67610000000002</v>
      </c>
      <c r="L803" s="4" t="str">
        <f>HYPERLINK("http://ms.phosphosite.org:5080/cgi-bin/plot-msms.cgi?MassType=1&amp;NumAxis=1&amp;Mod8=147&amp;Mod15=184&amp;Pep=FDGSPGQMGGGGPLRFEGPQGQ&amp;Dta=/var/www/html/dta/yong/23616.13686.3.dta&amp;Global_Mod=CS57.0215", "13686")</f>
        <v>13686</v>
      </c>
      <c r="M803" s="4"/>
      <c r="N803" s="5">
        <v>64.989999999999995</v>
      </c>
      <c r="O803" s="5"/>
      <c r="P803" s="5">
        <v>3.351</v>
      </c>
      <c r="Q803" s="5"/>
      <c r="R803" s="5">
        <v>0.91379999999999995</v>
      </c>
      <c r="S803" s="5"/>
      <c r="T803" s="5">
        <v>0.3906</v>
      </c>
      <c r="U803" s="5"/>
      <c r="V803" s="4">
        <v>1</v>
      </c>
      <c r="W803" s="4"/>
      <c r="X803" s="5">
        <v>3.88</v>
      </c>
      <c r="Y803" s="5"/>
      <c r="Z803" s="6">
        <v>1000</v>
      </c>
      <c r="AA803" s="6"/>
      <c r="AB803" s="4" t="s">
        <v>13</v>
      </c>
    </row>
    <row r="804" spans="1:28">
      <c r="A804" s="3" t="s">
        <v>773</v>
      </c>
      <c r="B804" s="3" t="s">
        <v>774</v>
      </c>
      <c r="C804" s="3" t="s">
        <v>774</v>
      </c>
      <c r="D804" s="4">
        <v>805</v>
      </c>
      <c r="E804" s="3" t="s">
        <v>775</v>
      </c>
      <c r="F804" s="7" t="s">
        <v>1411</v>
      </c>
      <c r="G804" s="4">
        <v>172.9</v>
      </c>
      <c r="H804" s="3" t="s">
        <v>783</v>
      </c>
      <c r="I804" s="3" t="s">
        <v>785</v>
      </c>
      <c r="J804" s="4">
        <v>2</v>
      </c>
      <c r="K804" s="4">
        <v>1110.5106000000001</v>
      </c>
      <c r="L804" s="4" t="str">
        <f>HYPERLINK("http://ms.phosphosite.org:5080/cgi-bin/plot-msms.cgi?MassType=1&amp;NumAxis=1&amp;Mod8=147&amp;Mod15=184&amp;Pep=FDGSPGQMGGGGPLRFEGPQGQ&amp;Dta=/var/www/html/dta/yong/23616.13706.2.dta&amp;Global_Mod=CS57.0215", "13706")</f>
        <v>13706</v>
      </c>
      <c r="M804" s="4" t="str">
        <f>HYPERLINK("http://ms.phosphosite.org:5080/cgi-bin/plot-msms.cgi?MassType=1&amp;NumAxis=1&amp;Mod8=147&amp;Mod15=184&amp;Pep=FDGSPGQMGGGGPLRFEGPQGQ&amp;Dta=/var/www/html/dta/yong/23617.13846.2.dta&amp;Global_Mod=CS57.0215", "13846")</f>
        <v>13846</v>
      </c>
      <c r="N804" s="5">
        <v>65.069999999999993</v>
      </c>
      <c r="O804" s="5">
        <v>64.94</v>
      </c>
      <c r="P804" s="5">
        <v>4.5890000000000004</v>
      </c>
      <c r="Q804" s="5">
        <v>4.0890000000000004</v>
      </c>
      <c r="R804" s="5">
        <v>1.3855999999999999</v>
      </c>
      <c r="S804" s="5">
        <v>1.2699</v>
      </c>
      <c r="T804" s="5">
        <v>0.43590000000000001</v>
      </c>
      <c r="U804" s="5">
        <v>0.40079999999999999</v>
      </c>
      <c r="V804" s="4">
        <v>1</v>
      </c>
      <c r="W804" s="4">
        <v>1</v>
      </c>
      <c r="X804" s="5">
        <v>4.45</v>
      </c>
      <c r="Y804" s="5">
        <v>4.1500000000000004</v>
      </c>
      <c r="Z804" s="6">
        <v>1000</v>
      </c>
      <c r="AA804" s="6">
        <v>1000</v>
      </c>
      <c r="AB804" s="4" t="s">
        <v>13</v>
      </c>
    </row>
    <row r="805" spans="1:28">
      <c r="A805" s="3" t="s">
        <v>773</v>
      </c>
      <c r="B805" s="3" t="s">
        <v>774</v>
      </c>
      <c r="C805" s="3" t="s">
        <v>774</v>
      </c>
      <c r="D805" s="4">
        <v>805</v>
      </c>
      <c r="E805" s="3" t="s">
        <v>775</v>
      </c>
      <c r="F805" s="7" t="s">
        <v>1411</v>
      </c>
      <c r="G805" s="4">
        <v>172.9</v>
      </c>
      <c r="H805" s="3" t="s">
        <v>783</v>
      </c>
      <c r="I805" s="3" t="s">
        <v>785</v>
      </c>
      <c r="J805" s="4">
        <v>2</v>
      </c>
      <c r="K805" s="4">
        <v>1110.5106000000001</v>
      </c>
      <c r="L805" s="4" t="str">
        <f>HYPERLINK("http://ms.phosphosite.org:5080/cgi-bin/plot-msms.cgi?MassType=1&amp;NumAxis=1&amp;Mod8=147&amp;Mod15=184&amp;Pep=FDGSPGQMGGGGPLRFEGPQGQ&amp;Dta=/var/www/html/dta/yong/23616.13717.2.dta&amp;Global_Mod=CS57.0215", "13717")</f>
        <v>13717</v>
      </c>
      <c r="M805" s="4"/>
      <c r="N805" s="5">
        <v>65.12</v>
      </c>
      <c r="O805" s="5"/>
      <c r="P805" s="5">
        <v>4.28</v>
      </c>
      <c r="Q805" s="5"/>
      <c r="R805" s="5">
        <v>1.3855999999999999</v>
      </c>
      <c r="S805" s="5"/>
      <c r="T805" s="5">
        <v>0.47039999999999998</v>
      </c>
      <c r="U805" s="5"/>
      <c r="V805" s="4">
        <v>1</v>
      </c>
      <c r="W805" s="4"/>
      <c r="X805" s="5">
        <v>4.5599999999999996</v>
      </c>
      <c r="Y805" s="5"/>
      <c r="Z805" s="6">
        <v>1000</v>
      </c>
      <c r="AA805" s="6"/>
      <c r="AB805" s="4" t="s">
        <v>13</v>
      </c>
    </row>
    <row r="806" spans="1:28">
      <c r="A806" s="3" t="s">
        <v>773</v>
      </c>
      <c r="B806" s="3" t="s">
        <v>774</v>
      </c>
      <c r="C806" s="3" t="s">
        <v>774</v>
      </c>
      <c r="D806" s="4">
        <v>805</v>
      </c>
      <c r="E806" s="3" t="s">
        <v>775</v>
      </c>
      <c r="F806" s="7" t="s">
        <v>1411</v>
      </c>
      <c r="G806" s="4">
        <v>172.9</v>
      </c>
      <c r="H806" s="3" t="s">
        <v>783</v>
      </c>
      <c r="I806" s="3" t="s">
        <v>784</v>
      </c>
      <c r="J806" s="4">
        <v>2</v>
      </c>
      <c r="K806" s="4">
        <v>812.38279999999997</v>
      </c>
      <c r="L806" s="4" t="str">
        <f>HYPERLINK("http://ms.phosphosite.org:5080/cgi-bin/plot-msms.cgi?MassType=1&amp;NumAxis=1&amp;Mod8=147&amp;Mod15=184&amp;Pep=FDGSPGQMGGGGPLRF&amp;Dta=/var/www/html/dta/yong/23616.15210.2.dta&amp;Global_Mod=CS57.0215", "15210")</f>
        <v>15210</v>
      </c>
      <c r="M806" s="4" t="str">
        <f>HYPERLINK("http://ms.phosphosite.org:5080/cgi-bin/plot-msms.cgi?MassType=1&amp;NumAxis=1&amp;Mod8=147&amp;Mod15=184&amp;Pep=FDGSPGQMGGGGPLRF&amp;Dta=/var/www/html/dta/yong/23617.15361.2.dta&amp;Global_Mod=CS57.0215", "15361")</f>
        <v>15361</v>
      </c>
      <c r="N806" s="5">
        <v>71.59</v>
      </c>
      <c r="O806" s="5">
        <v>71.47</v>
      </c>
      <c r="P806" s="5">
        <v>3.0840000000000001</v>
      </c>
      <c r="Q806" s="5">
        <v>3.3929999999999998</v>
      </c>
      <c r="R806" s="5">
        <v>1.1751</v>
      </c>
      <c r="S806" s="5">
        <v>0.76849999999999996</v>
      </c>
      <c r="T806" s="5">
        <v>0.38419999999999999</v>
      </c>
      <c r="U806" s="5">
        <v>0.40479999999999999</v>
      </c>
      <c r="V806" s="4">
        <v>1</v>
      </c>
      <c r="W806" s="4">
        <v>1</v>
      </c>
      <c r="X806" s="5">
        <v>3.79</v>
      </c>
      <c r="Y806" s="5">
        <v>4.04</v>
      </c>
      <c r="Z806" s="6">
        <v>1000</v>
      </c>
      <c r="AA806" s="6">
        <v>1000</v>
      </c>
      <c r="AB806" s="4" t="s">
        <v>13</v>
      </c>
    </row>
    <row r="807" spans="1:28">
      <c r="A807" s="3" t="s">
        <v>773</v>
      </c>
      <c r="B807" s="3" t="s">
        <v>774</v>
      </c>
      <c r="C807" s="3" t="s">
        <v>774</v>
      </c>
      <c r="D807" s="4">
        <v>805</v>
      </c>
      <c r="E807" s="3" t="s">
        <v>775</v>
      </c>
      <c r="F807" s="7" t="s">
        <v>1411</v>
      </c>
      <c r="G807" s="4">
        <v>172.9</v>
      </c>
      <c r="H807" s="3" t="s">
        <v>783</v>
      </c>
      <c r="I807" s="3" t="s">
        <v>784</v>
      </c>
      <c r="J807" s="4">
        <v>3</v>
      </c>
      <c r="K807" s="4">
        <v>541.92430000000002</v>
      </c>
      <c r="L807" s="4" t="str">
        <f>HYPERLINK("http://ms.phosphosite.org:5080/cgi-bin/plot-msms.cgi?MassType=1&amp;NumAxis=1&amp;Mod8=147&amp;Mod15=184&amp;Pep=FDGSPGQMGGGGPLRF&amp;Dta=/var/www/html/dta/yong/23616.15244.3.dta&amp;Global_Mod=CS57.0215", "15244")</f>
        <v>15244</v>
      </c>
      <c r="M807" s="4"/>
      <c r="N807" s="5">
        <v>71.75</v>
      </c>
      <c r="O807" s="5"/>
      <c r="P807" s="5">
        <v>2.3370000000000002</v>
      </c>
      <c r="Q807" s="5"/>
      <c r="R807" s="5">
        <v>0.90629999999999999</v>
      </c>
      <c r="S807" s="5"/>
      <c r="T807" s="5">
        <v>0.24030000000000001</v>
      </c>
      <c r="U807" s="5"/>
      <c r="V807" s="4">
        <v>1</v>
      </c>
      <c r="W807" s="4"/>
      <c r="X807" s="5">
        <v>2.79</v>
      </c>
      <c r="Y807" s="5"/>
      <c r="Z807" s="6">
        <v>1000</v>
      </c>
      <c r="AA807" s="6"/>
      <c r="AB807" s="4" t="s">
        <v>13</v>
      </c>
    </row>
    <row r="808" spans="1:28">
      <c r="A808" s="3" t="s">
        <v>773</v>
      </c>
      <c r="B808" s="3" t="s">
        <v>774</v>
      </c>
      <c r="C808" s="3" t="s">
        <v>774</v>
      </c>
      <c r="D808" s="4">
        <v>805</v>
      </c>
      <c r="E808" s="3" t="s">
        <v>775</v>
      </c>
      <c r="F808" s="7" t="s">
        <v>1411</v>
      </c>
      <c r="G808" s="4">
        <v>172.9</v>
      </c>
      <c r="H808" s="3" t="s">
        <v>783</v>
      </c>
      <c r="I808" s="3" t="s">
        <v>787</v>
      </c>
      <c r="J808" s="4">
        <v>3</v>
      </c>
      <c r="K808" s="4">
        <v>1010.8151</v>
      </c>
      <c r="L808" s="4" t="str">
        <f>HYPERLINK("http://ms.phosphosite.org:5080/cgi-bin/plot-msms.cgi?MassType=1&amp;NumAxis=1&amp;Mod8=147&amp;Mod15=184&amp;Pep=FDGSPGQMGGGGPLRFEGPQGQLGGGCPLR&amp;Dta=/var/www/html/dta/yong/23616.16458.3.dta&amp;Global_Mod=CS57.0215", "16458")</f>
        <v>16458</v>
      </c>
      <c r="M808" s="4" t="str">
        <f>HYPERLINK("http://ms.phosphosite.org:5080/cgi-bin/plot-msms.cgi?MassType=1&amp;NumAxis=1&amp;Mod8=147&amp;Mod15=184&amp;Pep=FDGSPGQMGGGGPLRFEGPQGQLGGGCPLR&amp;Dta=/var/www/html/dta/yong/23617.16628.3.dta&amp;Global_Mod=CS57.0215", "16628")</f>
        <v>16628</v>
      </c>
      <c r="N808" s="5">
        <v>76.77</v>
      </c>
      <c r="O808" s="5">
        <v>76.7</v>
      </c>
      <c r="P808" s="5">
        <v>4.524</v>
      </c>
      <c r="Q808" s="5">
        <v>3.996</v>
      </c>
      <c r="R808" s="5">
        <v>7.7000000000000002E-3</v>
      </c>
      <c r="S808" s="5">
        <v>0.58550000000000002</v>
      </c>
      <c r="T808" s="5">
        <v>0.44629999999999997</v>
      </c>
      <c r="U808" s="5">
        <v>0.44040000000000001</v>
      </c>
      <c r="V808" s="4">
        <v>1</v>
      </c>
      <c r="W808" s="4">
        <v>1</v>
      </c>
      <c r="X808" s="5">
        <v>4.46</v>
      </c>
      <c r="Y808" s="5">
        <v>4.3</v>
      </c>
      <c r="Z808" s="6">
        <v>1000</v>
      </c>
      <c r="AA808" s="6">
        <v>1000</v>
      </c>
      <c r="AB808" s="4" t="s">
        <v>13</v>
      </c>
    </row>
    <row r="809" spans="1:28">
      <c r="A809" s="3" t="s">
        <v>773</v>
      </c>
      <c r="B809" s="3" t="s">
        <v>774</v>
      </c>
      <c r="C809" s="3" t="s">
        <v>774</v>
      </c>
      <c r="D809" s="4">
        <v>805</v>
      </c>
      <c r="E809" s="3" t="s">
        <v>775</v>
      </c>
      <c r="F809" s="7" t="s">
        <v>1411</v>
      </c>
      <c r="G809" s="4">
        <v>172.9</v>
      </c>
      <c r="H809" s="3" t="s">
        <v>783</v>
      </c>
      <c r="I809" s="3" t="s">
        <v>787</v>
      </c>
      <c r="J809" s="4">
        <v>3</v>
      </c>
      <c r="K809" s="4">
        <v>1010.8151</v>
      </c>
      <c r="L809" s="4" t="str">
        <f>HYPERLINK("http://ms.phosphosite.org:5080/cgi-bin/plot-msms.cgi?MassType=1&amp;NumAxis=1&amp;Mod8=147&amp;Mod15=184&amp;Pep=FDGSPGQMGGGGPLRFEGPQGQLGGGCPLR&amp;Dta=/var/www/html/dta/yong/23616.16470.3.dta&amp;Global_Mod=CS57.0215", "16470")</f>
        <v>16470</v>
      </c>
      <c r="M809" s="4" t="str">
        <f>HYPERLINK("http://ms.phosphosite.org:5080/cgi-bin/plot-msms.cgi?MassType=1&amp;NumAxis=1&amp;Mod8=147&amp;Mod15=184&amp;Pep=FDGSPGQMGGGGPLRFEGPQGQLGGGCPLR&amp;Dta=/var/www/html/dta/yong/23617.16644.3.dta&amp;Global_Mod=CS57.0215", "16644")</f>
        <v>16644</v>
      </c>
      <c r="N809" s="5">
        <v>76.83</v>
      </c>
      <c r="O809" s="5">
        <v>76.77</v>
      </c>
      <c r="P809" s="5">
        <v>4.0369999999999999</v>
      </c>
      <c r="Q809" s="5">
        <v>4.4429999999999996</v>
      </c>
      <c r="R809" s="5">
        <v>7.7000000000000002E-3</v>
      </c>
      <c r="S809" s="5">
        <v>0.58550000000000002</v>
      </c>
      <c r="T809" s="5">
        <v>0.43149999999999999</v>
      </c>
      <c r="U809" s="5">
        <v>0.48930000000000001</v>
      </c>
      <c r="V809" s="4">
        <v>1</v>
      </c>
      <c r="W809" s="4">
        <v>1</v>
      </c>
      <c r="X809" s="5">
        <v>4.2300000000000004</v>
      </c>
      <c r="Y809" s="5">
        <v>4.71</v>
      </c>
      <c r="Z809" s="6">
        <v>1000</v>
      </c>
      <c r="AA809" s="6">
        <v>1000</v>
      </c>
      <c r="AB809" s="4" t="s">
        <v>13</v>
      </c>
    </row>
    <row r="810" spans="1:28">
      <c r="A810" s="3" t="s">
        <v>773</v>
      </c>
      <c r="B810" s="3" t="s">
        <v>774</v>
      </c>
      <c r="C810" s="3" t="s">
        <v>774</v>
      </c>
      <c r="D810" s="4">
        <v>805</v>
      </c>
      <c r="E810" s="3" t="s">
        <v>775</v>
      </c>
      <c r="F810" s="7" t="s">
        <v>1411</v>
      </c>
      <c r="G810" s="4">
        <v>172.9</v>
      </c>
      <c r="H810" s="3" t="s">
        <v>783</v>
      </c>
      <c r="I810" s="3" t="s">
        <v>786</v>
      </c>
      <c r="J810" s="4">
        <v>3</v>
      </c>
      <c r="K810" s="4">
        <v>958.78139999999996</v>
      </c>
      <c r="L810" s="4" t="str">
        <f>HYPERLINK("http://ms.phosphosite.org:5080/cgi-bin/plot-msms.cgi?MassType=1&amp;NumAxis=1&amp;Mod8=147&amp;Mod15=184&amp;Pep=FDGSPGQMGGGGPLRFEGPQGQLGGGCPL&amp;Dta=/var/www/html/dta/yong/23616.19847.3.dta&amp;Global_Mod=CS57.0215", "19847")</f>
        <v>19847</v>
      </c>
      <c r="M810" s="4" t="str">
        <f>HYPERLINK("http://ms.phosphosite.org:5080/cgi-bin/plot-msms.cgi?MassType=1&amp;NumAxis=1&amp;Mod8=147&amp;Mod15=184&amp;Pep=FDGSPGQMGGGGPLRFEGPQGQLGGGCPL&amp;Dta=/var/www/html/dta/yong/23617.20002.3.dta&amp;Global_Mod=CS57.0215", "20002")</f>
        <v>20002</v>
      </c>
      <c r="N810" s="5">
        <v>91.21</v>
      </c>
      <c r="O810" s="5">
        <v>91.13</v>
      </c>
      <c r="P810" s="5">
        <v>3.8420000000000001</v>
      </c>
      <c r="Q810" s="5">
        <v>3.5289999999999999</v>
      </c>
      <c r="R810" s="5">
        <v>1.3898999999999999</v>
      </c>
      <c r="S810" s="5">
        <v>1.5760000000000001</v>
      </c>
      <c r="T810" s="5">
        <v>0.34939999999999999</v>
      </c>
      <c r="U810" s="5">
        <v>0.3342</v>
      </c>
      <c r="V810" s="4">
        <v>1</v>
      </c>
      <c r="W810" s="4">
        <v>1</v>
      </c>
      <c r="X810" s="5">
        <v>3.69</v>
      </c>
      <c r="Y810" s="5">
        <v>3.52</v>
      </c>
      <c r="Z810" s="6">
        <v>1000</v>
      </c>
      <c r="AA810" s="6">
        <v>1000</v>
      </c>
      <c r="AB810" s="4" t="s">
        <v>13</v>
      </c>
    </row>
    <row r="811" spans="1:28">
      <c r="A811" s="3" t="s">
        <v>773</v>
      </c>
      <c r="B811" s="3" t="s">
        <v>774</v>
      </c>
      <c r="C811" s="3" t="s">
        <v>774</v>
      </c>
      <c r="D811" s="4">
        <v>805</v>
      </c>
      <c r="E811" s="3" t="s">
        <v>775</v>
      </c>
      <c r="F811" s="7" t="s">
        <v>1411</v>
      </c>
      <c r="G811" s="4">
        <v>172.9</v>
      </c>
      <c r="H811" s="3" t="s">
        <v>783</v>
      </c>
      <c r="I811" s="3" t="s">
        <v>786</v>
      </c>
      <c r="J811" s="4">
        <v>3</v>
      </c>
      <c r="K811" s="4">
        <v>958.78139999999996</v>
      </c>
      <c r="L811" s="4" t="str">
        <f>HYPERLINK("http://ms.phosphosite.org:5080/cgi-bin/plot-msms.cgi?MassType=1&amp;NumAxis=1&amp;Mod8=147&amp;Mod15=184&amp;Pep=FDGSPGQMGGGGPLRFEGPQGQLGGGCPL&amp;Dta=/var/www/html/dta/yong/23616.19937.3.dta&amp;Global_Mod=CS57.0215", "19937")</f>
        <v>19937</v>
      </c>
      <c r="M811" s="4"/>
      <c r="N811" s="5">
        <v>91.6</v>
      </c>
      <c r="O811" s="5"/>
      <c r="P811" s="5">
        <v>4.343</v>
      </c>
      <c r="Q811" s="5"/>
      <c r="R811" s="5">
        <v>1.3759999999999999</v>
      </c>
      <c r="S811" s="5"/>
      <c r="T811" s="5">
        <v>0.3594</v>
      </c>
      <c r="U811" s="5"/>
      <c r="V811" s="4">
        <v>1</v>
      </c>
      <c r="W811" s="4"/>
      <c r="X811" s="5">
        <v>3.9</v>
      </c>
      <c r="Y811" s="5"/>
      <c r="Z811" s="6">
        <v>1000</v>
      </c>
      <c r="AA811" s="6"/>
      <c r="AB811" s="4" t="s">
        <v>13</v>
      </c>
    </row>
    <row r="812" spans="1:28">
      <c r="A812" s="3" t="s">
        <v>773</v>
      </c>
      <c r="B812" s="3" t="s">
        <v>774</v>
      </c>
      <c r="C812" s="3" t="s">
        <v>774</v>
      </c>
      <c r="D812" s="4">
        <v>805</v>
      </c>
      <c r="E812" s="3" t="s">
        <v>775</v>
      </c>
      <c r="F812" s="7" t="s">
        <v>1411</v>
      </c>
      <c r="G812" s="4">
        <v>172.9</v>
      </c>
      <c r="H812" s="3" t="s">
        <v>783</v>
      </c>
      <c r="I812" s="3" t="s">
        <v>784</v>
      </c>
      <c r="J812" s="4">
        <v>2</v>
      </c>
      <c r="K812" s="4">
        <v>812.38279999999997</v>
      </c>
      <c r="L812" s="4"/>
      <c r="M812" s="4" t="str">
        <f>HYPERLINK("http://ms.phosphosite.org:5080/cgi-bin/plot-msms.cgi?MassType=1&amp;NumAxis=1&amp;Mod8=147&amp;Mod15=184&amp;Pep=FDGSPGQMGGGGPLRF&amp;Dta=/var/www/html/dta/yong/23617.15368.2.dta&amp;Global_Mod=CS57.0215", "15368")</f>
        <v>15368</v>
      </c>
      <c r="N812" s="5"/>
      <c r="O812" s="5">
        <v>71.5</v>
      </c>
      <c r="P812" s="5"/>
      <c r="Q812" s="5">
        <v>3.3679999999999999</v>
      </c>
      <c r="R812" s="5"/>
      <c r="S812" s="5">
        <v>0.79110000000000003</v>
      </c>
      <c r="T812" s="5"/>
      <c r="U812" s="5">
        <v>0.35189999999999999</v>
      </c>
      <c r="V812" s="4"/>
      <c r="W812" s="4">
        <v>1</v>
      </c>
      <c r="X812" s="5"/>
      <c r="Y812" s="5">
        <v>3.73</v>
      </c>
      <c r="Z812" s="6"/>
      <c r="AA812" s="6">
        <v>1000</v>
      </c>
      <c r="AB812" s="4" t="s">
        <v>13</v>
      </c>
    </row>
    <row r="813" spans="1:28">
      <c r="A813" s="3" t="s">
        <v>773</v>
      </c>
      <c r="B813" s="3" t="s">
        <v>774</v>
      </c>
      <c r="C813" s="3" t="s">
        <v>774</v>
      </c>
      <c r="D813" s="4">
        <v>864</v>
      </c>
      <c r="E813" s="3" t="s">
        <v>775</v>
      </c>
      <c r="F813" s="7" t="s">
        <v>1411</v>
      </c>
      <c r="G813" s="4">
        <v>172.9</v>
      </c>
      <c r="H813" s="3" t="s">
        <v>838</v>
      </c>
      <c r="I813" s="3" t="s">
        <v>840</v>
      </c>
      <c r="J813" s="4">
        <v>2</v>
      </c>
      <c r="K813" s="4">
        <v>908.45489999999995</v>
      </c>
      <c r="L813" s="4" t="str">
        <f>HYPERLINK("http://ms.phosphosite.org:5080/cgi-bin/plot-msms.cgi?MassType=1&amp;NumAxis=1&amp;Mod9=184&amp;Pep=FEGSPGGLRFEGPGGQPV&amp;Dta=/var/www/html/dta/yong/23616.16814.2.dta&amp;Global_Mod=CS57.0215", "16814")</f>
        <v>16814</v>
      </c>
      <c r="M813" s="4" t="str">
        <f>HYPERLINK("http://ms.phosphosite.org:5080/cgi-bin/plot-msms.cgi?MassType=1&amp;NumAxis=1&amp;Mod9=184&amp;Pep=FEGSPGGLRFEGPGGQPV&amp;Dta=/var/www/html/dta/yong/23617.16974.2.dta&amp;Global_Mod=CS57.0215", "16974")</f>
        <v>16974</v>
      </c>
      <c r="N813" s="5">
        <v>78.38</v>
      </c>
      <c r="O813" s="5">
        <v>78.23</v>
      </c>
      <c r="P813" s="5">
        <v>3.5779999999999998</v>
      </c>
      <c r="Q813" s="5">
        <v>2.79</v>
      </c>
      <c r="R813" s="5">
        <v>1.3633999999999999</v>
      </c>
      <c r="S813" s="5">
        <v>1.2130000000000001</v>
      </c>
      <c r="T813" s="5">
        <v>0.36559999999999998</v>
      </c>
      <c r="U813" s="5">
        <v>0.4299</v>
      </c>
      <c r="V813" s="4">
        <v>1</v>
      </c>
      <c r="W813" s="4">
        <v>1</v>
      </c>
      <c r="X813" s="5">
        <v>3.8</v>
      </c>
      <c r="Y813" s="5">
        <v>3.96</v>
      </c>
      <c r="Z813" s="6">
        <v>1000</v>
      </c>
      <c r="AA813" s="6">
        <v>1000</v>
      </c>
      <c r="AB813" s="4" t="s">
        <v>13</v>
      </c>
    </row>
    <row r="814" spans="1:28">
      <c r="A814" s="3" t="s">
        <v>773</v>
      </c>
      <c r="B814" s="3" t="s">
        <v>774</v>
      </c>
      <c r="C814" s="3" t="s">
        <v>774</v>
      </c>
      <c r="D814" s="4">
        <v>864</v>
      </c>
      <c r="E814" s="3" t="s">
        <v>775</v>
      </c>
      <c r="F814" s="7" t="s">
        <v>1411</v>
      </c>
      <c r="G814" s="4">
        <v>172.9</v>
      </c>
      <c r="H814" s="3" t="s">
        <v>838</v>
      </c>
      <c r="I814" s="3" t="s">
        <v>843</v>
      </c>
      <c r="J814" s="4">
        <v>4</v>
      </c>
      <c r="K814" s="4">
        <v>764.89800000000002</v>
      </c>
      <c r="L814" s="4" t="str">
        <f>HYPERLINK("http://ms.phosphosite.org:5080/cgi-bin/plot-msms.cgi?MassType=1&amp;NumAxis=1&amp;Mod8=170&amp;Mod17=184&amp;Pep=FEGSPGLRFEGSPGGLRFEGPGGQPVGGLR&amp;Dta=/var/www/html/dta/yong/23616.18653.4.dta&amp;Global_Mod=CS57.0215", "18653")</f>
        <v>18653</v>
      </c>
      <c r="M814" s="4" t="str">
        <f>HYPERLINK("http://ms.phosphosite.org:5080/cgi-bin/plot-msms.cgi?MassType=1&amp;NumAxis=1&amp;Mod8=170&amp;Mod17=184&amp;Pep=FEGSPGLRFEGSPGGLRFEGPGGQPVGGLR&amp;Dta=/var/www/html/dta/yong/23617.18833.4.dta&amp;Global_Mod=CS57.0215", "18833")</f>
        <v>18833</v>
      </c>
      <c r="N814" s="5">
        <v>86.17</v>
      </c>
      <c r="O814" s="5">
        <v>86.18</v>
      </c>
      <c r="P814" s="5">
        <v>2.5030000000000001</v>
      </c>
      <c r="Q814" s="5">
        <v>2.714</v>
      </c>
      <c r="R814" s="5">
        <v>1.0321</v>
      </c>
      <c r="S814" s="5">
        <v>0.89039999999999997</v>
      </c>
      <c r="T814" s="5">
        <v>0.20810000000000001</v>
      </c>
      <c r="U814" s="5">
        <v>0.1497</v>
      </c>
      <c r="V814" s="4">
        <v>49</v>
      </c>
      <c r="W814" s="4">
        <v>25</v>
      </c>
      <c r="X814" s="5">
        <v>2.34</v>
      </c>
      <c r="Y814" s="5">
        <v>2.08</v>
      </c>
      <c r="Z814" s="6" t="s">
        <v>1306</v>
      </c>
      <c r="AA814" s="6" t="s">
        <v>1306</v>
      </c>
      <c r="AB814" s="4" t="s">
        <v>13</v>
      </c>
    </row>
    <row r="815" spans="1:28">
      <c r="A815" s="3" t="s">
        <v>773</v>
      </c>
      <c r="B815" s="3" t="s">
        <v>774</v>
      </c>
      <c r="C815" s="3" t="s">
        <v>774</v>
      </c>
      <c r="D815" s="4">
        <v>864</v>
      </c>
      <c r="E815" s="3" t="s">
        <v>775</v>
      </c>
      <c r="F815" s="7" t="s">
        <v>1411</v>
      </c>
      <c r="G815" s="4">
        <v>172.9</v>
      </c>
      <c r="H815" s="3" t="s">
        <v>838</v>
      </c>
      <c r="I815" s="3" t="s">
        <v>843</v>
      </c>
      <c r="J815" s="4">
        <v>3</v>
      </c>
      <c r="K815" s="4">
        <v>1019.5282</v>
      </c>
      <c r="L815" s="4" t="str">
        <f>HYPERLINK("http://ms.phosphosite.org:5080/cgi-bin/plot-msms.cgi?MassType=1&amp;NumAxis=1&amp;Mod8=170&amp;Mod17=184&amp;Pep=FEGSPGLRFEGSPGGLRFEGPGGQPVGGLR&amp;Dta=/var/www/html/dta/yong/23616.18727.3.dta&amp;Global_Mod=CS57.0215", "18727")</f>
        <v>18727</v>
      </c>
      <c r="M815" s="4"/>
      <c r="N815" s="5">
        <v>86.49</v>
      </c>
      <c r="O815" s="5"/>
      <c r="P815" s="5">
        <v>2.7330000000000001</v>
      </c>
      <c r="Q815" s="5"/>
      <c r="R815" s="5">
        <v>-4.3900000000000002E-2</v>
      </c>
      <c r="S815" s="5"/>
      <c r="T815" s="5">
        <v>1.49E-2</v>
      </c>
      <c r="U815" s="5"/>
      <c r="V815" s="4">
        <v>2</v>
      </c>
      <c r="W815" s="4"/>
      <c r="X815" s="5">
        <v>1.31</v>
      </c>
      <c r="Y815" s="5"/>
      <c r="Z815" s="6" t="s">
        <v>1306</v>
      </c>
      <c r="AA815" s="6"/>
      <c r="AB815" s="4" t="s">
        <v>13</v>
      </c>
    </row>
    <row r="816" spans="1:28">
      <c r="A816" s="3" t="s">
        <v>773</v>
      </c>
      <c r="B816" s="3" t="s">
        <v>774</v>
      </c>
      <c r="C816" s="3" t="s">
        <v>774</v>
      </c>
      <c r="D816" s="4">
        <v>864</v>
      </c>
      <c r="E816" s="3" t="s">
        <v>775</v>
      </c>
      <c r="F816" s="7" t="s">
        <v>1411</v>
      </c>
      <c r="G816" s="4">
        <v>172.9</v>
      </c>
      <c r="H816" s="3" t="s">
        <v>838</v>
      </c>
      <c r="I816" s="3" t="s">
        <v>842</v>
      </c>
      <c r="J816" s="4">
        <v>3</v>
      </c>
      <c r="K816" s="4">
        <v>891.78549999999996</v>
      </c>
      <c r="L816" s="4" t="str">
        <f>HYPERLINK("http://ms.phosphosite.org:5080/cgi-bin/plot-msms.cgi?MassType=1&amp;NumAxis=1&amp;Mod8=170&amp;Mod17=184&amp;Pep=FEGSPGLRFEGSPGGLRFEGPGGQPV&amp;Dta=/var/www/html/dta/yong/23616.19929.3.dta&amp;Global_Mod=CS57.0215", "19929")</f>
        <v>19929</v>
      </c>
      <c r="M816" s="4" t="str">
        <f>HYPERLINK("http://ms.phosphosite.org:5080/cgi-bin/plot-msms.cgi?MassType=1&amp;NumAxis=1&amp;Mod8=170&amp;Mod17=184&amp;Pep=FEGSPGLRFEGSPGGLRFEGPGGQPV&amp;Dta=/var/www/html/dta/yong/23617.20092.3.dta&amp;Global_Mod=CS57.0215", "20092")</f>
        <v>20092</v>
      </c>
      <c r="N816" s="5">
        <v>91.56</v>
      </c>
      <c r="O816" s="5">
        <v>91.54</v>
      </c>
      <c r="P816" s="5">
        <v>2.5760000000000001</v>
      </c>
      <c r="Q816" s="5">
        <v>2.5350000000000001</v>
      </c>
      <c r="R816" s="5">
        <v>1.2236</v>
      </c>
      <c r="S816" s="5">
        <v>0.9556</v>
      </c>
      <c r="T816" s="5">
        <v>0.15989999999999999</v>
      </c>
      <c r="U816" s="5">
        <v>7.6499999999999999E-2</v>
      </c>
      <c r="V816" s="4">
        <v>7</v>
      </c>
      <c r="W816" s="4">
        <v>204</v>
      </c>
      <c r="X816" s="5">
        <v>2.11</v>
      </c>
      <c r="Y816" s="5">
        <v>1.55</v>
      </c>
      <c r="Z816" s="6" t="s">
        <v>1306</v>
      </c>
      <c r="AA816" s="6" t="s">
        <v>1306</v>
      </c>
      <c r="AB816" s="4" t="s">
        <v>13</v>
      </c>
    </row>
    <row r="817" spans="1:28">
      <c r="A817" s="3" t="s">
        <v>773</v>
      </c>
      <c r="B817" s="3" t="s">
        <v>774</v>
      </c>
      <c r="C817" s="3" t="s">
        <v>774</v>
      </c>
      <c r="D817" s="4">
        <v>864</v>
      </c>
      <c r="E817" s="3" t="s">
        <v>775</v>
      </c>
      <c r="F817" s="7" t="s">
        <v>1411</v>
      </c>
      <c r="G817" s="4">
        <v>172.9</v>
      </c>
      <c r="H817" s="3" t="s">
        <v>838</v>
      </c>
      <c r="I817" s="3" t="s">
        <v>839</v>
      </c>
      <c r="J817" s="4">
        <v>3</v>
      </c>
      <c r="K817" s="4">
        <v>684.69219999999996</v>
      </c>
      <c r="L817" s="4"/>
      <c r="M817" s="4" t="str">
        <f>HYPERLINK("http://ms.phosphosite.org:5080/cgi-bin/plot-msms.cgi?MassType=1&amp;NumAxis=1&amp;Mod8=184&amp;Pep=EGSPGGLRFEGPGGQPVGGLR&amp;Dta=/var/www/html/dta/yong/23617.14002.3.dta&amp;Global_Mod=CS57.0215", "14002")</f>
        <v>14002</v>
      </c>
      <c r="N817" s="5"/>
      <c r="O817" s="5">
        <v>65.62</v>
      </c>
      <c r="P817" s="5"/>
      <c r="Q817" s="5">
        <v>2.5840000000000001</v>
      </c>
      <c r="R817" s="5"/>
      <c r="S817" s="5">
        <v>1.0317000000000001</v>
      </c>
      <c r="T817" s="5"/>
      <c r="U817" s="5">
        <v>0.1067</v>
      </c>
      <c r="V817" s="4"/>
      <c r="W817" s="4">
        <v>2</v>
      </c>
      <c r="X817" s="5"/>
      <c r="Y817" s="5">
        <v>2.06</v>
      </c>
      <c r="Z817" s="6"/>
      <c r="AA817" s="6">
        <v>1000</v>
      </c>
      <c r="AB817" s="4" t="s">
        <v>13</v>
      </c>
    </row>
    <row r="818" spans="1:28">
      <c r="A818" s="3" t="s">
        <v>773</v>
      </c>
      <c r="B818" s="3" t="s">
        <v>774</v>
      </c>
      <c r="C818" s="3" t="s">
        <v>774</v>
      </c>
      <c r="D818" s="4">
        <v>864</v>
      </c>
      <c r="E818" s="3" t="s">
        <v>775</v>
      </c>
      <c r="F818" s="7" t="s">
        <v>1411</v>
      </c>
      <c r="G818" s="4">
        <v>172.9</v>
      </c>
      <c r="H818" s="3" t="s">
        <v>838</v>
      </c>
      <c r="I818" s="3" t="s">
        <v>841</v>
      </c>
      <c r="J818" s="4">
        <v>3</v>
      </c>
      <c r="K818" s="4">
        <v>733.71500000000003</v>
      </c>
      <c r="L818" s="4"/>
      <c r="M818" s="4" t="str">
        <f>HYPERLINK("http://ms.phosphosite.org:5080/cgi-bin/plot-msms.cgi?MassType=1&amp;NumAxis=1&amp;Mod9=184&amp;Pep=FEGSPGGLRFEGPGGQPVGGLR&amp;Dta=/var/www/html/dta/yong/23617.15837.3.dta&amp;Global_Mod=CS57.0215", "15837")</f>
        <v>15837</v>
      </c>
      <c r="N818" s="5"/>
      <c r="O818" s="5">
        <v>73.41</v>
      </c>
      <c r="P818" s="5"/>
      <c r="Q818" s="5">
        <v>2.8079999999999998</v>
      </c>
      <c r="R818" s="5"/>
      <c r="S818" s="5">
        <v>0.2351</v>
      </c>
      <c r="T818" s="5"/>
      <c r="U818" s="5">
        <v>9.5699999999999993E-2</v>
      </c>
      <c r="V818" s="4"/>
      <c r="W818" s="4">
        <v>6</v>
      </c>
      <c r="X818" s="5"/>
      <c r="Y818" s="5">
        <v>2.08</v>
      </c>
      <c r="Z818" s="6"/>
      <c r="AA818" s="6">
        <v>1000</v>
      </c>
      <c r="AB818" s="4" t="s">
        <v>13</v>
      </c>
    </row>
    <row r="819" spans="1:28">
      <c r="A819" s="3" t="s">
        <v>773</v>
      </c>
      <c r="B819" s="3" t="s">
        <v>774</v>
      </c>
      <c r="C819" s="3" t="s">
        <v>774</v>
      </c>
      <c r="D819" s="4">
        <v>864</v>
      </c>
      <c r="E819" s="3" t="s">
        <v>775</v>
      </c>
      <c r="F819" s="7" t="s">
        <v>1411</v>
      </c>
      <c r="G819" s="4">
        <v>172.9</v>
      </c>
      <c r="H819" s="3" t="s">
        <v>838</v>
      </c>
      <c r="I819" s="3" t="s">
        <v>844</v>
      </c>
      <c r="J819" s="4">
        <v>3</v>
      </c>
      <c r="K819" s="4">
        <v>485.6003</v>
      </c>
      <c r="L819" s="4"/>
      <c r="M819" s="4" t="str">
        <f>HYPERLINK("http://ms.phosphosite.org:5080/cgi-bin/plot-msms.cgi?MassType=1&amp;NumAxis=1&amp;Mod1=184&amp;Pep=RFEGPGGQPVGGLR&amp;Dta=/var/www/html/dta/yong/23617.8757.3.dta&amp;Global_Mod=CS57.0215", "8757")</f>
        <v>8757</v>
      </c>
      <c r="N819" s="5"/>
      <c r="O819" s="5">
        <v>43.48</v>
      </c>
      <c r="P819" s="5"/>
      <c r="Q819" s="5">
        <v>2.2909999999999999</v>
      </c>
      <c r="R819" s="5"/>
      <c r="S819" s="5">
        <v>9.7900000000000001E-2</v>
      </c>
      <c r="T819" s="5"/>
      <c r="U819" s="5">
        <v>7.9000000000000008E-3</v>
      </c>
      <c r="V819" s="4"/>
      <c r="W819" s="4">
        <v>44</v>
      </c>
      <c r="X819" s="5"/>
      <c r="Y819" s="5">
        <v>1.49</v>
      </c>
      <c r="Z819" s="6"/>
      <c r="AA819" s="6">
        <v>1000</v>
      </c>
      <c r="AB819" s="4" t="s">
        <v>13</v>
      </c>
    </row>
    <row r="820" spans="1:28">
      <c r="A820" s="3" t="s">
        <v>773</v>
      </c>
      <c r="B820" s="3" t="s">
        <v>774</v>
      </c>
      <c r="C820" s="3" t="s">
        <v>774</v>
      </c>
      <c r="D820" s="4">
        <v>981</v>
      </c>
      <c r="E820" s="3" t="s">
        <v>775</v>
      </c>
      <c r="F820" s="7" t="s">
        <v>1411</v>
      </c>
      <c r="G820" s="4">
        <v>172.9</v>
      </c>
      <c r="H820" s="3" t="s">
        <v>850</v>
      </c>
      <c r="I820" s="3" t="s">
        <v>851</v>
      </c>
      <c r="J820" s="4">
        <v>4</v>
      </c>
      <c r="K820" s="4">
        <v>934.48350000000005</v>
      </c>
      <c r="L820" s="4"/>
      <c r="M820" s="4" t="str">
        <f>HYPERLINK("http://ms.phosphosite.org:5080/cgi-bin/plot-msms.cgi?MassType=1&amp;NumAxis=1&amp;Mod22=184&amp;Pep=HGQSVAGLRFEGQHNQLGGNLRFEGPHGQPGVGIR&amp;Dta=/var/www/html/dta/yong/23617.12945.4.dta&amp;Global_Mod=CS57.0215", "12945")</f>
        <v>12945</v>
      </c>
      <c r="N820" s="5"/>
      <c r="O820" s="5">
        <v>61.07</v>
      </c>
      <c r="P820" s="5"/>
      <c r="Q820" s="5">
        <v>3.8559999999999999</v>
      </c>
      <c r="R820" s="5"/>
      <c r="S820" s="5">
        <v>-1.4863</v>
      </c>
      <c r="T820" s="5"/>
      <c r="U820" s="5">
        <v>9.4600000000000004E-2</v>
      </c>
      <c r="V820" s="4"/>
      <c r="W820" s="4">
        <v>15</v>
      </c>
      <c r="X820" s="5"/>
      <c r="Y820" s="5">
        <v>2.0099999999999998</v>
      </c>
      <c r="Z820" s="6"/>
      <c r="AA820" s="6">
        <v>43</v>
      </c>
      <c r="AB820" s="4" t="s">
        <v>13</v>
      </c>
    </row>
    <row r="821" spans="1:28">
      <c r="A821" s="3" t="s">
        <v>773</v>
      </c>
      <c r="B821" s="3" t="s">
        <v>774</v>
      </c>
      <c r="C821" s="3" t="s">
        <v>774</v>
      </c>
      <c r="D821" s="4">
        <v>994</v>
      </c>
      <c r="E821" s="3" t="s">
        <v>775</v>
      </c>
      <c r="F821" s="7" t="s">
        <v>1411</v>
      </c>
      <c r="G821" s="4">
        <v>172.9</v>
      </c>
      <c r="H821" s="3" t="s">
        <v>850</v>
      </c>
      <c r="I821" s="3" t="s">
        <v>856</v>
      </c>
      <c r="J821" s="4">
        <v>4</v>
      </c>
      <c r="K821" s="4">
        <v>934.48350000000005</v>
      </c>
      <c r="L821" s="4" t="str">
        <f>HYPERLINK("http://ms.phosphosite.org:5080/cgi-bin/plot-msms.cgi?MassType=1&amp;NumAxis=1&amp;Mod35=184&amp;Pep=HGQSVAGLRFEGQHNQLGGNLRFEGPHGQPGVGIR&amp;Dta=/var/www/html/dta/yong/23616.12503.4.dta&amp;Global_Mod=CS57.0215", "12503")</f>
        <v>12503</v>
      </c>
      <c r="M821" s="4"/>
      <c r="N821" s="5">
        <v>59.78</v>
      </c>
      <c r="O821" s="5"/>
      <c r="P821" s="5">
        <v>3.7919999999999998</v>
      </c>
      <c r="Q821" s="5"/>
      <c r="R821" s="5">
        <v>-1.155</v>
      </c>
      <c r="S821" s="5"/>
      <c r="T821" s="5">
        <v>9.8199999999999996E-2</v>
      </c>
      <c r="U821" s="5"/>
      <c r="V821" s="4">
        <v>2</v>
      </c>
      <c r="W821" s="4"/>
      <c r="X821" s="5">
        <v>2.0099999999999998</v>
      </c>
      <c r="Y821" s="5"/>
      <c r="Z821" s="6">
        <v>31</v>
      </c>
      <c r="AA821" s="6"/>
      <c r="AB821" s="4" t="s">
        <v>13</v>
      </c>
    </row>
    <row r="822" spans="1:28" s="18" customFormat="1">
      <c r="A822" s="18" t="s">
        <v>773</v>
      </c>
      <c r="B822" s="18" t="s">
        <v>774</v>
      </c>
      <c r="C822" s="18" t="s">
        <v>774</v>
      </c>
      <c r="D822" s="19">
        <v>1030</v>
      </c>
      <c r="E822" s="18" t="s">
        <v>775</v>
      </c>
      <c r="F822" s="15" t="s">
        <v>1411</v>
      </c>
      <c r="G822" s="19">
        <v>172.9</v>
      </c>
      <c r="H822" s="18" t="s">
        <v>776</v>
      </c>
      <c r="I822" s="18" t="s">
        <v>777</v>
      </c>
      <c r="J822" s="19">
        <v>5</v>
      </c>
      <c r="K822" s="19">
        <v>869.44659999999999</v>
      </c>
      <c r="L822" s="19"/>
      <c r="M822" s="19" t="str">
        <f>HYPERLINK("http://ms.phosphosite.org:5080/cgi-bin/plot-msms.cgi?MassType=1&amp;NumAxis=1&amp;Mod10=147&amp;Mod34=184&amp;Mod42=170&amp;Pep=GPLVQQGGGMRFEGPSVPGGGLRIEGPLGQGGPRFEGCHALR&amp;Dta=/var/www/html/dta/yong/23617.13117.5.dta&amp;Global_Mod=CS57.0215", "13117")</f>
        <v>13117</v>
      </c>
      <c r="N822" s="20"/>
      <c r="O822" s="20">
        <v>61.79</v>
      </c>
      <c r="P822" s="20"/>
      <c r="Q822" s="20">
        <v>3.7469999999999999</v>
      </c>
      <c r="R822" s="20"/>
      <c r="S822" s="20">
        <v>-2.7624</v>
      </c>
      <c r="T822" s="20"/>
      <c r="U822" s="20">
        <v>0.14960000000000001</v>
      </c>
      <c r="V822" s="19"/>
      <c r="W822" s="19">
        <v>10</v>
      </c>
      <c r="X822" s="20"/>
      <c r="Y822" s="20">
        <v>1.99</v>
      </c>
      <c r="Z822" s="21"/>
      <c r="AA822" s="21" t="s">
        <v>1312</v>
      </c>
      <c r="AB822" s="19" t="s">
        <v>13</v>
      </c>
    </row>
    <row r="823" spans="1:28" s="18" customFormat="1">
      <c r="A823" s="18" t="s">
        <v>773</v>
      </c>
      <c r="B823" s="18" t="s">
        <v>774</v>
      </c>
      <c r="C823" s="18" t="s">
        <v>774</v>
      </c>
      <c r="D823" s="19">
        <v>1062</v>
      </c>
      <c r="E823" s="18" t="s">
        <v>775</v>
      </c>
      <c r="F823" s="15" t="s">
        <v>1411</v>
      </c>
      <c r="G823" s="19">
        <v>172.9</v>
      </c>
      <c r="H823" s="18" t="s">
        <v>779</v>
      </c>
      <c r="I823" s="18" t="s">
        <v>780</v>
      </c>
      <c r="J823" s="19">
        <v>4</v>
      </c>
      <c r="K823" s="19">
        <v>766.14930000000004</v>
      </c>
      <c r="L823" s="19" t="str">
        <f>HYPERLINK("http://ms.phosphosite.org:5080/cgi-bin/plot-msms.cgi?MassType=1&amp;NumAxis=1&amp;Mod13=170&amp;Mod24=184&amp;Mod27=170&amp;Pep=FDGQPGQPSLLPRFDGLHGQPGPRFER&amp;Dta=/var/www/html/dta/yong/23616.16905.4.dta&amp;Global_Mod=CS57.0215", "16905")</f>
        <v>16905</v>
      </c>
      <c r="M823" s="19"/>
      <c r="N823" s="20">
        <v>78.760000000000005</v>
      </c>
      <c r="O823" s="20"/>
      <c r="P823" s="20">
        <v>2.335</v>
      </c>
      <c r="Q823" s="20"/>
      <c r="R823" s="20">
        <v>1.2278</v>
      </c>
      <c r="S823" s="20"/>
      <c r="T823" s="20">
        <v>1.15E-2</v>
      </c>
      <c r="U823" s="20"/>
      <c r="V823" s="19">
        <v>10</v>
      </c>
      <c r="W823" s="19"/>
      <c r="X823" s="20">
        <v>1.21</v>
      </c>
      <c r="Y823" s="20"/>
      <c r="Z823" s="21" t="s">
        <v>1307</v>
      </c>
      <c r="AA823" s="21"/>
      <c r="AB823" s="19" t="s">
        <v>13</v>
      </c>
    </row>
    <row r="824" spans="1:28">
      <c r="A824" s="3" t="s">
        <v>773</v>
      </c>
      <c r="B824" s="3" t="s">
        <v>774</v>
      </c>
      <c r="C824" s="3" t="s">
        <v>774</v>
      </c>
      <c r="D824" s="4" t="s">
        <v>793</v>
      </c>
      <c r="E824" s="3" t="s">
        <v>775</v>
      </c>
      <c r="F824" s="7" t="s">
        <v>1411</v>
      </c>
      <c r="G824" s="4">
        <v>172.9</v>
      </c>
      <c r="H824" s="3" t="s">
        <v>794</v>
      </c>
      <c r="I824" s="3" t="s">
        <v>797</v>
      </c>
      <c r="J824" s="4">
        <v>6</v>
      </c>
      <c r="K824" s="4">
        <v>954.47659999999996</v>
      </c>
      <c r="L824" s="4" t="str">
        <f>HYPERLINK("http://ms.phosphosite.org:5080/cgi-bin/plot-msms.cgi?MassType=1&amp;NumAxis=1&amp;Mod8=147&amp;Mod15=184&amp;Mod30=184&amp;Mod43=184&amp;Pep=FDGSPGQMGGGGPLRFEGPQGQLGGGCPLRFEGPPGPVGTPLRFEGPIGQAGGGGFR&amp;Dta=/var/www/html/dta/yong/23616.23740.6.dta&amp;Global_Mod=CS57.0215", "23740")</f>
        <v>23740</v>
      </c>
      <c r="M824" s="4" t="str">
        <f>HYPERLINK("http://ms.phosphosite.org:5080/cgi-bin/plot-msms.cgi?MassType=1&amp;NumAxis=1&amp;Mod8=147&amp;Mod15=184&amp;Mod30=184&amp;Mod43=184&amp;Pep=FDGSPGQMGGGGPLRFEGPQGQLGGGCPLRFEGPPGPVGTPLRFEGPIGQAGGGGFR&amp;Dta=/var/www/html/dta/yong/23617.23859.6.dta&amp;Global_Mod=CS57.0215", "23859")</f>
        <v>23859</v>
      </c>
      <c r="N824" s="5">
        <v>107.14</v>
      </c>
      <c r="O824" s="5">
        <v>107</v>
      </c>
      <c r="P824" s="5">
        <v>3.5990000000000002</v>
      </c>
      <c r="Q824" s="5">
        <v>3.698</v>
      </c>
      <c r="R824" s="5">
        <v>1.2673000000000001</v>
      </c>
      <c r="S824" s="5">
        <v>1.375</v>
      </c>
      <c r="T824" s="5">
        <v>0.18229999999999999</v>
      </c>
      <c r="U824" s="5">
        <v>0.1842</v>
      </c>
      <c r="V824" s="4">
        <v>1</v>
      </c>
      <c r="W824" s="4">
        <v>2</v>
      </c>
      <c r="X824" s="5">
        <v>2.11</v>
      </c>
      <c r="Y824" s="5">
        <v>2.13</v>
      </c>
      <c r="Z824" s="6" t="s">
        <v>1307</v>
      </c>
      <c r="AA824" s="6" t="s">
        <v>1307</v>
      </c>
      <c r="AB824" s="4" t="s">
        <v>13</v>
      </c>
    </row>
    <row r="825" spans="1:28">
      <c r="A825" s="3" t="s">
        <v>773</v>
      </c>
      <c r="B825" s="3" t="s">
        <v>774</v>
      </c>
      <c r="C825" s="3" t="s">
        <v>774</v>
      </c>
      <c r="D825" s="4" t="s">
        <v>793</v>
      </c>
      <c r="E825" s="3" t="s">
        <v>775</v>
      </c>
      <c r="F825" s="7" t="s">
        <v>1411</v>
      </c>
      <c r="G825" s="4">
        <v>172.9</v>
      </c>
      <c r="H825" s="3" t="s">
        <v>794</v>
      </c>
      <c r="I825" s="3" t="s">
        <v>796</v>
      </c>
      <c r="J825" s="4">
        <v>4</v>
      </c>
      <c r="K825" s="4">
        <v>1280.6380999999999</v>
      </c>
      <c r="L825" s="4" t="str">
        <f>HYPERLINK("http://ms.phosphosite.org:5080/cgi-bin/plot-msms.cgi?MassType=1&amp;NumAxis=1&amp;Mod8=147&amp;Mod15=184&amp;Mod30=184&amp;Mod43=184&amp;Pep=FDGSPGQMGGGGPLRFEGPQGQLGGGCPLRFEGPPGPVGTPLRFEGPIGQ&amp;Dta=/var/www/html/dta/yong/23616.24509.4.dta&amp;Global_Mod=CS57.0215", "24509")</f>
        <v>24509</v>
      </c>
      <c r="M825" s="4" t="str">
        <f>HYPERLINK("http://ms.phosphosite.org:5080/cgi-bin/plot-msms.cgi?MassType=1&amp;NumAxis=1&amp;Mod8=147&amp;Mod15=184&amp;Mod30=184&amp;Mod43=184&amp;Pep=FDGSPGQMGGGGPLRFEGPQGQLGGGCPLRFEGPPGPVGTPLRFEGPIGQ&amp;Dta=/var/www/html/dta/yong/23617.24651.4.dta&amp;Global_Mod=CS57.0215", "24651")</f>
        <v>24651</v>
      </c>
      <c r="N825" s="5">
        <v>110.2</v>
      </c>
      <c r="O825" s="5">
        <v>110.24</v>
      </c>
      <c r="P825" s="5">
        <v>3.7530000000000001</v>
      </c>
      <c r="Q825" s="5">
        <v>3.605</v>
      </c>
      <c r="R825" s="5">
        <v>1.9939</v>
      </c>
      <c r="S825" s="5">
        <v>0.50219999999999998</v>
      </c>
      <c r="T825" s="5">
        <v>0.18459999999999999</v>
      </c>
      <c r="U825" s="5">
        <v>5.2400000000000002E-2</v>
      </c>
      <c r="V825" s="4">
        <v>1</v>
      </c>
      <c r="W825" s="4">
        <v>1</v>
      </c>
      <c r="X825" s="5">
        <v>2.16</v>
      </c>
      <c r="Y825" s="5">
        <v>1.45</v>
      </c>
      <c r="Z825" s="6" t="s">
        <v>1307</v>
      </c>
      <c r="AA825" s="6" t="s">
        <v>1307</v>
      </c>
      <c r="AB825" s="4" t="s">
        <v>13</v>
      </c>
    </row>
    <row r="826" spans="1:28">
      <c r="A826" s="3" t="s">
        <v>773</v>
      </c>
      <c r="B826" s="3" t="s">
        <v>774</v>
      </c>
      <c r="C826" s="3" t="s">
        <v>774</v>
      </c>
      <c r="D826" s="4" t="s">
        <v>793</v>
      </c>
      <c r="E826" s="3" t="s">
        <v>775</v>
      </c>
      <c r="F826" s="7" t="s">
        <v>1411</v>
      </c>
      <c r="G826" s="4">
        <v>172.9</v>
      </c>
      <c r="H826" s="3" t="s">
        <v>794</v>
      </c>
      <c r="I826" s="3" t="s">
        <v>795</v>
      </c>
      <c r="J826" s="4">
        <v>4</v>
      </c>
      <c r="K826" s="4">
        <v>1135.3179</v>
      </c>
      <c r="L826" s="4" t="str">
        <f>HYPERLINK("http://ms.phosphosite.org:5080/cgi-bin/plot-msms.cgi?MassType=1&amp;NumAxis=1&amp;Mod8=147&amp;Mod15=184&amp;Mod30=184&amp;Mod43=184&amp;Pep=FDGSPGQMGGGGPLRFEGPQGQLGGGCPLRFEGPPGPVGTPLRF&amp;Dta=/var/www/html/dta/yong/23616.24516.4.dta&amp;Global_Mod=CS57.0215", "24516")</f>
        <v>24516</v>
      </c>
      <c r="M826" s="4" t="str">
        <f>HYPERLINK("http://ms.phosphosite.org:5080/cgi-bin/plot-msms.cgi?MassType=1&amp;NumAxis=1&amp;Mod8=147&amp;Mod15=184&amp;Mod30=184&amp;Mod43=184&amp;Pep=FDGSPGQMGGGGPLRFEGPQGQLGGGCPLRFEGPPGPVGTPLRF&amp;Dta=/var/www/html/dta/yong/23617.24640.4.dta&amp;Global_Mod=CS57.0215", "24640")</f>
        <v>24640</v>
      </c>
      <c r="N826" s="5">
        <v>110.23</v>
      </c>
      <c r="O826" s="5">
        <v>110.19</v>
      </c>
      <c r="P826" s="5">
        <v>3.7280000000000002</v>
      </c>
      <c r="Q826" s="5">
        <v>4.3680000000000003</v>
      </c>
      <c r="R826" s="5">
        <v>1.3391999999999999</v>
      </c>
      <c r="S826" s="5">
        <v>1.4174</v>
      </c>
      <c r="T826" s="5">
        <v>0.24479999999999999</v>
      </c>
      <c r="U826" s="5">
        <v>0.27610000000000001</v>
      </c>
      <c r="V826" s="4">
        <v>1</v>
      </c>
      <c r="W826" s="4">
        <v>1</v>
      </c>
      <c r="X826" s="5">
        <v>2.59</v>
      </c>
      <c r="Y826" s="5">
        <v>2.96</v>
      </c>
      <c r="Z826" s="6" t="s">
        <v>1307</v>
      </c>
      <c r="AA826" s="6" t="s">
        <v>1307</v>
      </c>
      <c r="AB826" s="4" t="s">
        <v>13</v>
      </c>
    </row>
    <row r="827" spans="1:28">
      <c r="A827" s="3" t="s">
        <v>773</v>
      </c>
      <c r="B827" s="3" t="s">
        <v>774</v>
      </c>
      <c r="C827" s="3" t="s">
        <v>774</v>
      </c>
      <c r="D827" s="4" t="s">
        <v>793</v>
      </c>
      <c r="E827" s="3" t="s">
        <v>775</v>
      </c>
      <c r="F827" s="7" t="s">
        <v>1411</v>
      </c>
      <c r="G827" s="4">
        <v>172.9</v>
      </c>
      <c r="H827" s="3" t="s">
        <v>794</v>
      </c>
      <c r="I827" s="3" t="s">
        <v>795</v>
      </c>
      <c r="J827" s="4">
        <v>4</v>
      </c>
      <c r="K827" s="4">
        <v>1135.3179</v>
      </c>
      <c r="L827" s="4"/>
      <c r="M827" s="4" t="str">
        <f>HYPERLINK("http://ms.phosphosite.org:5080/cgi-bin/plot-msms.cgi?MassType=1&amp;NumAxis=1&amp;Mod8=147&amp;Mod15=184&amp;Mod30=184&amp;Mod43=184&amp;Pep=FDGSPGQMGGGGPLRFEGPQGQLGGGCPLRFEGPPGPVGTPLRF&amp;Dta=/var/www/html/dta/yong/23617.24653.4.dta&amp;Global_Mod=CS57.0215", "24653")</f>
        <v>24653</v>
      </c>
      <c r="N827" s="5"/>
      <c r="O827" s="5">
        <v>110.24</v>
      </c>
      <c r="P827" s="5"/>
      <c r="Q827" s="5">
        <v>2.9870000000000001</v>
      </c>
      <c r="R827" s="5"/>
      <c r="S827" s="5">
        <v>1.7984</v>
      </c>
      <c r="T827" s="5"/>
      <c r="U827" s="5">
        <v>9.74E-2</v>
      </c>
      <c r="V827" s="4"/>
      <c r="W827" s="4">
        <v>2</v>
      </c>
      <c r="X827" s="5"/>
      <c r="Y827" s="5">
        <v>1.51</v>
      </c>
      <c r="Z827" s="6"/>
      <c r="AA827" s="6" t="s">
        <v>1307</v>
      </c>
      <c r="AB827" s="4" t="s">
        <v>13</v>
      </c>
    </row>
    <row r="828" spans="1:28">
      <c r="A828" s="3" t="s">
        <v>773</v>
      </c>
      <c r="B828" s="3" t="s">
        <v>774</v>
      </c>
      <c r="C828" s="3" t="s">
        <v>774</v>
      </c>
      <c r="D828" s="4" t="s">
        <v>801</v>
      </c>
      <c r="E828" s="3" t="s">
        <v>775</v>
      </c>
      <c r="F828" s="7" t="s">
        <v>1411</v>
      </c>
      <c r="G828" s="4">
        <v>172.9</v>
      </c>
      <c r="H828" s="3" t="s">
        <v>802</v>
      </c>
      <c r="I828" s="3" t="s">
        <v>806</v>
      </c>
      <c r="J828" s="4">
        <v>4</v>
      </c>
      <c r="K828" s="4">
        <v>717.38319999999999</v>
      </c>
      <c r="L828" s="4" t="str">
        <f>HYPERLINK("http://ms.phosphosite.org:5080/cgi-bin/plot-msms.cgi?MassType=1&amp;NumAxis=1&amp;Mod1=184&amp;Mod14=184&amp;Pep=RFEGPPGPVGTPLRFEGPIGQAGGGGFR&amp;Dta=/var/www/html/dta/yong/23616.18527.4.dta&amp;Global_Mod=CS57.0215", "18527")</f>
        <v>18527</v>
      </c>
      <c r="M828" s="4" t="str">
        <f>HYPERLINK("http://ms.phosphosite.org:5080/cgi-bin/plot-msms.cgi?MassType=1&amp;NumAxis=1&amp;Mod1=184&amp;Mod14=184&amp;Pep=RFEGPPGPVGTPLRFEGPIGQAGGGGFR&amp;Dta=/var/www/html/dta/yong/23617.18676.4.dta&amp;Global_Mod=CS57.0215", "18676")</f>
        <v>18676</v>
      </c>
      <c r="N828" s="5">
        <v>85.6</v>
      </c>
      <c r="O828" s="5">
        <v>85.47</v>
      </c>
      <c r="P828" s="5">
        <v>4.1500000000000004</v>
      </c>
      <c r="Q828" s="5">
        <v>5.4790000000000001</v>
      </c>
      <c r="R828" s="5">
        <v>1.0121</v>
      </c>
      <c r="S828" s="5">
        <v>0.93840000000000001</v>
      </c>
      <c r="T828" s="5">
        <v>0.372</v>
      </c>
      <c r="U828" s="5">
        <v>0.48609999999999998</v>
      </c>
      <c r="V828" s="4">
        <v>1</v>
      </c>
      <c r="W828" s="4">
        <v>1</v>
      </c>
      <c r="X828" s="5">
        <v>3.78</v>
      </c>
      <c r="Y828" s="5">
        <v>4.8499999999999996</v>
      </c>
      <c r="Z828" s="6" t="s">
        <v>1306</v>
      </c>
      <c r="AA828" s="6" t="s">
        <v>1306</v>
      </c>
      <c r="AB828" s="4" t="s">
        <v>13</v>
      </c>
    </row>
    <row r="829" spans="1:28">
      <c r="A829" s="3" t="s">
        <v>773</v>
      </c>
      <c r="B829" s="3" t="s">
        <v>774</v>
      </c>
      <c r="C829" s="3" t="s">
        <v>774</v>
      </c>
      <c r="D829" s="4" t="s">
        <v>801</v>
      </c>
      <c r="E829" s="3" t="s">
        <v>775</v>
      </c>
      <c r="F829" s="7" t="s">
        <v>1411</v>
      </c>
      <c r="G829" s="4">
        <v>172.9</v>
      </c>
      <c r="H829" s="3" t="s">
        <v>802</v>
      </c>
      <c r="I829" s="3" t="s">
        <v>806</v>
      </c>
      <c r="J829" s="4">
        <v>3</v>
      </c>
      <c r="K829" s="4">
        <v>956.17520000000002</v>
      </c>
      <c r="L829" s="4" t="str">
        <f>HYPERLINK("http://ms.phosphosite.org:5080/cgi-bin/plot-msms.cgi?MassType=1&amp;NumAxis=1&amp;Mod1=184&amp;Mod14=184&amp;Pep=RFEGPPGPVGTPLRFEGPIGQAGGGGFR&amp;Dta=/var/www/html/dta/yong/23616.18540.3.dta&amp;Global_Mod=CS57.0215", "18540")</f>
        <v>18540</v>
      </c>
      <c r="M829" s="4" t="str">
        <f>HYPERLINK("http://ms.phosphosite.org:5080/cgi-bin/plot-msms.cgi?MassType=1&amp;NumAxis=1&amp;Mod1=184&amp;Mod14=184&amp;Pep=RFEGPPGPVGTPLRFEGPIGQAGGGGFR&amp;Dta=/var/www/html/dta/yong/23617.18738.3.dta&amp;Global_Mod=CS57.0215", "18738")</f>
        <v>18738</v>
      </c>
      <c r="N829" s="5">
        <v>85.66</v>
      </c>
      <c r="O829" s="5">
        <v>85.74</v>
      </c>
      <c r="P829" s="5">
        <v>2.9780000000000002</v>
      </c>
      <c r="Q829" s="5">
        <v>3.3559999999999999</v>
      </c>
      <c r="R829" s="5">
        <v>0.90490000000000004</v>
      </c>
      <c r="S829" s="5">
        <v>0.72370000000000001</v>
      </c>
      <c r="T829" s="5">
        <v>0.1497</v>
      </c>
      <c r="U829" s="5">
        <v>0.2132</v>
      </c>
      <c r="V829" s="4">
        <v>1</v>
      </c>
      <c r="W829" s="4">
        <v>1</v>
      </c>
      <c r="X829" s="5">
        <v>2.17</v>
      </c>
      <c r="Y829" s="5">
        <v>2.66</v>
      </c>
      <c r="Z829" s="6" t="s">
        <v>1306</v>
      </c>
      <c r="AA829" s="6" t="s">
        <v>1306</v>
      </c>
      <c r="AB829" s="4" t="s">
        <v>13</v>
      </c>
    </row>
    <row r="830" spans="1:28">
      <c r="A830" s="3" t="s">
        <v>773</v>
      </c>
      <c r="B830" s="3" t="s">
        <v>774</v>
      </c>
      <c r="C830" s="3" t="s">
        <v>774</v>
      </c>
      <c r="D830" s="4" t="s">
        <v>801</v>
      </c>
      <c r="E830" s="3" t="s">
        <v>775</v>
      </c>
      <c r="F830" s="7" t="s">
        <v>1411</v>
      </c>
      <c r="G830" s="4">
        <v>172.9</v>
      </c>
      <c r="H830" s="3" t="s">
        <v>802</v>
      </c>
      <c r="I830" s="3" t="s">
        <v>806</v>
      </c>
      <c r="J830" s="4">
        <v>3</v>
      </c>
      <c r="K830" s="4">
        <v>956.17520000000002</v>
      </c>
      <c r="L830" s="4" t="str">
        <f>HYPERLINK("http://ms.phosphosite.org:5080/cgi-bin/plot-msms.cgi?MassType=1&amp;NumAxis=1&amp;Mod1=184&amp;Mod14=184&amp;Pep=RFEGPPGPVGTPLRFEGPIGQAGGGGFR&amp;Dta=/var/www/html/dta/yong/23616.18557.3.dta&amp;Global_Mod=CS57.0215", "18557")</f>
        <v>18557</v>
      </c>
      <c r="M830" s="4" t="str">
        <f>HYPERLINK("http://ms.phosphosite.org:5080/cgi-bin/plot-msms.cgi?MassType=1&amp;NumAxis=1&amp;Mod1=184&amp;Mod14=184&amp;Pep=RFEGPPGPVGTPLRFEGPIGQAGGGGFR&amp;Dta=/var/www/html/dta/yong/23617.18754.3.dta&amp;Global_Mod=CS57.0215", "18754")</f>
        <v>18754</v>
      </c>
      <c r="N830" s="5">
        <v>85.73</v>
      </c>
      <c r="O830" s="5">
        <v>85.81</v>
      </c>
      <c r="P830" s="5">
        <v>3.4180000000000001</v>
      </c>
      <c r="Q830" s="5">
        <v>2.7429999999999999</v>
      </c>
      <c r="R830" s="5">
        <v>0.27179999999999999</v>
      </c>
      <c r="S830" s="5">
        <v>0.72370000000000001</v>
      </c>
      <c r="T830" s="5">
        <v>0.20250000000000001</v>
      </c>
      <c r="U830" s="5">
        <v>1.7000000000000001E-2</v>
      </c>
      <c r="V830" s="4">
        <v>1</v>
      </c>
      <c r="W830" s="4">
        <v>47</v>
      </c>
      <c r="X830" s="5">
        <v>2.61</v>
      </c>
      <c r="Y830" s="5">
        <v>1.35</v>
      </c>
      <c r="Z830" s="6" t="s">
        <v>1306</v>
      </c>
      <c r="AA830" s="6" t="s">
        <v>1306</v>
      </c>
      <c r="AB830" s="4" t="s">
        <v>13</v>
      </c>
    </row>
    <row r="831" spans="1:28">
      <c r="A831" s="3" t="s">
        <v>773</v>
      </c>
      <c r="B831" s="3" t="s">
        <v>774</v>
      </c>
      <c r="C831" s="3" t="s">
        <v>774</v>
      </c>
      <c r="D831" s="4" t="s">
        <v>801</v>
      </c>
      <c r="E831" s="3" t="s">
        <v>775</v>
      </c>
      <c r="F831" s="7" t="s">
        <v>1411</v>
      </c>
      <c r="G831" s="4">
        <v>172.9</v>
      </c>
      <c r="H831" s="3" t="s">
        <v>802</v>
      </c>
      <c r="I831" s="3" t="s">
        <v>803</v>
      </c>
      <c r="J831" s="4">
        <v>4</v>
      </c>
      <c r="K831" s="4">
        <v>880.96220000000005</v>
      </c>
      <c r="L831" s="4" t="str">
        <f>HYPERLINK("http://ms.phosphosite.org:5080/cgi-bin/plot-msms.cgi?MassType=1&amp;NumAxis=1&amp;Mod8=184&amp;Mod21=184&amp;Pep=LGGGCPLRFEGPPGPVGTPLRFEGPIGQAGGGGFR&amp;Dta=/var/www/html/dta/yong/23616.21825.4.dta&amp;Global_Mod=CS57.0215", "21825")</f>
        <v>21825</v>
      </c>
      <c r="M831" s="4" t="str">
        <f>HYPERLINK("http://ms.phosphosite.org:5080/cgi-bin/plot-msms.cgi?MassType=1&amp;NumAxis=1&amp;Mod8=184&amp;Mod21=184&amp;Pep=LGGGCPLRFEGPPGPVGTPLRFEGPIGQAGGGGFR&amp;Dta=/var/www/html/dta/yong/23617.21974.4.dta&amp;Global_Mod=CS57.0215", "21974")</f>
        <v>21974</v>
      </c>
      <c r="N831" s="5">
        <v>99.4</v>
      </c>
      <c r="O831" s="5">
        <v>99.35</v>
      </c>
      <c r="P831" s="5">
        <v>4.5030000000000001</v>
      </c>
      <c r="Q831" s="5">
        <v>4.0140000000000002</v>
      </c>
      <c r="R831" s="5">
        <v>1.4722999999999999</v>
      </c>
      <c r="S831" s="5">
        <v>1.3567</v>
      </c>
      <c r="T831" s="5">
        <v>0.30990000000000001</v>
      </c>
      <c r="U831" s="5">
        <v>0.16950000000000001</v>
      </c>
      <c r="V831" s="4">
        <v>1</v>
      </c>
      <c r="W831" s="4">
        <v>1</v>
      </c>
      <c r="X831" s="5">
        <v>3.44</v>
      </c>
      <c r="Y831" s="5">
        <v>2.52</v>
      </c>
      <c r="Z831" s="6" t="s">
        <v>1306</v>
      </c>
      <c r="AA831" s="6" t="s">
        <v>1306</v>
      </c>
      <c r="AB831" s="4" t="s">
        <v>13</v>
      </c>
    </row>
    <row r="832" spans="1:28" s="18" customFormat="1">
      <c r="A832" s="18" t="s">
        <v>773</v>
      </c>
      <c r="B832" s="18" t="s">
        <v>774</v>
      </c>
      <c r="C832" s="18" t="s">
        <v>774</v>
      </c>
      <c r="D832" s="19" t="s">
        <v>801</v>
      </c>
      <c r="E832" s="18" t="s">
        <v>775</v>
      </c>
      <c r="F832" s="15" t="s">
        <v>1411</v>
      </c>
      <c r="G832" s="19">
        <v>172.9</v>
      </c>
      <c r="H832" s="18" t="s">
        <v>804</v>
      </c>
      <c r="I832" s="18" t="s">
        <v>805</v>
      </c>
      <c r="J832" s="19">
        <v>5</v>
      </c>
      <c r="K832" s="19">
        <v>876.45910000000003</v>
      </c>
      <c r="L832" s="19"/>
      <c r="M832" s="19" t="str">
        <f>HYPERLINK("http://ms.phosphosite.org:5080/cgi-bin/plot-msms.cgi?MassType=1&amp;NumAxis=1&amp;Mod8=184&amp;Mod21=184&amp;Mod43=170&amp;Pep=LGGGCPLRFEGPPGPVGTPLRFEGPIGQAGGGGFRFEGSPGLR&amp;Dta=/var/www/html/dta/yong/23617.23126.5.dta&amp;Global_Mod=CS57.0215", "23126")</f>
        <v>23126</v>
      </c>
      <c r="N832" s="20"/>
      <c r="O832" s="20">
        <v>104</v>
      </c>
      <c r="P832" s="20"/>
      <c r="Q832" s="20">
        <v>4.2300000000000004</v>
      </c>
      <c r="R832" s="20"/>
      <c r="S832" s="20">
        <v>-1.5212000000000001</v>
      </c>
      <c r="T832" s="20"/>
      <c r="U832" s="20">
        <v>0.1699</v>
      </c>
      <c r="V832" s="19"/>
      <c r="W832" s="19">
        <v>2</v>
      </c>
      <c r="X832" s="20"/>
      <c r="Y832" s="20">
        <v>2.2999999999999998</v>
      </c>
      <c r="Z832" s="21"/>
      <c r="AA832" s="21" t="s">
        <v>1307</v>
      </c>
      <c r="AB832" s="19" t="s">
        <v>13</v>
      </c>
    </row>
    <row r="833" spans="1:28">
      <c r="A833" s="3" t="s">
        <v>773</v>
      </c>
      <c r="B833" s="3" t="s">
        <v>774</v>
      </c>
      <c r="C833" s="3" t="s">
        <v>774</v>
      </c>
      <c r="D833" s="4" t="s">
        <v>811</v>
      </c>
      <c r="E833" s="3" t="s">
        <v>775</v>
      </c>
      <c r="F833" s="7" t="s">
        <v>1411</v>
      </c>
      <c r="G833" s="4">
        <v>172.9</v>
      </c>
      <c r="H833" s="3" t="s">
        <v>808</v>
      </c>
      <c r="I833" s="3" t="s">
        <v>812</v>
      </c>
      <c r="J833" s="4">
        <v>5</v>
      </c>
      <c r="K833" s="4">
        <v>879.26229999999998</v>
      </c>
      <c r="L833" s="4" t="str">
        <f>HYPERLINK("http://ms.phosphosite.org:5080/cgi-bin/plot-msms.cgi?MassType=1&amp;NumAxis=1&amp;Mod8=184&amp;Mod21=184&amp;Mod43=184&amp;Pep=LGGGCPLRFEGPPGPVGTPLRFEGPIGQAGGGGFRFEGSPGLR&amp;Dta=/var/www/html/dta/yong/23616.23005.5.dta&amp;Global_Mod=CS57.0215", "23005")</f>
        <v>23005</v>
      </c>
      <c r="M833" s="4"/>
      <c r="N833" s="5">
        <v>104.13</v>
      </c>
      <c r="O833" s="5"/>
      <c r="P833" s="5">
        <v>3.9409999999999998</v>
      </c>
      <c r="Q833" s="5"/>
      <c r="R833" s="5">
        <v>0.66749999999999998</v>
      </c>
      <c r="S833" s="5"/>
      <c r="T833" s="5">
        <v>0.30020000000000002</v>
      </c>
      <c r="U833" s="5"/>
      <c r="V833" s="4">
        <v>3</v>
      </c>
      <c r="W833" s="4"/>
      <c r="X833" s="5">
        <v>3.02</v>
      </c>
      <c r="Y833" s="5"/>
      <c r="Z833" s="6" t="s">
        <v>1307</v>
      </c>
      <c r="AA833" s="6"/>
      <c r="AB833" s="4" t="s">
        <v>13</v>
      </c>
    </row>
    <row r="834" spans="1:28">
      <c r="A834" s="3" t="s">
        <v>773</v>
      </c>
      <c r="B834" s="3" t="s">
        <v>774</v>
      </c>
      <c r="C834" s="3" t="s">
        <v>774</v>
      </c>
      <c r="D834" s="4" t="s">
        <v>819</v>
      </c>
      <c r="E834" s="3" t="s">
        <v>775</v>
      </c>
      <c r="F834" s="7" t="s">
        <v>1411</v>
      </c>
      <c r="G834" s="4">
        <v>172.9</v>
      </c>
      <c r="H834" s="3" t="s">
        <v>820</v>
      </c>
      <c r="I834" s="3" t="s">
        <v>821</v>
      </c>
      <c r="J834" s="4">
        <v>3</v>
      </c>
      <c r="K834" s="4">
        <v>802.42060000000004</v>
      </c>
      <c r="L834" s="4" t="str">
        <f>HYPERLINK("http://ms.phosphosite.org:5080/cgi-bin/plot-msms.cgi?MassType=1&amp;NumAxis=1&amp;Mod1=184&amp;Mod15=184&amp;Pep=RFEGPIGQAGGGGFRFEGSPGLR&amp;Dta=/var/www/html/dta/yong/23616.15651.3.dta&amp;Global_Mod=CS57.0215", "15651")</f>
        <v>15651</v>
      </c>
      <c r="M834" s="4" t="str">
        <f>HYPERLINK("http://ms.phosphosite.org:5080/cgi-bin/plot-msms.cgi?MassType=1&amp;NumAxis=1&amp;Mod1=184&amp;Mod15=184&amp;Pep=RFEGPIGQAGGGGFRFEGSPGLR&amp;Dta=/var/www/html/dta/yong/23617.15844.3.dta&amp;Global_Mod=CS57.0215", "15844")</f>
        <v>15844</v>
      </c>
      <c r="N834" s="5">
        <v>73.45</v>
      </c>
      <c r="O834" s="5">
        <v>73.430000000000007</v>
      </c>
      <c r="P834" s="5">
        <v>3.8679999999999999</v>
      </c>
      <c r="Q834" s="5">
        <v>2.9870000000000001</v>
      </c>
      <c r="R834" s="5">
        <v>0.24379999999999999</v>
      </c>
      <c r="S834" s="5">
        <v>1.7199</v>
      </c>
      <c r="T834" s="5">
        <v>0.36380000000000001</v>
      </c>
      <c r="U834" s="5">
        <v>0.2485</v>
      </c>
      <c r="V834" s="4">
        <v>1</v>
      </c>
      <c r="W834" s="4">
        <v>1</v>
      </c>
      <c r="X834" s="5">
        <v>3.7</v>
      </c>
      <c r="Y834" s="5">
        <v>2.75</v>
      </c>
      <c r="Z834" s="6" t="s">
        <v>1306</v>
      </c>
      <c r="AA834" s="6" t="s">
        <v>1306</v>
      </c>
      <c r="AB834" s="4" t="s">
        <v>13</v>
      </c>
    </row>
    <row r="835" spans="1:28">
      <c r="A835" s="3" t="s">
        <v>773</v>
      </c>
      <c r="B835" s="3" t="s">
        <v>774</v>
      </c>
      <c r="C835" s="3" t="s">
        <v>774</v>
      </c>
      <c r="D835" s="4" t="s">
        <v>819</v>
      </c>
      <c r="E835" s="3" t="s">
        <v>775</v>
      </c>
      <c r="F835" s="7" t="s">
        <v>1411</v>
      </c>
      <c r="G835" s="4">
        <v>172.9</v>
      </c>
      <c r="H835" s="3" t="s">
        <v>820</v>
      </c>
      <c r="I835" s="3" t="s">
        <v>821</v>
      </c>
      <c r="J835" s="4">
        <v>3</v>
      </c>
      <c r="K835" s="4">
        <v>802.42060000000004</v>
      </c>
      <c r="L835" s="4" t="str">
        <f>HYPERLINK("http://ms.phosphosite.org:5080/cgi-bin/plot-msms.cgi?MassType=1&amp;NumAxis=1&amp;Mod1=184&amp;Mod15=184&amp;Pep=RFEGPIGQAGGGGFRFEGSPGLR&amp;Dta=/var/www/html/dta/yong/23616.15686.3.dta&amp;Global_Mod=CS57.0215", "15686")</f>
        <v>15686</v>
      </c>
      <c r="M835" s="4" t="str">
        <f>HYPERLINK("http://ms.phosphosite.org:5080/cgi-bin/plot-msms.cgi?MassType=1&amp;NumAxis=1&amp;Mod1=184&amp;Mod15=184&amp;Pep=RFEGPIGQAGGGGFRFEGSPGLR&amp;Dta=/var/www/html/dta/yong/23617.15824.3.dta&amp;Global_Mod=CS57.0215", "15824")</f>
        <v>15824</v>
      </c>
      <c r="N835" s="5">
        <v>73.58</v>
      </c>
      <c r="O835" s="5">
        <v>73.349999999999994</v>
      </c>
      <c r="P835" s="5">
        <v>2.9830000000000001</v>
      </c>
      <c r="Q835" s="5">
        <v>3.6269999999999998</v>
      </c>
      <c r="R835" s="5">
        <v>0.16700000000000001</v>
      </c>
      <c r="S835" s="5">
        <v>0.61650000000000005</v>
      </c>
      <c r="T835" s="5">
        <v>0.2462</v>
      </c>
      <c r="U835" s="5">
        <v>0.121</v>
      </c>
      <c r="V835" s="4">
        <v>1</v>
      </c>
      <c r="W835" s="4">
        <v>1</v>
      </c>
      <c r="X835" s="5">
        <v>2.77</v>
      </c>
      <c r="Y835" s="5">
        <v>2.2799999999999998</v>
      </c>
      <c r="Z835" s="6" t="s">
        <v>1306</v>
      </c>
      <c r="AA835" s="6" t="s">
        <v>1306</v>
      </c>
      <c r="AB835" s="4" t="s">
        <v>13</v>
      </c>
    </row>
    <row r="836" spans="1:28">
      <c r="A836" s="3" t="s">
        <v>773</v>
      </c>
      <c r="B836" s="3" t="s">
        <v>774</v>
      </c>
      <c r="C836" s="3" t="s">
        <v>774</v>
      </c>
      <c r="D836" s="4" t="s">
        <v>819</v>
      </c>
      <c r="E836" s="3" t="s">
        <v>775</v>
      </c>
      <c r="F836" s="7" t="s">
        <v>1411</v>
      </c>
      <c r="G836" s="4">
        <v>172.9</v>
      </c>
      <c r="H836" s="3" t="s">
        <v>820</v>
      </c>
      <c r="I836" s="3" t="s">
        <v>821</v>
      </c>
      <c r="J836" s="4">
        <v>3</v>
      </c>
      <c r="K836" s="4">
        <v>802.42060000000004</v>
      </c>
      <c r="L836" s="4"/>
      <c r="M836" s="4" t="str">
        <f>HYPERLINK("http://ms.phosphosite.org:5080/cgi-bin/plot-msms.cgi?MassType=1&amp;NumAxis=1&amp;Mod1=184&amp;Mod15=184&amp;Pep=RFEGPIGQAGGGGFRFEGSPGLR&amp;Dta=/var/www/html/dta/yong/23617.15874.3.dta&amp;Global_Mod=CS57.0215", "15874")</f>
        <v>15874</v>
      </c>
      <c r="N836" s="5"/>
      <c r="O836" s="5">
        <v>73.55</v>
      </c>
      <c r="P836" s="5"/>
      <c r="Q836" s="5">
        <v>3.4350000000000001</v>
      </c>
      <c r="R836" s="5"/>
      <c r="S836" s="5">
        <v>1.7199</v>
      </c>
      <c r="T836" s="5"/>
      <c r="U836" s="5">
        <v>0.28299999999999997</v>
      </c>
      <c r="V836" s="4"/>
      <c r="W836" s="4">
        <v>1</v>
      </c>
      <c r="X836" s="5"/>
      <c r="Y836" s="5">
        <v>3.08</v>
      </c>
      <c r="Z836" s="6"/>
      <c r="AA836" s="6" t="s">
        <v>1306</v>
      </c>
      <c r="AB836" s="4" t="s">
        <v>13</v>
      </c>
    </row>
    <row r="837" spans="1:28">
      <c r="A837" s="3" t="s">
        <v>773</v>
      </c>
      <c r="B837" s="3" t="s">
        <v>774</v>
      </c>
      <c r="C837" s="3" t="s">
        <v>774</v>
      </c>
      <c r="D837" s="4" t="s">
        <v>824</v>
      </c>
      <c r="E837" s="3" t="s">
        <v>775</v>
      </c>
      <c r="F837" s="7" t="s">
        <v>1411</v>
      </c>
      <c r="G837" s="4">
        <v>172.9</v>
      </c>
      <c r="H837" s="3" t="s">
        <v>825</v>
      </c>
      <c r="I837" s="3" t="s">
        <v>826</v>
      </c>
      <c r="J837" s="4">
        <v>5</v>
      </c>
      <c r="K837" s="4">
        <v>740.98770000000002</v>
      </c>
      <c r="L837" s="4" t="str">
        <f>HYPERLINK("http://ms.phosphosite.org:5080/cgi-bin/plot-msms.cgi?MassType=1&amp;NumAxis=1&amp;Mod7=184&amp;Mod15=184&amp;Mod24=184&amp;Pep=AGGGGFRFEGSPGLRFEGSPGGLRFEGPGGQPVGGLR&amp;Dta=/var/www/html/dta/yong/23616.19763.5.dta&amp;Global_Mod=CS57.0215", "19763")</f>
        <v>19763</v>
      </c>
      <c r="M837" s="4"/>
      <c r="N837" s="5">
        <v>90.86</v>
      </c>
      <c r="O837" s="5"/>
      <c r="P837" s="5">
        <v>3.077</v>
      </c>
      <c r="Q837" s="5"/>
      <c r="R837" s="5">
        <v>1.2741</v>
      </c>
      <c r="S837" s="5"/>
      <c r="T837" s="5">
        <v>0.20860000000000001</v>
      </c>
      <c r="U837" s="5"/>
      <c r="V837" s="4">
        <v>3</v>
      </c>
      <c r="W837" s="4"/>
      <c r="X837" s="5">
        <v>2.2799999999999998</v>
      </c>
      <c r="Y837" s="5"/>
      <c r="Z837" s="6" t="s">
        <v>1307</v>
      </c>
      <c r="AA837" s="6"/>
      <c r="AB837" s="4" t="s">
        <v>13</v>
      </c>
    </row>
    <row r="838" spans="1:28">
      <c r="A838" s="3" t="s">
        <v>773</v>
      </c>
      <c r="B838" s="3" t="s">
        <v>774</v>
      </c>
      <c r="C838" s="3" t="s">
        <v>774</v>
      </c>
      <c r="D838" s="4" t="s">
        <v>829</v>
      </c>
      <c r="E838" s="3" t="s">
        <v>775</v>
      </c>
      <c r="F838" s="7" t="s">
        <v>1411</v>
      </c>
      <c r="G838" s="4">
        <v>172.9</v>
      </c>
      <c r="H838" s="3" t="s">
        <v>830</v>
      </c>
      <c r="I838" s="3" t="s">
        <v>834</v>
      </c>
      <c r="J838" s="4">
        <v>4</v>
      </c>
      <c r="K838" s="4">
        <v>768.40189999999996</v>
      </c>
      <c r="L838" s="4" t="str">
        <f>HYPERLINK("http://ms.phosphosite.org:5080/cgi-bin/plot-msms.cgi?MassType=1&amp;NumAxis=1&amp;Mod8=184&amp;Mod17=184&amp;Pep=FEGSPGLRFEGSPGGLRFEGPGGQPVGGLR&amp;Dta=/var/www/html/dta/yong/23616.18674.4.dta&amp;Global_Mod=CS57.0215", "18674")</f>
        <v>18674</v>
      </c>
      <c r="M838" s="4" t="str">
        <f>HYPERLINK("http://ms.phosphosite.org:5080/cgi-bin/plot-msms.cgi?MassType=1&amp;NumAxis=1&amp;Mod8=184&amp;Mod17=184&amp;Pep=FEGSPGLRFEGSPGGLRFEGPGGQPVGGLR&amp;Dta=/var/www/html/dta/yong/23617.18832.4.dta&amp;Global_Mod=CS57.0215", "18832")</f>
        <v>18832</v>
      </c>
      <c r="N838" s="5">
        <v>86.27</v>
      </c>
      <c r="O838" s="5">
        <v>86.18</v>
      </c>
      <c r="P838" s="5">
        <v>3.3029999999999999</v>
      </c>
      <c r="Q838" s="5">
        <v>3.6120000000000001</v>
      </c>
      <c r="R838" s="5">
        <v>0.86619999999999997</v>
      </c>
      <c r="S838" s="5">
        <v>0.59409999999999996</v>
      </c>
      <c r="T838" s="5">
        <v>0.19739999999999999</v>
      </c>
      <c r="U838" s="5">
        <v>0.24979999999999999</v>
      </c>
      <c r="V838" s="4">
        <v>2</v>
      </c>
      <c r="W838" s="4">
        <v>1</v>
      </c>
      <c r="X838" s="5">
        <v>2.5299999999999998</v>
      </c>
      <c r="Y838" s="5">
        <v>2.94</v>
      </c>
      <c r="Z838" s="6" t="s">
        <v>1306</v>
      </c>
      <c r="AA838" s="6" t="s">
        <v>1306</v>
      </c>
      <c r="AB838" s="4" t="s">
        <v>13</v>
      </c>
    </row>
    <row r="839" spans="1:28">
      <c r="A839" s="3" t="s">
        <v>773</v>
      </c>
      <c r="B839" s="3" t="s">
        <v>774</v>
      </c>
      <c r="C839" s="3" t="s">
        <v>774</v>
      </c>
      <c r="D839" s="4" t="s">
        <v>829</v>
      </c>
      <c r="E839" s="3" t="s">
        <v>775</v>
      </c>
      <c r="F839" s="7" t="s">
        <v>1411</v>
      </c>
      <c r="G839" s="4">
        <v>172.9</v>
      </c>
      <c r="H839" s="3" t="s">
        <v>830</v>
      </c>
      <c r="I839" s="3" t="s">
        <v>832</v>
      </c>
      <c r="J839" s="4">
        <v>3</v>
      </c>
      <c r="K839" s="4">
        <v>656.01089999999999</v>
      </c>
      <c r="L839" s="4" t="str">
        <f>HYPERLINK("http://ms.phosphosite.org:5080/cgi-bin/plot-msms.cgi?MassType=1&amp;NumAxis=1&amp;Mod8=184&amp;Mod17=184&amp;Pep=FEGSPGLRFEGSPGGLRF&amp;Dta=/var/www/html/dta/yong/23616.19745.3.dta&amp;Global_Mod=CS57.0215", "19745")</f>
        <v>19745</v>
      </c>
      <c r="M839" s="4" t="str">
        <f>HYPERLINK("http://ms.phosphosite.org:5080/cgi-bin/plot-msms.cgi?MassType=1&amp;NumAxis=1&amp;Mod8=184&amp;Mod17=184&amp;Pep=FEGSPGLRFEGSPGGLRF&amp;Dta=/var/www/html/dta/yong/23617.19918.3.dta&amp;Global_Mod=CS57.0215", "19918")</f>
        <v>19918</v>
      </c>
      <c r="N839" s="5">
        <v>90.8</v>
      </c>
      <c r="O839" s="5">
        <v>90.77</v>
      </c>
      <c r="P839" s="5">
        <v>2.694</v>
      </c>
      <c r="Q839" s="5">
        <v>2.9430000000000001</v>
      </c>
      <c r="R839" s="5">
        <v>1.2231000000000001</v>
      </c>
      <c r="S839" s="5">
        <v>0.98760000000000003</v>
      </c>
      <c r="T839" s="5">
        <v>0.2394</v>
      </c>
      <c r="U839" s="5">
        <v>0.30330000000000001</v>
      </c>
      <c r="V839" s="4">
        <v>2</v>
      </c>
      <c r="W839" s="4">
        <v>2</v>
      </c>
      <c r="X839" s="5">
        <v>2.68</v>
      </c>
      <c r="Y839" s="5">
        <v>3.13</v>
      </c>
      <c r="Z839" s="6" t="s">
        <v>1306</v>
      </c>
      <c r="AA839" s="6" t="s">
        <v>1306</v>
      </c>
      <c r="AB839" s="4" t="s">
        <v>13</v>
      </c>
    </row>
    <row r="840" spans="1:28">
      <c r="A840" s="3" t="s">
        <v>773</v>
      </c>
      <c r="B840" s="3" t="s">
        <v>774</v>
      </c>
      <c r="C840" s="3" t="s">
        <v>774</v>
      </c>
      <c r="D840" s="4" t="s">
        <v>829</v>
      </c>
      <c r="E840" s="3" t="s">
        <v>775</v>
      </c>
      <c r="F840" s="7" t="s">
        <v>1411</v>
      </c>
      <c r="G840" s="4">
        <v>172.9</v>
      </c>
      <c r="H840" s="3" t="s">
        <v>830</v>
      </c>
      <c r="I840" s="3" t="s">
        <v>833</v>
      </c>
      <c r="J840" s="4">
        <v>3</v>
      </c>
      <c r="K840" s="4">
        <v>896.45740000000001</v>
      </c>
      <c r="L840" s="4" t="str">
        <f>HYPERLINK("http://ms.phosphosite.org:5080/cgi-bin/plot-msms.cgi?MassType=1&amp;NumAxis=1&amp;Mod8=184&amp;Mod17=184&amp;Pep=FEGSPGLRFEGSPGGLRFEGPGGQPV&amp;Dta=/var/www/html/dta/yong/23616.19928.3.dta&amp;Global_Mod=CS57.0215", "19928")</f>
        <v>19928</v>
      </c>
      <c r="M840" s="4" t="str">
        <f>HYPERLINK("http://ms.phosphosite.org:5080/cgi-bin/plot-msms.cgi?MassType=1&amp;NumAxis=1&amp;Mod8=184&amp;Mod17=184&amp;Pep=FEGSPGLRFEGSPGGLRFEGPGGQPV&amp;Dta=/var/www/html/dta/yong/23617.20093.3.dta&amp;Global_Mod=CS57.0215", "20093")</f>
        <v>20093</v>
      </c>
      <c r="N840" s="5">
        <v>91.55</v>
      </c>
      <c r="O840" s="5">
        <v>91.54</v>
      </c>
      <c r="P840" s="5">
        <v>2.181</v>
      </c>
      <c r="Q840" s="5">
        <v>2.3290000000000002</v>
      </c>
      <c r="R840" s="5">
        <v>1.0059</v>
      </c>
      <c r="S840" s="5">
        <v>1.0606</v>
      </c>
      <c r="T840" s="5">
        <v>0.17979999999999999</v>
      </c>
      <c r="U840" s="5">
        <v>0.22</v>
      </c>
      <c r="V840" s="4">
        <v>26</v>
      </c>
      <c r="W840" s="4">
        <v>1</v>
      </c>
      <c r="X840" s="5">
        <v>2.11</v>
      </c>
      <c r="Y840" s="5">
        <v>2.39</v>
      </c>
      <c r="Z840" s="6" t="s">
        <v>1306</v>
      </c>
      <c r="AA840" s="6" t="s">
        <v>1306</v>
      </c>
      <c r="AB840" s="4" t="s">
        <v>13</v>
      </c>
    </row>
    <row r="841" spans="1:28">
      <c r="A841" s="3" t="s">
        <v>773</v>
      </c>
      <c r="B841" s="3" t="s">
        <v>774</v>
      </c>
      <c r="C841" s="3" t="s">
        <v>774</v>
      </c>
      <c r="D841" s="4" t="s">
        <v>829</v>
      </c>
      <c r="E841" s="3" t="s">
        <v>775</v>
      </c>
      <c r="F841" s="7" t="s">
        <v>1411</v>
      </c>
      <c r="G841" s="4">
        <v>172.9</v>
      </c>
      <c r="H841" s="3" t="s">
        <v>830</v>
      </c>
      <c r="I841" s="3" t="s">
        <v>831</v>
      </c>
      <c r="J841" s="4">
        <v>3</v>
      </c>
      <c r="K841" s="4">
        <v>606.98810000000003</v>
      </c>
      <c r="L841" s="4"/>
      <c r="M841" s="4" t="str">
        <f>HYPERLINK("http://ms.phosphosite.org:5080/cgi-bin/plot-msms.cgi?MassType=1&amp;NumAxis=1&amp;Mod8=184&amp;Mod17=184&amp;Pep=FEGSPGLRFEGSPGGLR&amp;Dta=/var/www/html/dta/yong/23617.14359.3.dta&amp;Global_Mod=CS57.0215", "14359")</f>
        <v>14359</v>
      </c>
      <c r="N841" s="5"/>
      <c r="O841" s="5">
        <v>67.2</v>
      </c>
      <c r="P841" s="5"/>
      <c r="Q841" s="5">
        <v>1.9830000000000001</v>
      </c>
      <c r="R841" s="5"/>
      <c r="S841" s="5">
        <v>0.22770000000000001</v>
      </c>
      <c r="T841" s="5"/>
      <c r="U841" s="5">
        <v>8.6499999999999994E-2</v>
      </c>
      <c r="V841" s="4"/>
      <c r="W841" s="4">
        <v>449</v>
      </c>
      <c r="X841" s="5"/>
      <c r="Y841" s="5">
        <v>1.61</v>
      </c>
      <c r="Z841" s="6"/>
      <c r="AA841" s="6" t="s">
        <v>1306</v>
      </c>
      <c r="AB841" s="4" t="s">
        <v>13</v>
      </c>
    </row>
    <row r="842" spans="1:28">
      <c r="A842" s="3" t="s">
        <v>773</v>
      </c>
      <c r="B842" s="3" t="s">
        <v>774</v>
      </c>
      <c r="C842" s="3" t="s">
        <v>774</v>
      </c>
      <c r="D842" s="4" t="s">
        <v>829</v>
      </c>
      <c r="E842" s="3" t="s">
        <v>775</v>
      </c>
      <c r="F842" s="7" t="s">
        <v>1411</v>
      </c>
      <c r="G842" s="4">
        <v>172.9</v>
      </c>
      <c r="H842" s="3" t="s">
        <v>830</v>
      </c>
      <c r="I842" s="3" t="s">
        <v>833</v>
      </c>
      <c r="J842" s="4">
        <v>3</v>
      </c>
      <c r="K842" s="4">
        <v>896.45740000000001</v>
      </c>
      <c r="L842" s="4"/>
      <c r="M842" s="4" t="str">
        <f>HYPERLINK("http://ms.phosphosite.org:5080/cgi-bin/plot-msms.cgi?MassType=1&amp;NumAxis=1&amp;Mod8=184&amp;Mod17=184&amp;Pep=FEGSPGLRFEGSPGGLRFEGPGGQPV&amp;Dta=/var/www/html/dta/yong/23617.20108.3.dta&amp;Global_Mod=CS57.0215", "20108")</f>
        <v>20108</v>
      </c>
      <c r="N842" s="5"/>
      <c r="O842" s="5">
        <v>91.61</v>
      </c>
      <c r="P842" s="5"/>
      <c r="Q842" s="5">
        <v>2.2890000000000001</v>
      </c>
      <c r="R842" s="5"/>
      <c r="S842" s="5">
        <v>1.0630999999999999</v>
      </c>
      <c r="T842" s="5"/>
      <c r="U842" s="5">
        <v>0.14069999999999999</v>
      </c>
      <c r="V842" s="4"/>
      <c r="W842" s="4">
        <v>31</v>
      </c>
      <c r="X842" s="5"/>
      <c r="Y842" s="5">
        <v>1.92</v>
      </c>
      <c r="Z842" s="6"/>
      <c r="AA842" s="6" t="s">
        <v>1306</v>
      </c>
      <c r="AB842" s="4" t="s">
        <v>13</v>
      </c>
    </row>
    <row r="843" spans="1:28">
      <c r="A843" s="3" t="s">
        <v>773</v>
      </c>
      <c r="B843" s="3" t="s">
        <v>774</v>
      </c>
      <c r="C843" s="3" t="s">
        <v>774</v>
      </c>
      <c r="D843" s="4" t="s">
        <v>845</v>
      </c>
      <c r="E843" s="3" t="s">
        <v>775</v>
      </c>
      <c r="F843" s="7" t="s">
        <v>1411</v>
      </c>
      <c r="G843" s="4">
        <v>172.9</v>
      </c>
      <c r="H843" s="3" t="s">
        <v>846</v>
      </c>
      <c r="I843" s="3" t="s">
        <v>847</v>
      </c>
      <c r="J843" s="4">
        <v>6</v>
      </c>
      <c r="K843" s="4">
        <v>897.45759999999996</v>
      </c>
      <c r="L843" s="4" t="str">
        <f>HYPERLINK("http://ms.phosphosite.org:5080/cgi-bin/plot-msms.cgi?MassType=1&amp;NumAxis=1&amp;Mod13=184&amp;Mod26=184&amp;Mod38=147&amp;Mod39=184&amp;Pep=FEGGHGPSGAAIRFDGPHGQPGGGIRFEGPLLQQGVGMRFEGPHGQSVAGLR&amp;Dta=/var/www/html/dta/yong/23616.18003.6.dta&amp;Global_Mod=CS57.0215", "18003")</f>
        <v>18003</v>
      </c>
      <c r="M843" s="4"/>
      <c r="N843" s="5">
        <v>83.29</v>
      </c>
      <c r="O843" s="5"/>
      <c r="P843" s="5">
        <v>3.6059999999999999</v>
      </c>
      <c r="Q843" s="5"/>
      <c r="R843" s="5">
        <v>1.6462000000000001</v>
      </c>
      <c r="S843" s="5"/>
      <c r="T843" s="5">
        <v>0.114</v>
      </c>
      <c r="U843" s="5"/>
      <c r="V843" s="4">
        <v>3</v>
      </c>
      <c r="W843" s="4"/>
      <c r="X843" s="5">
        <v>1.75</v>
      </c>
      <c r="Y843" s="5"/>
      <c r="Z843" s="6" t="s">
        <v>1307</v>
      </c>
      <c r="AA843" s="6"/>
      <c r="AB843" s="4" t="s">
        <v>13</v>
      </c>
    </row>
    <row r="844" spans="1:28">
      <c r="A844" s="3" t="s">
        <v>773</v>
      </c>
      <c r="B844" s="3" t="s">
        <v>860</v>
      </c>
      <c r="C844" s="3" t="s">
        <v>860</v>
      </c>
      <c r="D844" s="4">
        <v>216</v>
      </c>
      <c r="E844" s="3" t="s">
        <v>861</v>
      </c>
      <c r="F844" s="7" t="s">
        <v>1412</v>
      </c>
      <c r="G844" s="4">
        <v>100.2</v>
      </c>
      <c r="H844" s="3" t="s">
        <v>862</v>
      </c>
      <c r="I844" s="3" t="s">
        <v>863</v>
      </c>
      <c r="J844" s="4">
        <v>3</v>
      </c>
      <c r="K844" s="4">
        <v>769.7364</v>
      </c>
      <c r="L844" s="4" t="str">
        <f>HYPERLINK("http://ms.phosphosite.org:5080/cgi-bin/plot-msms.cgi?MassType=1&amp;NumAxis=1&amp;Mod1=147&amp;Mod12=147&amp;Mod18=184&amp;Pep=MGTPVPRPPQDMGQIGVRTPL&amp;Dta=/var/www/html/dta/yong/23616.13662.3.dta&amp;Global_Mod=CS57.0215", "13662")</f>
        <v>13662</v>
      </c>
      <c r="M844" s="4" t="str">
        <f>HYPERLINK("http://ms.phosphosite.org:5080/cgi-bin/plot-msms.cgi?MassType=1&amp;NumAxis=1&amp;Mod1=147&amp;Mod12=147&amp;Mod18=184&amp;Pep=MGTPVPRPPQDMGQIGVRTPL&amp;Dta=/var/www/html/dta/yong/23617.13745.3.dta&amp;Global_Mod=CS57.0215", "13745")</f>
        <v>13745</v>
      </c>
      <c r="N844" s="5">
        <v>64.88</v>
      </c>
      <c r="O844" s="5">
        <v>64.5</v>
      </c>
      <c r="P844" s="5">
        <v>2.2410000000000001</v>
      </c>
      <c r="Q844" s="5">
        <v>2.3860000000000001</v>
      </c>
      <c r="R844" s="5">
        <v>-0.24340000000000001</v>
      </c>
      <c r="S844" s="5">
        <v>4.7300000000000002E-2</v>
      </c>
      <c r="T844" s="5">
        <v>0.15620000000000001</v>
      </c>
      <c r="U844" s="5">
        <v>0.21249999999999999</v>
      </c>
      <c r="V844" s="4">
        <v>65</v>
      </c>
      <c r="W844" s="4">
        <v>40</v>
      </c>
      <c r="X844" s="5">
        <v>1.46</v>
      </c>
      <c r="Y844" s="5">
        <v>1.97</v>
      </c>
      <c r="Z844" s="6">
        <v>30</v>
      </c>
      <c r="AA844" s="6">
        <v>36</v>
      </c>
      <c r="AB844" s="4" t="s">
        <v>13</v>
      </c>
    </row>
    <row r="845" spans="1:28">
      <c r="A845" s="3" t="s">
        <v>773</v>
      </c>
      <c r="B845" s="3" t="s">
        <v>860</v>
      </c>
      <c r="C845" s="3" t="s">
        <v>860</v>
      </c>
      <c r="D845" s="4">
        <v>245</v>
      </c>
      <c r="E845" s="3" t="s">
        <v>861</v>
      </c>
      <c r="F845" s="7" t="s">
        <v>1412</v>
      </c>
      <c r="G845" s="4">
        <v>100.2</v>
      </c>
      <c r="H845" s="3" t="s">
        <v>866</v>
      </c>
      <c r="I845" s="3" t="s">
        <v>867</v>
      </c>
      <c r="J845" s="4">
        <v>3</v>
      </c>
      <c r="K845" s="4">
        <v>826.47360000000003</v>
      </c>
      <c r="L845" s="4"/>
      <c r="M845" s="4" t="str">
        <f>HYPERLINK("http://ms.phosphosite.org:5080/cgi-bin/plot-msms.cgi?MassType=1&amp;NumAxis=1&amp;Mod17=147&amp;Mod23=184&amp;Pep=VAAPVGPVGPTPTVLPMGAPVPRPR&amp;Dta=/var/www/html/dta/yong/23617.16152.3.dta&amp;Global_Mod=CS57.0215", "16152")</f>
        <v>16152</v>
      </c>
      <c r="N845" s="5"/>
      <c r="O845" s="5">
        <v>74.680000000000007</v>
      </c>
      <c r="P845" s="5"/>
      <c r="Q845" s="5">
        <v>1.613</v>
      </c>
      <c r="R845" s="5"/>
      <c r="S845" s="5">
        <v>1.1531</v>
      </c>
      <c r="T845" s="5"/>
      <c r="U845" s="5">
        <v>7.17E-2</v>
      </c>
      <c r="V845" s="4"/>
      <c r="W845" s="4">
        <v>3</v>
      </c>
      <c r="X845" s="5"/>
      <c r="Y845" s="5">
        <v>1.06</v>
      </c>
      <c r="Z845" s="6"/>
      <c r="AA845" s="6">
        <v>1000</v>
      </c>
      <c r="AB845" s="4" t="s">
        <v>13</v>
      </c>
    </row>
    <row r="846" spans="1:28">
      <c r="A846" s="3" t="s">
        <v>868</v>
      </c>
      <c r="B846" s="3" t="s">
        <v>1677</v>
      </c>
      <c r="C846" s="3" t="s">
        <v>1678</v>
      </c>
      <c r="D846" s="4">
        <v>329</v>
      </c>
      <c r="E846" s="3" t="s">
        <v>869</v>
      </c>
      <c r="F846" s="7" t="s">
        <v>1413</v>
      </c>
      <c r="G846" s="4">
        <v>41.3</v>
      </c>
      <c r="H846" s="3" t="s">
        <v>870</v>
      </c>
      <c r="I846" s="3" t="s">
        <v>872</v>
      </c>
      <c r="J846" s="4">
        <v>3</v>
      </c>
      <c r="K846" s="4">
        <v>872.76490000000001</v>
      </c>
      <c r="L846" s="4" t="str">
        <f>HYPERLINK("http://ms.phosphosite.org:5080/cgi-bin/plot-msms.cgi?MassType=1&amp;NumAxis=1&amp;Mod1=184&amp;Pep=RYAQPATATAATAAAAAAAAYSDGYGR&amp;Dta=/var/www/html/dta/yong/23616.18736.3.dta&amp;Global_Mod=CS57.0215", "18736")</f>
        <v>18736</v>
      </c>
      <c r="M846" s="4" t="str">
        <f>HYPERLINK("http://ms.phosphosite.org:5080/cgi-bin/plot-msms.cgi?MassType=1&amp;NumAxis=1&amp;Mod1=184&amp;Pep=RYAQPATATAATAAAAAAAAYSDGYGR&amp;Dta=/var/www/html/dta/yong/23617.18902.3.dta&amp;Global_Mod=CS57.0215", "18902")</f>
        <v>18902</v>
      </c>
      <c r="N846" s="5">
        <v>86.54</v>
      </c>
      <c r="O846" s="5">
        <v>86.49</v>
      </c>
      <c r="P846" s="5">
        <v>3.863</v>
      </c>
      <c r="Q846" s="5">
        <v>3.55</v>
      </c>
      <c r="R846" s="5">
        <v>1.4245000000000001</v>
      </c>
      <c r="S846" s="5">
        <v>1.1028</v>
      </c>
      <c r="T846" s="5">
        <v>0.33329999999999999</v>
      </c>
      <c r="U846" s="5">
        <v>0.28039999999999998</v>
      </c>
      <c r="V846" s="4">
        <v>1</v>
      </c>
      <c r="W846" s="4">
        <v>1</v>
      </c>
      <c r="X846" s="5">
        <v>2.72</v>
      </c>
      <c r="Y846" s="5">
        <v>2.34</v>
      </c>
      <c r="Z846" s="6">
        <v>1000</v>
      </c>
      <c r="AA846" s="6">
        <v>1000</v>
      </c>
      <c r="AB846" s="4" t="s">
        <v>13</v>
      </c>
    </row>
    <row r="847" spans="1:28">
      <c r="A847" s="3" t="s">
        <v>868</v>
      </c>
      <c r="B847" s="3" t="s">
        <v>1677</v>
      </c>
      <c r="C847" s="3" t="s">
        <v>1679</v>
      </c>
      <c r="D847" s="4">
        <v>329</v>
      </c>
      <c r="E847" s="3" t="s">
        <v>869</v>
      </c>
      <c r="F847" s="7" t="s">
        <v>1413</v>
      </c>
      <c r="G847" s="4">
        <v>41.3</v>
      </c>
      <c r="H847" s="3" t="s">
        <v>870</v>
      </c>
      <c r="I847" s="3" t="s">
        <v>871</v>
      </c>
      <c r="J847" s="4">
        <v>3</v>
      </c>
      <c r="K847" s="4">
        <v>974.47739999999999</v>
      </c>
      <c r="L847" s="4" t="str">
        <f>HYPERLINK("http://ms.phosphosite.org:5080/cgi-bin/plot-msms.cgi?MassType=1&amp;NumAxis=1&amp;Mod4=184&amp;Pep=AAYRYAQPATATAATAAAAAAAAYSDGYGR&amp;Dta=/var/www/html/dta/yong/23616.20484.3.dta&amp;Global_Mod=CS57.0215", "20484")</f>
        <v>20484</v>
      </c>
      <c r="M847" s="4"/>
      <c r="N847" s="5">
        <v>93.87</v>
      </c>
      <c r="O847" s="5"/>
      <c r="P847" s="5">
        <v>3.1850000000000001</v>
      </c>
      <c r="Q847" s="5"/>
      <c r="R847" s="5">
        <v>1.6272</v>
      </c>
      <c r="S847" s="5"/>
      <c r="T847" s="5">
        <v>0.1182</v>
      </c>
      <c r="U847" s="5"/>
      <c r="V847" s="4">
        <v>1</v>
      </c>
      <c r="W847" s="4"/>
      <c r="X847" s="5">
        <v>1.27</v>
      </c>
      <c r="Y847" s="5"/>
      <c r="Z847" s="6">
        <v>1000</v>
      </c>
      <c r="AA847" s="6"/>
      <c r="AB847" s="4" t="s">
        <v>13</v>
      </c>
    </row>
    <row r="848" spans="1:28" s="18" customFormat="1">
      <c r="A848" s="18" t="s">
        <v>876</v>
      </c>
      <c r="B848" s="18" t="s">
        <v>877</v>
      </c>
      <c r="C848" s="18" t="s">
        <v>877</v>
      </c>
      <c r="D848" s="19"/>
      <c r="E848" s="18" t="s">
        <v>878</v>
      </c>
      <c r="F848" s="15" t="s">
        <v>1415</v>
      </c>
      <c r="G848" s="19">
        <v>30.5</v>
      </c>
      <c r="I848" s="18" t="s">
        <v>879</v>
      </c>
      <c r="J848" s="19">
        <v>6</v>
      </c>
      <c r="K848" s="19">
        <v>929.82079999999996</v>
      </c>
      <c r="L848" s="19" t="str">
        <f>HYPERLINK("http://ms.phosphosite.org:5080/cgi-bin/plot-msms.cgi?MassType=1&amp;NumAxis=1&amp;Mod3=170&amp;Pep=LSRFIEINSLHMVTEYNPVTVIGLFNSVIQIHLLLIMNKASPEYEENM&amp;Dta=/var/www/html/dta/yong/23616.31904.6.dta&amp;Global_Mod=CS57.0215", "31904")</f>
        <v>31904</v>
      </c>
      <c r="M848" s="19"/>
      <c r="N848" s="20">
        <v>143.79</v>
      </c>
      <c r="O848" s="20"/>
      <c r="P848" s="20">
        <v>3.6219999999999999</v>
      </c>
      <c r="Q848" s="20"/>
      <c r="R848" s="20">
        <v>-2.9832000000000001</v>
      </c>
      <c r="S848" s="20"/>
      <c r="T848" s="20">
        <v>0.18559999999999999</v>
      </c>
      <c r="U848" s="20"/>
      <c r="V848" s="19">
        <v>256</v>
      </c>
      <c r="W848" s="19"/>
      <c r="X848" s="20">
        <v>1.1399999999999999</v>
      </c>
      <c r="Y848" s="20"/>
      <c r="Z848" s="21">
        <v>1000</v>
      </c>
      <c r="AA848" s="21"/>
      <c r="AB848" s="19" t="s">
        <v>13</v>
      </c>
    </row>
    <row r="849" spans="1:28" s="12" customFormat="1">
      <c r="A849" s="9" t="s">
        <v>876</v>
      </c>
      <c r="B849" s="9" t="s">
        <v>1680</v>
      </c>
      <c r="C849" s="9" t="s">
        <v>1681</v>
      </c>
      <c r="D849" s="7">
        <v>309</v>
      </c>
      <c r="E849" s="9" t="s">
        <v>880</v>
      </c>
      <c r="F849" s="7" t="s">
        <v>1416</v>
      </c>
      <c r="G849" s="7">
        <v>37.4</v>
      </c>
      <c r="H849" s="9" t="s">
        <v>881</v>
      </c>
      <c r="I849" s="9" t="s">
        <v>882</v>
      </c>
      <c r="J849" s="7">
        <v>2</v>
      </c>
      <c r="K849" s="7">
        <v>798.38710000000003</v>
      </c>
      <c r="L849" s="7"/>
      <c r="M849" s="7" t="str">
        <f>HYPERLINK("http://ms.phosphosite.org:5080/cgi-bin/plot-msms.cgi?MassType=1&amp;NumAxis=1&amp;Mod1=184&amp;Pep=RGLSLLCFGEGAQC&amp;Dta=/var/www/html/dta/yong/23617.2549.2.dta&amp;Global_Mod=CS57.0215", "2549")</f>
        <v>2549</v>
      </c>
      <c r="N849" s="10"/>
      <c r="O849" s="10">
        <v>17.54</v>
      </c>
      <c r="P849" s="10"/>
      <c r="Q849" s="10">
        <v>1.829</v>
      </c>
      <c r="R849" s="10"/>
      <c r="S849" s="10">
        <v>3.2772000000000001</v>
      </c>
      <c r="T849" s="10"/>
      <c r="U849" s="10">
        <v>0.20130000000000001</v>
      </c>
      <c r="V849" s="7"/>
      <c r="W849" s="7">
        <v>42</v>
      </c>
      <c r="X849" s="10"/>
      <c r="Y849" s="10">
        <v>1.25</v>
      </c>
      <c r="Z849" s="11"/>
      <c r="AA849" s="11">
        <v>1000</v>
      </c>
      <c r="AB849" s="7" t="s">
        <v>13</v>
      </c>
    </row>
    <row r="850" spans="1:28">
      <c r="A850" s="3" t="s">
        <v>876</v>
      </c>
      <c r="B850" s="3" t="s">
        <v>883</v>
      </c>
      <c r="C850" s="3" t="s">
        <v>883</v>
      </c>
      <c r="D850" s="4" t="s">
        <v>884</v>
      </c>
      <c r="E850" s="3" t="s">
        <v>885</v>
      </c>
      <c r="F850" s="7" t="s">
        <v>1417</v>
      </c>
      <c r="G850" s="4">
        <v>99.8</v>
      </c>
      <c r="H850" s="3" t="s">
        <v>886</v>
      </c>
      <c r="I850" s="3" t="s">
        <v>887</v>
      </c>
      <c r="J850" s="4">
        <v>5</v>
      </c>
      <c r="K850" s="4">
        <v>955.9212</v>
      </c>
      <c r="L850" s="4"/>
      <c r="M850" s="4" t="str">
        <f>HYPERLINK("http://ms.phosphosite.org:5080/cgi-bin/plot-msms.cgi?MassType=1&amp;NumAxis=1&amp;Mod18=184&amp;Mod49=184&amp;Pep=LALGLTATFPGEPGASPRLSPGPSTPPGAPTLPLASPGAPQPPPVTPER&amp;Dta=/var/www/html/dta/yong/23617.25505.5.dta&amp;Global_Mod=CS57.0215", "25505")</f>
        <v>25505</v>
      </c>
      <c r="N850" s="5"/>
      <c r="O850" s="5">
        <v>113.7</v>
      </c>
      <c r="P850" s="5"/>
      <c r="Q850" s="5">
        <v>3.915</v>
      </c>
      <c r="R850" s="5"/>
      <c r="S850" s="5">
        <v>0.20960000000000001</v>
      </c>
      <c r="T850" s="5"/>
      <c r="U850" s="5">
        <v>0.2195</v>
      </c>
      <c r="V850" s="4"/>
      <c r="W850" s="4">
        <v>134</v>
      </c>
      <c r="X850" s="5"/>
      <c r="Y850" s="5">
        <v>1.75</v>
      </c>
      <c r="Z850" s="6"/>
      <c r="AA850" s="6" t="s">
        <v>1306</v>
      </c>
      <c r="AB850" s="4" t="s">
        <v>13</v>
      </c>
    </row>
    <row r="851" spans="1:28" s="13" customFormat="1">
      <c r="A851" s="3" t="s">
        <v>888</v>
      </c>
      <c r="B851" s="3" t="s">
        <v>889</v>
      </c>
      <c r="C851" s="3" t="s">
        <v>889</v>
      </c>
      <c r="D851" s="4">
        <v>620</v>
      </c>
      <c r="E851" s="3" t="s">
        <v>890</v>
      </c>
      <c r="F851" s="7" t="s">
        <v>1418</v>
      </c>
      <c r="G851" s="4">
        <v>149.19999999999999</v>
      </c>
      <c r="H851" s="3" t="s">
        <v>891</v>
      </c>
      <c r="I851" s="3" t="s">
        <v>892</v>
      </c>
      <c r="J851" s="4">
        <v>3</v>
      </c>
      <c r="K851" s="4">
        <v>869.75509999999997</v>
      </c>
      <c r="L851" s="4" t="str">
        <f>HYPERLINK("http://ms.phosphosite.org:5080/cgi-bin/plot-msms.cgi?MassType=1&amp;NumAxis=1&amp;Mod3=184&amp;Mod14=147&amp;Pep=GERFPNPQGLSEEMFQQQLAEK&amp;Dta=/var/www/html/dta/yong/23616.16850.3.dta&amp;Global_Mod=CS57.0215", "16850")</f>
        <v>16850</v>
      </c>
      <c r="M851" s="4"/>
      <c r="N851" s="5">
        <v>78.53</v>
      </c>
      <c r="O851" s="5"/>
      <c r="P851" s="5">
        <v>5.3419999999999996</v>
      </c>
      <c r="Q851" s="5"/>
      <c r="R851" s="5">
        <v>1.0289999999999999</v>
      </c>
      <c r="S851" s="5"/>
      <c r="T851" s="5">
        <v>0.45600000000000002</v>
      </c>
      <c r="U851" s="5"/>
      <c r="V851" s="4">
        <v>1</v>
      </c>
      <c r="W851" s="4"/>
      <c r="X851" s="5">
        <v>3.91</v>
      </c>
      <c r="Y851" s="5"/>
      <c r="Z851" s="6">
        <v>1000</v>
      </c>
      <c r="AA851" s="6"/>
      <c r="AB851" s="4" t="s">
        <v>13</v>
      </c>
    </row>
    <row r="852" spans="1:28" s="13" customFormat="1">
      <c r="A852" s="3" t="s">
        <v>888</v>
      </c>
      <c r="B852" s="3" t="s">
        <v>889</v>
      </c>
      <c r="C852" s="3" t="s">
        <v>889</v>
      </c>
      <c r="D852" s="4">
        <v>620</v>
      </c>
      <c r="E852" s="3" t="s">
        <v>890</v>
      </c>
      <c r="F852" s="7" t="s">
        <v>1418</v>
      </c>
      <c r="G852" s="4">
        <v>149.19999999999999</v>
      </c>
      <c r="H852" s="3" t="s">
        <v>891</v>
      </c>
      <c r="I852" s="3" t="s">
        <v>892</v>
      </c>
      <c r="J852" s="4">
        <v>3</v>
      </c>
      <c r="K852" s="4">
        <v>869.75509999999997</v>
      </c>
      <c r="L852" s="4" t="str">
        <f>HYPERLINK("http://ms.phosphosite.org:5080/cgi-bin/plot-msms.cgi?MassType=1&amp;NumAxis=1&amp;Mod3=184&amp;Mod14=147&amp;Pep=GERFPNPQGLSEEMFQQQLAEK&amp;Dta=/var/www/html/dta/yong/23616.16873.3.dta&amp;Global_Mod=CS57.0215", "16873")</f>
        <v>16873</v>
      </c>
      <c r="M852" s="4" t="str">
        <f>HYPERLINK("http://ms.phosphosite.org:5080/cgi-bin/plot-msms.cgi?MassType=1&amp;NumAxis=1&amp;Mod3=184&amp;Mod14=147&amp;Pep=GERFPNPQGLSEEMFQQQLAEK&amp;Dta=/var/www/html/dta/yong/23617.17032.3.dta&amp;Global_Mod=CS57.0215", "17032")</f>
        <v>17032</v>
      </c>
      <c r="N852" s="5">
        <v>78.64</v>
      </c>
      <c r="O852" s="5">
        <v>78.5</v>
      </c>
      <c r="P852" s="5">
        <v>4.4269999999999996</v>
      </c>
      <c r="Q852" s="5">
        <v>5.24</v>
      </c>
      <c r="R852" s="5">
        <v>1.0289999999999999</v>
      </c>
      <c r="S852" s="5">
        <v>4.9799999999999997E-2</v>
      </c>
      <c r="T852" s="5">
        <v>0.41389999999999999</v>
      </c>
      <c r="U852" s="5">
        <v>0.40489999999999998</v>
      </c>
      <c r="V852" s="4">
        <v>1</v>
      </c>
      <c r="W852" s="4">
        <v>1</v>
      </c>
      <c r="X852" s="5">
        <v>3.41</v>
      </c>
      <c r="Y852" s="5">
        <v>3.62</v>
      </c>
      <c r="Z852" s="6">
        <v>1000</v>
      </c>
      <c r="AA852" s="6">
        <v>1000</v>
      </c>
      <c r="AB852" s="4" t="s">
        <v>13</v>
      </c>
    </row>
    <row r="853" spans="1:28" s="12" customFormat="1">
      <c r="A853" s="13" t="s">
        <v>888</v>
      </c>
      <c r="B853" s="13" t="s">
        <v>893</v>
      </c>
      <c r="C853" s="13" t="s">
        <v>894</v>
      </c>
      <c r="D853" s="15"/>
      <c r="E853" s="13" t="s">
        <v>895</v>
      </c>
      <c r="F853" s="15" t="s">
        <v>1419</v>
      </c>
      <c r="G853" s="15">
        <v>243.7</v>
      </c>
      <c r="H853" s="13"/>
      <c r="I853" s="13" t="s">
        <v>896</v>
      </c>
      <c r="J853" s="15">
        <v>3</v>
      </c>
      <c r="K853" s="15">
        <v>1057.4948999999999</v>
      </c>
      <c r="L853" s="15" t="str">
        <f>HYPERLINK("http://ms.phosphosite.org:5080/cgi-bin/plot-msms.cgi?MassType=1&amp;NumAxis=1&amp;Mod29=170&amp;Pep=EFQDAPYNEVTGAPAQFEGTEQAPFLGSR&amp;Dta=/var/www/html/dta/yong/23616.22164.3.dta&amp;Global_Mod=CS57.0215", "22164")</f>
        <v>22164</v>
      </c>
      <c r="M853" s="15" t="str">
        <f>HYPERLINK("http://ms.phosphosite.org:5080/cgi-bin/plot-msms.cgi?MassType=1&amp;NumAxis=1&amp;Mod29=170&amp;Pep=EFQDAPYNEVTGAPAQFEGTEQAPFLGSR&amp;Dta=/var/www/html/dta/yong/23617.22300.3.dta&amp;Global_Mod=CS57.0215", "22300")</f>
        <v>22300</v>
      </c>
      <c r="N853" s="16">
        <v>100.81</v>
      </c>
      <c r="O853" s="16">
        <v>100.68</v>
      </c>
      <c r="P853" s="16">
        <v>3.3740000000000001</v>
      </c>
      <c r="Q853" s="16">
        <v>4.0789999999999997</v>
      </c>
      <c r="R853" s="16">
        <v>2.0493999999999999</v>
      </c>
      <c r="S853" s="16">
        <v>0.74750000000000005</v>
      </c>
      <c r="T853" s="16">
        <v>0.29930000000000001</v>
      </c>
      <c r="U853" s="16">
        <v>0.40079999999999999</v>
      </c>
      <c r="V853" s="15">
        <v>75</v>
      </c>
      <c r="W853" s="15">
        <v>1</v>
      </c>
      <c r="X853" s="16">
        <v>2.37</v>
      </c>
      <c r="Y853" s="16">
        <v>3.25</v>
      </c>
      <c r="Z853" s="17">
        <v>1000</v>
      </c>
      <c r="AA853" s="17">
        <v>1000</v>
      </c>
      <c r="AB853" s="15" t="s">
        <v>13</v>
      </c>
    </row>
    <row r="854" spans="1:28" s="12" customFormat="1">
      <c r="A854" s="13" t="s">
        <v>888</v>
      </c>
      <c r="B854" s="13" t="s">
        <v>893</v>
      </c>
      <c r="C854" s="13" t="s">
        <v>894</v>
      </c>
      <c r="D854" s="15"/>
      <c r="E854" s="13" t="s">
        <v>895</v>
      </c>
      <c r="F854" s="15" t="s">
        <v>1419</v>
      </c>
      <c r="G854" s="15">
        <v>243.7</v>
      </c>
      <c r="H854" s="13"/>
      <c r="I854" s="13" t="s">
        <v>896</v>
      </c>
      <c r="J854" s="15">
        <v>3</v>
      </c>
      <c r="K854" s="15">
        <v>1057.4948999999999</v>
      </c>
      <c r="L854" s="15" t="str">
        <f>HYPERLINK("http://ms.phosphosite.org:5080/cgi-bin/plot-msms.cgi?MassType=1&amp;NumAxis=1&amp;Mod29=170&amp;Pep=EFQDAPYNEVTGAPAQFEGTEQAPFLGSR&amp;Dta=/var/www/html/dta/yong/23616.22184.3.dta&amp;Global_Mod=CS57.0215", "22184")</f>
        <v>22184</v>
      </c>
      <c r="M854" s="15"/>
      <c r="N854" s="16">
        <v>100.89</v>
      </c>
      <c r="O854" s="16"/>
      <c r="P854" s="16">
        <v>2.9590000000000001</v>
      </c>
      <c r="Q854" s="16"/>
      <c r="R854" s="16">
        <v>2.0493999999999999</v>
      </c>
      <c r="S854" s="16"/>
      <c r="T854" s="16">
        <v>0.14990000000000001</v>
      </c>
      <c r="U854" s="16"/>
      <c r="V854" s="15">
        <v>1</v>
      </c>
      <c r="W854" s="15"/>
      <c r="X854" s="16">
        <v>1.43</v>
      </c>
      <c r="Y854" s="16"/>
      <c r="Z854" s="17">
        <v>1000</v>
      </c>
      <c r="AA854" s="17"/>
      <c r="AB854" s="15" t="s">
        <v>13</v>
      </c>
    </row>
    <row r="855" spans="1:28" s="12" customFormat="1">
      <c r="A855" s="9" t="s">
        <v>888</v>
      </c>
      <c r="B855" s="9" t="s">
        <v>897</v>
      </c>
      <c r="C855" s="9" t="s">
        <v>898</v>
      </c>
      <c r="D855" s="7">
        <v>527</v>
      </c>
      <c r="E855" s="9" t="s">
        <v>899</v>
      </c>
      <c r="F855" s="7" t="s">
        <v>1420</v>
      </c>
      <c r="G855" s="7">
        <v>65.2</v>
      </c>
      <c r="H855" s="9" t="s">
        <v>900</v>
      </c>
      <c r="I855" s="9" t="s">
        <v>901</v>
      </c>
      <c r="J855" s="7">
        <v>3</v>
      </c>
      <c r="K855" s="7">
        <v>1114.2512999999999</v>
      </c>
      <c r="L855" s="7" t="str">
        <f>HYPERLINK("http://ms.phosphosite.org:5080/cgi-bin/plot-msms.cgi?MassType=1&amp;NumAxis=1&amp;Mod7=184&amp;Mod9=147&amp;Mod28=147&amp;Pep=GIPTSARSMLSNFAQAPQLSVPGGLLGMPGVNI&amp;Dta=/var/www/html/dta/yong/23616.27369.3.dta&amp;Global_Mod=CS57.0215", "27369")</f>
        <v>27369</v>
      </c>
      <c r="M855" s="7" t="str">
        <f>HYPERLINK("http://ms.phosphosite.org:5080/cgi-bin/plot-msms.cgi?MassType=1&amp;NumAxis=1&amp;Mod7=184&amp;Mod9=147&amp;Mod28=147&amp;Pep=GIPTSARSMLSNFAQAPQLSVPGGLLGMPGVNI&amp;Dta=/var/www/html/dta/yong/23617.27430.3.dta&amp;Global_Mod=CS57.0215", "27430")</f>
        <v>27430</v>
      </c>
      <c r="N855" s="10">
        <v>122.41</v>
      </c>
      <c r="O855" s="10">
        <v>122.25</v>
      </c>
      <c r="P855" s="10">
        <v>3.032</v>
      </c>
      <c r="Q855" s="10">
        <v>4.5720000000000001</v>
      </c>
      <c r="R855" s="10">
        <v>2.3277999999999999</v>
      </c>
      <c r="S855" s="10">
        <v>1.6480999999999999</v>
      </c>
      <c r="T855" s="10">
        <v>0.16589999999999999</v>
      </c>
      <c r="U855" s="10">
        <v>0.28199999999999997</v>
      </c>
      <c r="V855" s="7">
        <v>13</v>
      </c>
      <c r="W855" s="7">
        <v>7</v>
      </c>
      <c r="X855" s="10">
        <v>1.33</v>
      </c>
      <c r="Y855" s="10">
        <v>2.4500000000000002</v>
      </c>
      <c r="Z855" s="11">
        <v>1000</v>
      </c>
      <c r="AA855" s="11">
        <v>1000</v>
      </c>
      <c r="AB855" s="7" t="s">
        <v>13</v>
      </c>
    </row>
    <row r="856" spans="1:28" s="12" customFormat="1">
      <c r="A856" s="9" t="s">
        <v>888</v>
      </c>
      <c r="B856" s="9" t="s">
        <v>902</v>
      </c>
      <c r="C856" s="9" t="s">
        <v>902</v>
      </c>
      <c r="D856" s="7">
        <v>424</v>
      </c>
      <c r="E856" s="9" t="s">
        <v>904</v>
      </c>
      <c r="F856" s="7" t="s">
        <v>1421</v>
      </c>
      <c r="G856" s="7">
        <v>110</v>
      </c>
      <c r="H856" s="9" t="s">
        <v>907</v>
      </c>
      <c r="I856" s="9" t="s">
        <v>910</v>
      </c>
      <c r="J856" s="7">
        <v>2</v>
      </c>
      <c r="K856" s="7">
        <v>808.94629999999995</v>
      </c>
      <c r="L856" s="7" t="str">
        <f>HYPERLINK("http://ms.phosphosite.org:5080/cgi-bin/plot-msms.cgi?MassType=1&amp;NumAxis=1&amp;Mod10=184&amp;Pep=TPTATTSGIRATLTPT&amp;Dta=/var/www/html/dta/yong/23616.12106.2.dta&amp;Global_Mod=CS57.0215", "12106")</f>
        <v>12106</v>
      </c>
      <c r="M856" s="7"/>
      <c r="N856" s="10">
        <v>58.12</v>
      </c>
      <c r="O856" s="10"/>
      <c r="P856" s="10">
        <v>3.6070000000000002</v>
      </c>
      <c r="Q856" s="10"/>
      <c r="R856" s="10">
        <v>0.85429999999999995</v>
      </c>
      <c r="S856" s="10"/>
      <c r="T856" s="10">
        <v>0.45340000000000003</v>
      </c>
      <c r="U856" s="10"/>
      <c r="V856" s="7">
        <v>1</v>
      </c>
      <c r="W856" s="7"/>
      <c r="X856" s="10">
        <v>3.7</v>
      </c>
      <c r="Y856" s="10"/>
      <c r="Z856" s="11">
        <v>1000</v>
      </c>
      <c r="AA856" s="11"/>
      <c r="AB856" s="7" t="s">
        <v>13</v>
      </c>
    </row>
    <row r="857" spans="1:28" s="12" customFormat="1">
      <c r="A857" s="9" t="s">
        <v>888</v>
      </c>
      <c r="B857" s="9" t="s">
        <v>902</v>
      </c>
      <c r="C857" s="9" t="s">
        <v>902</v>
      </c>
      <c r="D857" s="7">
        <v>424</v>
      </c>
      <c r="E857" s="9" t="s">
        <v>904</v>
      </c>
      <c r="F857" s="7" t="s">
        <v>1421</v>
      </c>
      <c r="G857" s="7">
        <v>110</v>
      </c>
      <c r="H857" s="9" t="s">
        <v>907</v>
      </c>
      <c r="I857" s="9" t="s">
        <v>910</v>
      </c>
      <c r="J857" s="7">
        <v>2</v>
      </c>
      <c r="K857" s="7">
        <v>808.94629999999995</v>
      </c>
      <c r="L857" s="7" t="str">
        <f>HYPERLINK("http://ms.phosphosite.org:5080/cgi-bin/plot-msms.cgi?MassType=1&amp;NumAxis=1&amp;Mod10=184&amp;Pep=TPTATTSGIRATLTPT&amp;Dta=/var/www/html/dta/yong/23616.12109.2.dta&amp;Global_Mod=CS57.0215", "12109")</f>
        <v>12109</v>
      </c>
      <c r="M857" s="7" t="str">
        <f>HYPERLINK("http://ms.phosphosite.org:5080/cgi-bin/plot-msms.cgi?MassType=1&amp;NumAxis=1&amp;Mod10=184&amp;Pep=TPTATTSGIRATLTPT&amp;Dta=/var/www/html/dta/yong/23617.12221.2.dta&amp;Global_Mod=CS57.0215", "12221")</f>
        <v>12221</v>
      </c>
      <c r="N857" s="10">
        <v>58.14</v>
      </c>
      <c r="O857" s="10">
        <v>58.05</v>
      </c>
      <c r="P857" s="10">
        <v>4.1349999999999998</v>
      </c>
      <c r="Q857" s="10">
        <v>3.9039999999999999</v>
      </c>
      <c r="R857" s="10">
        <v>0.85950000000000004</v>
      </c>
      <c r="S857" s="10">
        <v>0.75719999999999998</v>
      </c>
      <c r="T857" s="10">
        <v>0.48899999999999999</v>
      </c>
      <c r="U857" s="10">
        <v>0.45929999999999999</v>
      </c>
      <c r="V857" s="7">
        <v>1</v>
      </c>
      <c r="W857" s="7">
        <v>1</v>
      </c>
      <c r="X857" s="10">
        <v>4.05</v>
      </c>
      <c r="Y857" s="10">
        <v>3.89</v>
      </c>
      <c r="Z857" s="11">
        <v>1000</v>
      </c>
      <c r="AA857" s="11">
        <v>1000</v>
      </c>
      <c r="AB857" s="7" t="s">
        <v>13</v>
      </c>
    </row>
    <row r="858" spans="1:28" s="13" customFormat="1">
      <c r="A858" s="9" t="s">
        <v>888</v>
      </c>
      <c r="B858" s="9" t="s">
        <v>902</v>
      </c>
      <c r="C858" s="9" t="s">
        <v>902</v>
      </c>
      <c r="D858" s="7">
        <v>424</v>
      </c>
      <c r="E858" s="9" t="s">
        <v>904</v>
      </c>
      <c r="F858" s="7" t="s">
        <v>1421</v>
      </c>
      <c r="G858" s="7">
        <v>110</v>
      </c>
      <c r="H858" s="9" t="s">
        <v>907</v>
      </c>
      <c r="I858" s="9" t="s">
        <v>911</v>
      </c>
      <c r="J858" s="7">
        <v>2</v>
      </c>
      <c r="K858" s="7">
        <v>915.02260000000001</v>
      </c>
      <c r="L858" s="7" t="str">
        <f>HYPERLINK("http://ms.phosphosite.org:5080/cgi-bin/plot-msms.cgi?MassType=1&amp;NumAxis=1&amp;Mod10=184&amp;Pep=TPTATTSGIRATLTPTVL&amp;Dta=/var/www/html/dta/yong/23616.18602.2.dta&amp;Global_Mod=CS57.0215", "18602")</f>
        <v>18602</v>
      </c>
      <c r="M858" s="7" t="str">
        <f>HYPERLINK("http://ms.phosphosite.org:5080/cgi-bin/plot-msms.cgi?MassType=1&amp;NumAxis=1&amp;Mod10=184&amp;Pep=TPTATTSGIRATLTPTVL&amp;Dta=/var/www/html/dta/yong/23617.18753.2.dta&amp;Global_Mod=CS57.0215", "18753")</f>
        <v>18753</v>
      </c>
      <c r="N858" s="10">
        <v>85.93</v>
      </c>
      <c r="O858" s="10">
        <v>85.81</v>
      </c>
      <c r="P858" s="10">
        <v>2.9580000000000002</v>
      </c>
      <c r="Q858" s="10">
        <v>2.5339999999999998</v>
      </c>
      <c r="R858" s="10">
        <v>1.3353999999999999</v>
      </c>
      <c r="S858" s="10">
        <v>1.5798000000000001</v>
      </c>
      <c r="T858" s="10">
        <v>0.3957</v>
      </c>
      <c r="U858" s="10">
        <v>0.12909999999999999</v>
      </c>
      <c r="V858" s="7">
        <v>10</v>
      </c>
      <c r="W858" s="7">
        <v>4</v>
      </c>
      <c r="X858" s="10">
        <v>3.13</v>
      </c>
      <c r="Y858" s="10">
        <v>1.55</v>
      </c>
      <c r="Z858" s="11">
        <v>1000</v>
      </c>
      <c r="AA858" s="11">
        <v>1000</v>
      </c>
      <c r="AB858" s="7" t="s">
        <v>13</v>
      </c>
    </row>
    <row r="859" spans="1:28" s="13" customFormat="1">
      <c r="A859" s="9" t="s">
        <v>888</v>
      </c>
      <c r="B859" s="9" t="s">
        <v>902</v>
      </c>
      <c r="C859" s="9" t="s">
        <v>902</v>
      </c>
      <c r="D859" s="7">
        <v>424</v>
      </c>
      <c r="E859" s="9" t="s">
        <v>904</v>
      </c>
      <c r="F859" s="7" t="s">
        <v>1421</v>
      </c>
      <c r="G859" s="7">
        <v>110</v>
      </c>
      <c r="H859" s="9" t="s">
        <v>907</v>
      </c>
      <c r="I859" s="9" t="s">
        <v>909</v>
      </c>
      <c r="J859" s="7">
        <v>2</v>
      </c>
      <c r="K859" s="7">
        <v>602.83019999999999</v>
      </c>
      <c r="L859" s="7" t="str">
        <f>HYPERLINK("http://ms.phosphosite.org:5080/cgi-bin/plot-msms.cgi?MassType=1&amp;NumAxis=1&amp;Mod10=184&amp;Pep=TPTATTSGIRAT&amp;Dta=/var/www/html/dta/yong/23616.5387.2.dta&amp;Global_Mod=CS57.0215", "5387")</f>
        <v>5387</v>
      </c>
      <c r="M859" s="7" t="str">
        <f>HYPERLINK("http://ms.phosphosite.org:5080/cgi-bin/plot-msms.cgi?MassType=1&amp;NumAxis=1&amp;Mod10=184&amp;Pep=TPTATTSGIRAT&amp;Dta=/var/www/html/dta/yong/23617.5453.2.dta&amp;Global_Mod=CS57.0215", "5453")</f>
        <v>5453</v>
      </c>
      <c r="N859" s="10">
        <v>29.79</v>
      </c>
      <c r="O859" s="10">
        <v>29.76</v>
      </c>
      <c r="P859" s="10">
        <v>2.6030000000000002</v>
      </c>
      <c r="Q859" s="10">
        <v>2.7749999999999999</v>
      </c>
      <c r="R859" s="10">
        <v>1.2639</v>
      </c>
      <c r="S859" s="10">
        <v>7.4800000000000005E-2</v>
      </c>
      <c r="T859" s="10">
        <v>0.2586</v>
      </c>
      <c r="U859" s="10">
        <v>0.23180000000000001</v>
      </c>
      <c r="V859" s="7">
        <v>1</v>
      </c>
      <c r="W859" s="7">
        <v>3</v>
      </c>
      <c r="X859" s="10">
        <v>2.3199999999999998</v>
      </c>
      <c r="Y859" s="10">
        <v>2.31</v>
      </c>
      <c r="Z859" s="11">
        <v>1000</v>
      </c>
      <c r="AA859" s="11">
        <v>1000</v>
      </c>
      <c r="AB859" s="7" t="s">
        <v>13</v>
      </c>
    </row>
    <row r="860" spans="1:28" s="12" customFormat="1">
      <c r="A860" s="13" t="s">
        <v>888</v>
      </c>
      <c r="B860" s="13" t="s">
        <v>902</v>
      </c>
      <c r="C860" s="13" t="s">
        <v>902</v>
      </c>
      <c r="D860" s="15">
        <v>424</v>
      </c>
      <c r="E860" s="13" t="s">
        <v>904</v>
      </c>
      <c r="F860" s="15" t="s">
        <v>1421</v>
      </c>
      <c r="G860" s="15">
        <v>110</v>
      </c>
      <c r="H860" s="13" t="s">
        <v>907</v>
      </c>
      <c r="I860" s="13" t="s">
        <v>908</v>
      </c>
      <c r="J860" s="15">
        <v>3</v>
      </c>
      <c r="K860" s="15">
        <v>910.49789999999996</v>
      </c>
      <c r="L860" s="15"/>
      <c r="M860" s="15" t="str">
        <f>HYPERLINK("http://ms.phosphosite.org:5080/cgi-bin/plot-msms.cgi?MassType=1&amp;NumAxis=1&amp;Mod12=170&amp;Mod22=184&amp;Pep=GAAGAVTQSLSRTPTATTSGIRATLTPT&amp;Dta=/var/www/html/dta/yong/23617.16091.3.dta&amp;Global_Mod=CS57.0215", "16091")</f>
        <v>16091</v>
      </c>
      <c r="N860" s="16"/>
      <c r="O860" s="16">
        <v>74.44</v>
      </c>
      <c r="P860" s="16"/>
      <c r="Q860" s="16">
        <v>2.6779999999999999</v>
      </c>
      <c r="R860" s="16"/>
      <c r="S860" s="16">
        <v>1.198</v>
      </c>
      <c r="T860" s="16"/>
      <c r="U860" s="16">
        <v>7.7200000000000005E-2</v>
      </c>
      <c r="V860" s="15"/>
      <c r="W860" s="15">
        <v>23</v>
      </c>
      <c r="X860" s="16"/>
      <c r="Y860" s="16">
        <v>1.04</v>
      </c>
      <c r="Z860" s="17"/>
      <c r="AA860" s="17" t="s">
        <v>1306</v>
      </c>
      <c r="AB860" s="15" t="s">
        <v>13</v>
      </c>
    </row>
    <row r="861" spans="1:28" s="12" customFormat="1">
      <c r="A861" s="13" t="s">
        <v>888</v>
      </c>
      <c r="B861" s="13" t="s">
        <v>902</v>
      </c>
      <c r="C861" s="13" t="s">
        <v>902</v>
      </c>
      <c r="D861" s="15">
        <v>424</v>
      </c>
      <c r="E861" s="13" t="s">
        <v>904</v>
      </c>
      <c r="F861" s="15" t="s">
        <v>1421</v>
      </c>
      <c r="G861" s="15">
        <v>110</v>
      </c>
      <c r="H861" s="13" t="s">
        <v>907</v>
      </c>
      <c r="I861" s="13" t="s">
        <v>908</v>
      </c>
      <c r="J861" s="15">
        <v>3</v>
      </c>
      <c r="K861" s="15">
        <v>910.49789999999996</v>
      </c>
      <c r="L861" s="15"/>
      <c r="M861" s="15" t="str">
        <f>HYPERLINK("http://ms.phosphosite.org:5080/cgi-bin/plot-msms.cgi?MassType=1&amp;NumAxis=1&amp;Mod12=170&amp;Mod22=184&amp;Pep=GAAGAVTQSLSRTPTATTSGIRATLTPT&amp;Dta=/var/www/html/dta/yong/23617.16103.3.dta&amp;Global_Mod=CS57.0215", "16103")</f>
        <v>16103</v>
      </c>
      <c r="N861" s="16"/>
      <c r="O861" s="16">
        <v>74.489999999999995</v>
      </c>
      <c r="P861" s="16"/>
      <c r="Q861" s="16">
        <v>3.444</v>
      </c>
      <c r="R861" s="16"/>
      <c r="S861" s="16">
        <v>1.1859999999999999</v>
      </c>
      <c r="T861" s="16"/>
      <c r="U861" s="16">
        <v>0.2545</v>
      </c>
      <c r="V861" s="15"/>
      <c r="W861" s="15">
        <v>3</v>
      </c>
      <c r="X861" s="16"/>
      <c r="Y861" s="16">
        <v>2.2799999999999998</v>
      </c>
      <c r="Z861" s="17"/>
      <c r="AA861" s="17" t="s">
        <v>1306</v>
      </c>
      <c r="AB861" s="15" t="s">
        <v>13</v>
      </c>
    </row>
    <row r="862" spans="1:28" s="12" customFormat="1">
      <c r="A862" s="3" t="s">
        <v>888</v>
      </c>
      <c r="B862" s="3" t="s">
        <v>902</v>
      </c>
      <c r="C862" s="3" t="s">
        <v>902</v>
      </c>
      <c r="D862" s="4" t="s">
        <v>903</v>
      </c>
      <c r="E862" s="3" t="s">
        <v>904</v>
      </c>
      <c r="F862" s="7" t="s">
        <v>1421</v>
      </c>
      <c r="G862" s="4">
        <v>110</v>
      </c>
      <c r="H862" s="3" t="s">
        <v>905</v>
      </c>
      <c r="I862" s="3" t="s">
        <v>906</v>
      </c>
      <c r="J862" s="4">
        <v>3</v>
      </c>
      <c r="K862" s="4">
        <v>915.16980000000001</v>
      </c>
      <c r="L862" s="4" t="str">
        <f>HYPERLINK("http://ms.phosphosite.org:5080/cgi-bin/plot-msms.cgi?MassType=1&amp;NumAxis=1&amp;Mod12=184&amp;Mod22=184&amp;Pep=GAAGAVTQSLSRTPTATTSGIRATLTPT&amp;Dta=/var/www/html/dta/yong/23616.16043.3.dta&amp;Global_Mod=CS57.0215", "16043")</f>
        <v>16043</v>
      </c>
      <c r="M862" s="4" t="str">
        <f>HYPERLINK("http://ms.phosphosite.org:5080/cgi-bin/plot-msms.cgi?MassType=1&amp;NumAxis=1&amp;Mod12=184&amp;Mod22=184&amp;Pep=GAAGAVTQSLSRTPTATTSGIRATLTPT&amp;Dta=/var/www/html/dta/yong/23617.16221.3.dta&amp;Global_Mod=CS57.0215", "16221")</f>
        <v>16221</v>
      </c>
      <c r="N862" s="5">
        <v>75.040000000000006</v>
      </c>
      <c r="O862" s="5">
        <v>74.98</v>
      </c>
      <c r="P862" s="5">
        <v>2.9340000000000002</v>
      </c>
      <c r="Q862" s="5">
        <v>3.113</v>
      </c>
      <c r="R862" s="5">
        <v>1.3224</v>
      </c>
      <c r="S862" s="5">
        <v>1.1845000000000001</v>
      </c>
      <c r="T862" s="5">
        <v>0.2878</v>
      </c>
      <c r="U862" s="5">
        <v>0.30640000000000001</v>
      </c>
      <c r="V862" s="4">
        <v>19</v>
      </c>
      <c r="W862" s="4">
        <v>1</v>
      </c>
      <c r="X862" s="5">
        <v>2.2599999999999998</v>
      </c>
      <c r="Y862" s="5">
        <v>2.48</v>
      </c>
      <c r="Z862" s="6" t="s">
        <v>1306</v>
      </c>
      <c r="AA862" s="6" t="s">
        <v>1306</v>
      </c>
      <c r="AB862" s="4" t="s">
        <v>13</v>
      </c>
    </row>
    <row r="863" spans="1:28">
      <c r="A863" s="3" t="s">
        <v>888</v>
      </c>
      <c r="B863" s="3" t="s">
        <v>902</v>
      </c>
      <c r="C863" s="3" t="s">
        <v>902</v>
      </c>
      <c r="D863" s="4" t="s">
        <v>903</v>
      </c>
      <c r="E863" s="3" t="s">
        <v>904</v>
      </c>
      <c r="F863" s="7" t="s">
        <v>1421</v>
      </c>
      <c r="G863" s="4">
        <v>110</v>
      </c>
      <c r="H863" s="3" t="s">
        <v>905</v>
      </c>
      <c r="I863" s="3" t="s">
        <v>906</v>
      </c>
      <c r="J863" s="4">
        <v>3</v>
      </c>
      <c r="K863" s="4">
        <v>915.16980000000001</v>
      </c>
      <c r="L863" s="4" t="str">
        <f>HYPERLINK("http://ms.phosphosite.org:5080/cgi-bin/plot-msms.cgi?MassType=1&amp;NumAxis=1&amp;Mod12=184&amp;Mod22=184&amp;Pep=GAAGAVTQSLSRTPTATTSGIRATLTPT&amp;Dta=/var/www/html/dta/yong/23616.16050.3.dta&amp;Global_Mod=CS57.0215", "16050")</f>
        <v>16050</v>
      </c>
      <c r="M863" s="4" t="str">
        <f>HYPERLINK("http://ms.phosphosite.org:5080/cgi-bin/plot-msms.cgi?MassType=1&amp;NumAxis=1&amp;Mod12=184&amp;Mod22=184&amp;Pep=GAAGAVTQSLSRTPTATTSGIRATLTPT&amp;Dta=/var/www/html/dta/yong/23617.16226.3.dta&amp;Global_Mod=CS57.0215", "16226")</f>
        <v>16226</v>
      </c>
      <c r="N863" s="5">
        <v>75.08</v>
      </c>
      <c r="O863" s="5">
        <v>75.010000000000005</v>
      </c>
      <c r="P863" s="5">
        <v>3.08</v>
      </c>
      <c r="Q863" s="5">
        <v>3.3959999999999999</v>
      </c>
      <c r="R863" s="5">
        <v>1.3517999999999999</v>
      </c>
      <c r="S863" s="5">
        <v>1.1891</v>
      </c>
      <c r="T863" s="5">
        <v>0.27850000000000003</v>
      </c>
      <c r="U863" s="5">
        <v>0.26869999999999999</v>
      </c>
      <c r="V863" s="4">
        <v>1</v>
      </c>
      <c r="W863" s="4">
        <v>65</v>
      </c>
      <c r="X863" s="5">
        <v>2.25</v>
      </c>
      <c r="Y863" s="5">
        <v>2.3199999999999998</v>
      </c>
      <c r="Z863" s="6" t="s">
        <v>1306</v>
      </c>
      <c r="AA863" s="6" t="s">
        <v>1306</v>
      </c>
      <c r="AB863" s="4" t="s">
        <v>13</v>
      </c>
    </row>
    <row r="864" spans="1:28">
      <c r="A864" s="3" t="s">
        <v>888</v>
      </c>
      <c r="B864" s="3" t="s">
        <v>902</v>
      </c>
      <c r="C864" s="3" t="s">
        <v>902</v>
      </c>
      <c r="D864" s="4" t="s">
        <v>1518</v>
      </c>
      <c r="E864" s="3" t="s">
        <v>904</v>
      </c>
      <c r="F864" s="7" t="s">
        <v>1421</v>
      </c>
      <c r="G864" s="4">
        <v>110</v>
      </c>
      <c r="H864" s="3" t="s">
        <v>912</v>
      </c>
      <c r="I864" s="3" t="s">
        <v>914</v>
      </c>
      <c r="J864" s="4">
        <v>3</v>
      </c>
      <c r="K864" s="4">
        <v>1051.9259</v>
      </c>
      <c r="L864" s="4" t="str">
        <f>HYPERLINK("http://ms.phosphosite.org:5080/cgi-bin/plot-msms.cgi?MassType=1&amp;NumAxis=1&amp;Mod10=184&amp;Mod21=184&amp;Pep=TPTATTSGIRATLTPTVLAPRLPQPPQNPT&amp;Dta=/var/www/html/dta/yong/23616.20035.3.dta&amp;Global_Mod=CS57.0215", "20035")</f>
        <v>20035</v>
      </c>
      <c r="M864" s="4" t="str">
        <f>HYPERLINK("http://ms.phosphosite.org:5080/cgi-bin/plot-msms.cgi?MassType=1&amp;NumAxis=1&amp;Mod10=184&amp;Mod21=184&amp;Pep=TPTATTSGIRATLTPTVLAPRLPQPPQNPT&amp;Dta=/var/www/html/dta/yong/23617.20222.3.dta&amp;Global_Mod=CS57.0215", "20222")</f>
        <v>20222</v>
      </c>
      <c r="N864" s="5">
        <v>91.99</v>
      </c>
      <c r="O864" s="5">
        <v>92.09</v>
      </c>
      <c r="P864" s="5">
        <v>3.3940000000000001</v>
      </c>
      <c r="Q864" s="5">
        <v>3.202</v>
      </c>
      <c r="R864" s="5">
        <v>0.80620000000000003</v>
      </c>
      <c r="S864" s="5">
        <v>1.6676</v>
      </c>
      <c r="T864" s="5">
        <v>0.19439999999999999</v>
      </c>
      <c r="U864" s="5">
        <v>0.2225</v>
      </c>
      <c r="V864" s="4">
        <v>5</v>
      </c>
      <c r="W864" s="4">
        <v>6</v>
      </c>
      <c r="X864" s="5">
        <v>1.87</v>
      </c>
      <c r="Y864" s="5">
        <v>1.98</v>
      </c>
      <c r="Z864" s="6" t="s">
        <v>1306</v>
      </c>
      <c r="AA864" s="6" t="s">
        <v>1306</v>
      </c>
      <c r="AB864" s="4" t="s">
        <v>13</v>
      </c>
    </row>
    <row r="865" spans="1:28">
      <c r="A865" s="3" t="s">
        <v>888</v>
      </c>
      <c r="B865" s="3" t="s">
        <v>902</v>
      </c>
      <c r="C865" s="3" t="s">
        <v>902</v>
      </c>
      <c r="D865" s="4" t="s">
        <v>1518</v>
      </c>
      <c r="E865" s="3" t="s">
        <v>904</v>
      </c>
      <c r="F865" s="7" t="s">
        <v>1421</v>
      </c>
      <c r="G865" s="4">
        <v>110</v>
      </c>
      <c r="H865" s="3" t="s">
        <v>912</v>
      </c>
      <c r="I865" s="3" t="s">
        <v>914</v>
      </c>
      <c r="J865" s="4">
        <v>3</v>
      </c>
      <c r="K865" s="4">
        <v>1051.9259</v>
      </c>
      <c r="L865" s="4" t="str">
        <f>HYPERLINK("http://ms.phosphosite.org:5080/cgi-bin/plot-msms.cgi?MassType=1&amp;NumAxis=1&amp;Mod10=184&amp;Mod21=184&amp;Pep=TPTATTSGIRATLTPTVLAPRLPQPPQNPT&amp;Dta=/var/www/html/dta/yong/23616.20098.3.dta&amp;Global_Mod=CS57.0215", "20098")</f>
        <v>20098</v>
      </c>
      <c r="M865" s="4" t="str">
        <f>HYPERLINK("http://ms.phosphosite.org:5080/cgi-bin/plot-msms.cgi?MassType=1&amp;NumAxis=1&amp;Mod10=184&amp;Mod21=184&amp;Pep=TPTATTSGIRATLTPTVLAPRLPQPPQNPT&amp;Dta=/var/www/html/dta/yong/23617.20179.3.dta&amp;Global_Mod=CS57.0215", "20179")</f>
        <v>20179</v>
      </c>
      <c r="N865" s="5">
        <v>92.25</v>
      </c>
      <c r="O865" s="5">
        <v>91.9</v>
      </c>
      <c r="P865" s="5">
        <v>3.7480000000000002</v>
      </c>
      <c r="Q865" s="5">
        <v>3.569</v>
      </c>
      <c r="R865" s="5">
        <v>1.9705999999999999</v>
      </c>
      <c r="S865" s="5">
        <v>1.3793</v>
      </c>
      <c r="T865" s="5">
        <v>0.29909999999999998</v>
      </c>
      <c r="U865" s="5">
        <v>0.27489999999999998</v>
      </c>
      <c r="V865" s="4">
        <v>2</v>
      </c>
      <c r="W865" s="4">
        <v>2</v>
      </c>
      <c r="X865" s="5">
        <v>2.5099999999999998</v>
      </c>
      <c r="Y865" s="5">
        <v>2.41</v>
      </c>
      <c r="Z865" s="6" t="s">
        <v>1306</v>
      </c>
      <c r="AA865" s="6" t="s">
        <v>1306</v>
      </c>
      <c r="AB865" s="4" t="s">
        <v>13</v>
      </c>
    </row>
    <row r="866" spans="1:28">
      <c r="A866" s="3" t="s">
        <v>888</v>
      </c>
      <c r="B866" s="3" t="s">
        <v>902</v>
      </c>
      <c r="C866" s="3" t="s">
        <v>902</v>
      </c>
      <c r="D866" s="4" t="s">
        <v>1518</v>
      </c>
      <c r="E866" s="3" t="s">
        <v>904</v>
      </c>
      <c r="F866" s="7" t="s">
        <v>1421</v>
      </c>
      <c r="G866" s="4">
        <v>110</v>
      </c>
      <c r="H866" s="3" t="s">
        <v>912</v>
      </c>
      <c r="I866" s="3" t="s">
        <v>915</v>
      </c>
      <c r="J866" s="4">
        <v>3</v>
      </c>
      <c r="K866" s="4">
        <v>1257.3581999999999</v>
      </c>
      <c r="L866" s="4" t="str">
        <f>HYPERLINK("http://ms.phosphosite.org:5080/cgi-bin/plot-msms.cgi?MassType=1&amp;NumAxis=1&amp;Mod10=184&amp;Mod21=184&amp;Pep=TPTATTSGIRATLTPTVLAPRLPQPPQNPTNIQNF&amp;Dta=/var/www/html/dta/yong/23616.23511.3.dta&amp;Global_Mod=CS57.0215", "23511")</f>
        <v>23511</v>
      </c>
      <c r="M866" s="4" t="str">
        <f>HYPERLINK("http://ms.phosphosite.org:5080/cgi-bin/plot-msms.cgi?MassType=1&amp;NumAxis=1&amp;Mod10=184&amp;Mod21=184&amp;Pep=TPTATTSGIRATLTPTVLAPRLPQPPQNPTNIQNF&amp;Dta=/var/www/html/dta/yong/23617.23598.3.dta&amp;Global_Mod=CS57.0215", "23598")</f>
        <v>23598</v>
      </c>
      <c r="N866" s="5">
        <v>106.2</v>
      </c>
      <c r="O866" s="5">
        <v>105.96</v>
      </c>
      <c r="P866" s="5">
        <v>4.2919999999999998</v>
      </c>
      <c r="Q866" s="5">
        <v>4.4189999999999996</v>
      </c>
      <c r="R866" s="5">
        <v>0.49769999999999998</v>
      </c>
      <c r="S866" s="5">
        <v>-0.34179999999999999</v>
      </c>
      <c r="T866" s="5">
        <v>0.32719999999999999</v>
      </c>
      <c r="U866" s="5">
        <v>0.34089999999999998</v>
      </c>
      <c r="V866" s="4">
        <v>1</v>
      </c>
      <c r="W866" s="4">
        <v>1</v>
      </c>
      <c r="X866" s="5">
        <v>2.85</v>
      </c>
      <c r="Y866" s="5">
        <v>3.01</v>
      </c>
      <c r="Z866" s="6" t="s">
        <v>1306</v>
      </c>
      <c r="AA866" s="6" t="s">
        <v>1306</v>
      </c>
      <c r="AB866" s="4" t="s">
        <v>13</v>
      </c>
    </row>
    <row r="867" spans="1:28">
      <c r="A867" s="3" t="s">
        <v>888</v>
      </c>
      <c r="B867" s="3" t="s">
        <v>902</v>
      </c>
      <c r="C867" s="3" t="s">
        <v>902</v>
      </c>
      <c r="D867" s="4" t="s">
        <v>1518</v>
      </c>
      <c r="E867" s="3" t="s">
        <v>904</v>
      </c>
      <c r="F867" s="7" t="s">
        <v>1421</v>
      </c>
      <c r="G867" s="4">
        <v>110</v>
      </c>
      <c r="H867" s="3" t="s">
        <v>912</v>
      </c>
      <c r="I867" s="3" t="s">
        <v>913</v>
      </c>
      <c r="J867" s="4">
        <v>4</v>
      </c>
      <c r="K867" s="4">
        <v>1076.8570999999999</v>
      </c>
      <c r="L867" s="4" t="str">
        <f>HYPERLINK("http://ms.phosphosite.org:5080/cgi-bin/plot-msms.cgi?MassType=1&amp;NumAxis=1&amp;Mod4=184&amp;Mod15=184&amp;Mod35=147&amp;Pep=SGIRATLTPTVLAPRLPQPPQNPTNIQNFQLPPGMVLVR&amp;Dta=/var/www/html/dta/yong/23616.24131.4.dta&amp;Global_Mod=CS57.0215", "24131")</f>
        <v>24131</v>
      </c>
      <c r="M867" s="4"/>
      <c r="N867" s="5">
        <v>108.68</v>
      </c>
      <c r="O867" s="5"/>
      <c r="P867" s="5">
        <v>3.3330000000000002</v>
      </c>
      <c r="Q867" s="5"/>
      <c r="R867" s="5">
        <v>2.0385</v>
      </c>
      <c r="S867" s="5"/>
      <c r="T867" s="5">
        <v>0.18010000000000001</v>
      </c>
      <c r="U867" s="5"/>
      <c r="V867" s="4">
        <v>1</v>
      </c>
      <c r="W867" s="4"/>
      <c r="X867" s="5">
        <v>1.64</v>
      </c>
      <c r="Y867" s="5"/>
      <c r="Z867" s="6" t="s">
        <v>1306</v>
      </c>
      <c r="AA867" s="6"/>
      <c r="AB867" s="4" t="s">
        <v>13</v>
      </c>
    </row>
    <row r="868" spans="1:28">
      <c r="A868" s="3" t="s">
        <v>888</v>
      </c>
      <c r="B868" s="3" t="s">
        <v>902</v>
      </c>
      <c r="C868" s="3" t="s">
        <v>902</v>
      </c>
      <c r="D868" s="4" t="s">
        <v>1518</v>
      </c>
      <c r="E868" s="3" t="s">
        <v>904</v>
      </c>
      <c r="F868" s="7" t="s">
        <v>1421</v>
      </c>
      <c r="G868" s="4">
        <v>110</v>
      </c>
      <c r="H868" s="3" t="s">
        <v>912</v>
      </c>
      <c r="I868" s="3" t="s">
        <v>913</v>
      </c>
      <c r="J868" s="4">
        <v>4</v>
      </c>
      <c r="K868" s="4">
        <v>1076.8570999999999</v>
      </c>
      <c r="L868" s="4" t="str">
        <f>HYPERLINK("http://ms.phosphosite.org:5080/cgi-bin/plot-msms.cgi?MassType=1&amp;NumAxis=1&amp;Mod4=184&amp;Mod15=184&amp;Mod35=147&amp;Pep=SGIRATLTPTVLAPRLPQPPQNPTNIQNFQLPPGMVLVR&amp;Dta=/var/www/html/dta/yong/23616.24230.4.dta&amp;Global_Mod=CS57.0215", "24230")</f>
        <v>24230</v>
      </c>
      <c r="M868" s="4" t="str">
        <f>HYPERLINK("http://ms.phosphosite.org:5080/cgi-bin/plot-msms.cgi?MassType=1&amp;NumAxis=1&amp;Mod4=184&amp;Mod15=184&amp;Mod35=147&amp;Pep=SGIRATLTPTVLAPRLPQPPQNPTNIQNFQLPPGMVLVR&amp;Dta=/var/www/html/dta/yong/23617.24256.4.dta&amp;Global_Mod=CS57.0215", "24256")</f>
        <v>24256</v>
      </c>
      <c r="N868" s="5">
        <v>109.08</v>
      </c>
      <c r="O868" s="5">
        <v>108.63</v>
      </c>
      <c r="P868" s="5">
        <v>3.5089999999999999</v>
      </c>
      <c r="Q868" s="5">
        <v>3.6720000000000002</v>
      </c>
      <c r="R868" s="5">
        <v>1.7206999999999999</v>
      </c>
      <c r="S868" s="5">
        <v>2.4710000000000001</v>
      </c>
      <c r="T868" s="5">
        <v>0.17649999999999999</v>
      </c>
      <c r="U868" s="5">
        <v>0.24129999999999999</v>
      </c>
      <c r="V868" s="4">
        <v>1</v>
      </c>
      <c r="W868" s="4">
        <v>1</v>
      </c>
      <c r="X868" s="5">
        <v>1.69</v>
      </c>
      <c r="Y868" s="5">
        <v>2.11</v>
      </c>
      <c r="Z868" s="6" t="s">
        <v>1306</v>
      </c>
      <c r="AA868" s="6" t="s">
        <v>1306</v>
      </c>
      <c r="AB868" s="4" t="s">
        <v>13</v>
      </c>
    </row>
    <row r="869" spans="1:28">
      <c r="A869" s="3" t="s">
        <v>888</v>
      </c>
      <c r="B869" s="3" t="s">
        <v>902</v>
      </c>
      <c r="C869" s="3" t="s">
        <v>902</v>
      </c>
      <c r="D869" s="4" t="s">
        <v>1518</v>
      </c>
      <c r="E869" s="3" t="s">
        <v>904</v>
      </c>
      <c r="F869" s="7" t="s">
        <v>1421</v>
      </c>
      <c r="G869" s="4">
        <v>110</v>
      </c>
      <c r="H869" s="3" t="s">
        <v>912</v>
      </c>
      <c r="I869" s="3" t="s">
        <v>913</v>
      </c>
      <c r="J869" s="4">
        <v>4</v>
      </c>
      <c r="K869" s="4">
        <v>1076.8570999999999</v>
      </c>
      <c r="L869" s="4" t="str">
        <f>HYPERLINK("http://ms.phosphosite.org:5080/cgi-bin/plot-msms.cgi?MassType=1&amp;NumAxis=1&amp;Mod4=184&amp;Mod15=184&amp;Mod35=147&amp;Pep=SGIRATLTPTVLAPRLPQPPQNPTNIQNFQLPPGMVLVR&amp;Dta=/var/www/html/dta/yong/23616.24330.4.dta&amp;Global_Mod=CS57.0215", "24330")</f>
        <v>24330</v>
      </c>
      <c r="M869" s="4"/>
      <c r="N869" s="5">
        <v>109.48</v>
      </c>
      <c r="O869" s="5"/>
      <c r="P869" s="5">
        <v>3.6509999999999998</v>
      </c>
      <c r="Q869" s="5"/>
      <c r="R869" s="5">
        <v>0.90480000000000005</v>
      </c>
      <c r="S869" s="5"/>
      <c r="T869" s="5">
        <v>0.123</v>
      </c>
      <c r="U869" s="5"/>
      <c r="V869" s="4">
        <v>1</v>
      </c>
      <c r="W869" s="4"/>
      <c r="X869" s="5">
        <v>1.47</v>
      </c>
      <c r="Y869" s="5"/>
      <c r="Z869" s="6" t="s">
        <v>1306</v>
      </c>
      <c r="AA869" s="6"/>
      <c r="AB869" s="4" t="s">
        <v>13</v>
      </c>
    </row>
    <row r="870" spans="1:28">
      <c r="A870" s="3" t="s">
        <v>888</v>
      </c>
      <c r="B870" s="3" t="s">
        <v>902</v>
      </c>
      <c r="C870" s="3" t="s">
        <v>902</v>
      </c>
      <c r="D870" s="4" t="s">
        <v>1518</v>
      </c>
      <c r="E870" s="3" t="s">
        <v>904</v>
      </c>
      <c r="F870" s="7" t="s">
        <v>1421</v>
      </c>
      <c r="G870" s="4">
        <v>110</v>
      </c>
      <c r="H870" s="3" t="s">
        <v>912</v>
      </c>
      <c r="I870" s="3" t="s">
        <v>916</v>
      </c>
      <c r="J870" s="4">
        <v>4</v>
      </c>
      <c r="K870" s="4">
        <v>1219.9272000000001</v>
      </c>
      <c r="L870" s="4" t="str">
        <f>HYPERLINK("http://ms.phosphosite.org:5080/cgi-bin/plot-msms.cgi?MassType=1&amp;NumAxis=1&amp;Mod10=184&amp;Mod21=184&amp;Mod41=147&amp;Pep=TPTATTSGIRATLTPTVLAPRLPQPPQNPTNIQNFQLPPGMVLVR&amp;Dta=/var/www/html/dta/yong/23616.24555.4.dta&amp;Global_Mod=CS57.0215", "24555")</f>
        <v>24555</v>
      </c>
      <c r="M870" s="4" t="str">
        <f>HYPERLINK("http://ms.phosphosite.org:5080/cgi-bin/plot-msms.cgi?MassType=1&amp;NumAxis=1&amp;Mod10=184&amp;Mod21=184&amp;Mod41=147&amp;Pep=TPTATTSGIRATLTPTVLAPRLPQPPQNPTNIQNFQLPPGMVLVR&amp;Dta=/var/www/html/dta/yong/23617.25269.4.dta&amp;Global_Mod=CS57.0215", "25269")</f>
        <v>25269</v>
      </c>
      <c r="N870" s="5">
        <v>110.38</v>
      </c>
      <c r="O870" s="5">
        <v>112.69</v>
      </c>
      <c r="P870" s="5">
        <v>4.0579999999999998</v>
      </c>
      <c r="Q870" s="5">
        <v>3.72</v>
      </c>
      <c r="R870" s="5">
        <v>2.0146999999999999</v>
      </c>
      <c r="S870" s="5">
        <v>0.32129999999999997</v>
      </c>
      <c r="T870" s="5">
        <v>0.32829999999999998</v>
      </c>
      <c r="U870" s="5">
        <v>0.29859999999999998</v>
      </c>
      <c r="V870" s="4">
        <v>1</v>
      </c>
      <c r="W870" s="4">
        <v>1</v>
      </c>
      <c r="X870" s="5">
        <v>2.64</v>
      </c>
      <c r="Y870" s="5">
        <v>2.4900000000000002</v>
      </c>
      <c r="Z870" s="6" t="s">
        <v>1306</v>
      </c>
      <c r="AA870" s="6" t="s">
        <v>1306</v>
      </c>
      <c r="AB870" s="4" t="s">
        <v>13</v>
      </c>
    </row>
    <row r="871" spans="1:28">
      <c r="A871" s="3" t="s">
        <v>888</v>
      </c>
      <c r="B871" s="3" t="s">
        <v>902</v>
      </c>
      <c r="C871" s="3" t="s">
        <v>902</v>
      </c>
      <c r="D871" s="4" t="s">
        <v>1518</v>
      </c>
      <c r="E871" s="3" t="s">
        <v>904</v>
      </c>
      <c r="F871" s="7" t="s">
        <v>1421</v>
      </c>
      <c r="G871" s="4">
        <v>110</v>
      </c>
      <c r="H871" s="3" t="s">
        <v>912</v>
      </c>
      <c r="I871" s="3" t="s">
        <v>916</v>
      </c>
      <c r="J871" s="4">
        <v>4</v>
      </c>
      <c r="K871" s="4">
        <v>1219.9272000000001</v>
      </c>
      <c r="L871" s="4" t="str">
        <f>HYPERLINK("http://ms.phosphosite.org:5080/cgi-bin/plot-msms.cgi?MassType=1&amp;NumAxis=1&amp;Mod10=184&amp;Mod21=184&amp;Mod41=147&amp;Pep=TPTATTSGIRATLTPTVLAPRLPQPPQNPTNIQNFQLPPGMVLVR&amp;Dta=/var/www/html/dta/yong/23616.24675.4.dta&amp;Global_Mod=CS57.0215", "24675")</f>
        <v>24675</v>
      </c>
      <c r="M871" s="4" t="str">
        <f>HYPERLINK("http://ms.phosphosite.org:5080/cgi-bin/plot-msms.cgi?MassType=1&amp;NumAxis=1&amp;Mod10=184&amp;Mod21=184&amp;Mod41=147&amp;Pep=TPTATTSGIRATLTPTVLAPRLPQPPQNPTNIQNFQLPPGMVLVR&amp;Dta=/var/www/html/dta/yong/23617.24678.4.dta&amp;Global_Mod=CS57.0215", "24678")</f>
        <v>24678</v>
      </c>
      <c r="N871" s="5">
        <v>110.85</v>
      </c>
      <c r="O871" s="5">
        <v>110.32</v>
      </c>
      <c r="P871" s="5">
        <v>2.9809999999999999</v>
      </c>
      <c r="Q871" s="5">
        <v>2.964</v>
      </c>
      <c r="R871" s="5">
        <v>1.8955</v>
      </c>
      <c r="S871" s="5">
        <v>1.8569</v>
      </c>
      <c r="T871" s="5">
        <v>0.24890000000000001</v>
      </c>
      <c r="U871" s="5">
        <v>0.2495</v>
      </c>
      <c r="V871" s="4">
        <v>1</v>
      </c>
      <c r="W871" s="4">
        <v>1</v>
      </c>
      <c r="X871" s="5">
        <v>1.88</v>
      </c>
      <c r="Y871" s="5">
        <v>1.91</v>
      </c>
      <c r="Z871" s="6" t="s">
        <v>1306</v>
      </c>
      <c r="AA871" s="6" t="s">
        <v>1306</v>
      </c>
      <c r="AB871" s="4" t="s">
        <v>13</v>
      </c>
    </row>
    <row r="872" spans="1:28">
      <c r="A872" s="3" t="s">
        <v>888</v>
      </c>
      <c r="B872" s="3" t="s">
        <v>902</v>
      </c>
      <c r="C872" s="3" t="s">
        <v>902</v>
      </c>
      <c r="D872" s="4" t="s">
        <v>1518</v>
      </c>
      <c r="E872" s="3" t="s">
        <v>904</v>
      </c>
      <c r="F872" s="7" t="s">
        <v>1421</v>
      </c>
      <c r="G872" s="4">
        <v>110</v>
      </c>
      <c r="H872" s="3" t="s">
        <v>912</v>
      </c>
      <c r="I872" s="3" t="s">
        <v>916</v>
      </c>
      <c r="J872" s="4">
        <v>4</v>
      </c>
      <c r="K872" s="4">
        <v>1219.9272000000001</v>
      </c>
      <c r="L872" s="4" t="str">
        <f>HYPERLINK("http://ms.phosphosite.org:5080/cgi-bin/plot-msms.cgi?MassType=1&amp;NumAxis=1&amp;Mod10=184&amp;Mod21=184&amp;Mod41=147&amp;Pep=TPTATTSGIRATLTPTVLAPRLPQPPQNPTNIQNFQLPPGMVLVR&amp;Dta=/var/www/html/dta/yong/23616.24845.4.dta&amp;Global_Mod=CS57.0215", "24845")</f>
        <v>24845</v>
      </c>
      <c r="M872" s="4" t="str">
        <f>HYPERLINK("http://ms.phosphosite.org:5080/cgi-bin/plot-msms.cgi?MassType=1&amp;NumAxis=1&amp;Mod10=184&amp;Mod21=184&amp;Mod41=147&amp;Pep=TPTATTSGIRATLTPTVLAPRLPQPPQNPTNIQNFQLPPGMVLVR&amp;Dta=/var/www/html/dta/yong/23617.25249.4.dta&amp;Global_Mod=CS57.0215", "25249")</f>
        <v>25249</v>
      </c>
      <c r="N872" s="5">
        <v>111.54</v>
      </c>
      <c r="O872" s="5">
        <v>112.61</v>
      </c>
      <c r="P872" s="5">
        <v>3.5830000000000002</v>
      </c>
      <c r="Q872" s="5">
        <v>2.9740000000000002</v>
      </c>
      <c r="R872" s="5">
        <v>1.5021</v>
      </c>
      <c r="S872" s="5">
        <v>1.4115</v>
      </c>
      <c r="T872" s="5">
        <v>0.30969999999999998</v>
      </c>
      <c r="U872" s="5">
        <v>0.18859999999999999</v>
      </c>
      <c r="V872" s="4">
        <v>1</v>
      </c>
      <c r="W872" s="4">
        <v>2</v>
      </c>
      <c r="X872" s="5">
        <v>2.42</v>
      </c>
      <c r="Y872" s="5">
        <v>1.59</v>
      </c>
      <c r="Z872" s="6" t="s">
        <v>1306</v>
      </c>
      <c r="AA872" s="6" t="s">
        <v>1306</v>
      </c>
      <c r="AB872" s="4" t="s">
        <v>13</v>
      </c>
    </row>
    <row r="873" spans="1:28">
      <c r="A873" s="3" t="s">
        <v>888</v>
      </c>
      <c r="B873" s="3" t="s">
        <v>902</v>
      </c>
      <c r="C873" s="3" t="s">
        <v>902</v>
      </c>
      <c r="D873" s="4" t="s">
        <v>1518</v>
      </c>
      <c r="E873" s="3" t="s">
        <v>904</v>
      </c>
      <c r="F873" s="7" t="s">
        <v>1421</v>
      </c>
      <c r="G873" s="4">
        <v>110</v>
      </c>
      <c r="H873" s="3" t="s">
        <v>912</v>
      </c>
      <c r="I873" s="3" t="s">
        <v>916</v>
      </c>
      <c r="J873" s="4">
        <v>4</v>
      </c>
      <c r="K873" s="4">
        <v>1219.9272000000001</v>
      </c>
      <c r="L873" s="4" t="str">
        <f>HYPERLINK("http://ms.phosphosite.org:5080/cgi-bin/plot-msms.cgi?MassType=1&amp;NumAxis=1&amp;Mod10=184&amp;Mod21=184&amp;Mod41=147&amp;Pep=TPTATTSGIRATLTPTVLAPRLPQPPQNPTNIQNFQLPPGMVLVR&amp;Dta=/var/www/html/dta/yong/23616.25175.4.dta&amp;Global_Mod=CS57.0215", "25175")</f>
        <v>25175</v>
      </c>
      <c r="M873" s="4" t="str">
        <f>HYPERLINK("http://ms.phosphosite.org:5080/cgi-bin/plot-msms.cgi?MassType=1&amp;NumAxis=1&amp;Mod10=184&amp;Mod21=184&amp;Mod41=147&amp;Pep=TPTATTSGIRATLTPTVLAPRLPQPPQNPTNIQNFQLPPGMVLVR&amp;Dta=/var/www/html/dta/yong/23617.24997.4.dta&amp;Global_Mod=CS57.0215", "24997")</f>
        <v>24997</v>
      </c>
      <c r="N873" s="5">
        <v>112.87</v>
      </c>
      <c r="O873" s="5">
        <v>111.59</v>
      </c>
      <c r="P873" s="5">
        <v>4.2110000000000003</v>
      </c>
      <c r="Q873" s="5">
        <v>3.7679999999999998</v>
      </c>
      <c r="R873" s="5">
        <v>0.87280000000000002</v>
      </c>
      <c r="S873" s="5">
        <v>1.6662999999999999</v>
      </c>
      <c r="T873" s="5">
        <v>0.3392</v>
      </c>
      <c r="U873" s="5">
        <v>0.40360000000000001</v>
      </c>
      <c r="V873" s="4">
        <v>1</v>
      </c>
      <c r="W873" s="4">
        <v>1</v>
      </c>
      <c r="X873" s="5">
        <v>2.8</v>
      </c>
      <c r="Y873" s="5">
        <v>3.04</v>
      </c>
      <c r="Z873" s="6" t="s">
        <v>1306</v>
      </c>
      <c r="AA873" s="6" t="s">
        <v>1306</v>
      </c>
      <c r="AB873" s="4" t="s">
        <v>13</v>
      </c>
    </row>
    <row r="874" spans="1:28">
      <c r="A874" s="3" t="s">
        <v>888</v>
      </c>
      <c r="B874" s="3" t="s">
        <v>902</v>
      </c>
      <c r="C874" s="3" t="s">
        <v>902</v>
      </c>
      <c r="D874" s="4" t="s">
        <v>1518</v>
      </c>
      <c r="E874" s="3" t="s">
        <v>904</v>
      </c>
      <c r="F874" s="7" t="s">
        <v>1421</v>
      </c>
      <c r="G874" s="4">
        <v>110</v>
      </c>
      <c r="H874" s="3" t="s">
        <v>912</v>
      </c>
      <c r="I874" s="3" t="s">
        <v>917</v>
      </c>
      <c r="J874" s="4">
        <v>4</v>
      </c>
      <c r="K874" s="4">
        <v>1215.9285</v>
      </c>
      <c r="L874" s="4" t="str">
        <f>HYPERLINK("http://ms.phosphosite.org:5080/cgi-bin/plot-msms.cgi?MassType=1&amp;NumAxis=1&amp;Mod10=184&amp;Mod21=184&amp;Pep=TPTATTSGIRATLTPTVLAPRLPQPPQNPTNIQNFQLPPGMVLVR&amp;Dta=/var/www/html/dta/yong/23616.26765.4.dta&amp;Global_Mod=CS57.0215", "26765")</f>
        <v>26765</v>
      </c>
      <c r="M874" s="4"/>
      <c r="N874" s="5">
        <v>119.64</v>
      </c>
      <c r="O874" s="5"/>
      <c r="P874" s="5">
        <v>3.4009999999999998</v>
      </c>
      <c r="Q874" s="5"/>
      <c r="R874" s="5">
        <v>0.45810000000000001</v>
      </c>
      <c r="S874" s="5"/>
      <c r="T874" s="5">
        <v>0.32079999999999997</v>
      </c>
      <c r="U874" s="5"/>
      <c r="V874" s="4">
        <v>2</v>
      </c>
      <c r="W874" s="4"/>
      <c r="X874" s="5">
        <v>2.48</v>
      </c>
      <c r="Y874" s="5"/>
      <c r="Z874" s="6" t="s">
        <v>1306</v>
      </c>
      <c r="AA874" s="6"/>
      <c r="AB874" s="4" t="s">
        <v>13</v>
      </c>
    </row>
    <row r="875" spans="1:28">
      <c r="A875" s="3" t="s">
        <v>888</v>
      </c>
      <c r="B875" s="3" t="s">
        <v>902</v>
      </c>
      <c r="C875" s="3" t="s">
        <v>902</v>
      </c>
      <c r="D875" s="4" t="s">
        <v>1518</v>
      </c>
      <c r="E875" s="3" t="s">
        <v>904</v>
      </c>
      <c r="F875" s="7" t="s">
        <v>1421</v>
      </c>
      <c r="G875" s="4">
        <v>110</v>
      </c>
      <c r="H875" s="3" t="s">
        <v>912</v>
      </c>
      <c r="I875" s="3" t="s">
        <v>917</v>
      </c>
      <c r="J875" s="4">
        <v>4</v>
      </c>
      <c r="K875" s="4">
        <v>1215.9285</v>
      </c>
      <c r="L875" s="4" t="str">
        <f>HYPERLINK("http://ms.phosphosite.org:5080/cgi-bin/plot-msms.cgi?MassType=1&amp;NumAxis=1&amp;Mod10=184&amp;Mod21=184&amp;Pep=TPTATTSGIRATLTPTVLAPRLPQPPQNPTNIQNFQLPPGMVLVR&amp;Dta=/var/www/html/dta/yong/23616.26778.4.dta&amp;Global_Mod=CS57.0215", "26778")</f>
        <v>26778</v>
      </c>
      <c r="M875" s="4"/>
      <c r="N875" s="5">
        <v>119.7</v>
      </c>
      <c r="O875" s="5"/>
      <c r="P875" s="5">
        <v>2.798</v>
      </c>
      <c r="Q875" s="5"/>
      <c r="R875" s="5">
        <v>0.97270000000000001</v>
      </c>
      <c r="S875" s="5"/>
      <c r="T875" s="5">
        <v>0.16550000000000001</v>
      </c>
      <c r="U875" s="5"/>
      <c r="V875" s="4">
        <v>2</v>
      </c>
      <c r="W875" s="4"/>
      <c r="X875" s="5">
        <v>1.4</v>
      </c>
      <c r="Y875" s="5"/>
      <c r="Z875" s="6" t="s">
        <v>1306</v>
      </c>
      <c r="AA875" s="6"/>
      <c r="AB875" s="4" t="s">
        <v>13</v>
      </c>
    </row>
    <row r="876" spans="1:28">
      <c r="A876" s="3" t="s">
        <v>888</v>
      </c>
      <c r="B876" s="3" t="s">
        <v>902</v>
      </c>
      <c r="C876" s="3" t="s">
        <v>902</v>
      </c>
      <c r="D876" s="4" t="s">
        <v>1518</v>
      </c>
      <c r="E876" s="3" t="s">
        <v>904</v>
      </c>
      <c r="F876" s="7" t="s">
        <v>1421</v>
      </c>
      <c r="G876" s="4">
        <v>110</v>
      </c>
      <c r="H876" s="3" t="s">
        <v>912</v>
      </c>
      <c r="I876" s="3" t="s">
        <v>915</v>
      </c>
      <c r="J876" s="4">
        <v>3</v>
      </c>
      <c r="K876" s="4">
        <v>1257.3581999999999</v>
      </c>
      <c r="L876" s="4"/>
      <c r="M876" s="4" t="str">
        <f>HYPERLINK("http://ms.phosphosite.org:5080/cgi-bin/plot-msms.cgi?MassType=1&amp;NumAxis=1&amp;Mod10=184&amp;Mod21=184&amp;Pep=TPTATTSGIRATLTPTVLAPRLPQPPQNPTNIQNF&amp;Dta=/var/www/html/dta/yong/23617.23565.3.dta&amp;Global_Mod=CS57.0215", "23565")</f>
        <v>23565</v>
      </c>
      <c r="N876" s="5"/>
      <c r="O876" s="5">
        <v>105.82</v>
      </c>
      <c r="P876" s="5"/>
      <c r="Q876" s="5">
        <v>4.0940000000000003</v>
      </c>
      <c r="R876" s="5"/>
      <c r="S876" s="5">
        <v>1.1873</v>
      </c>
      <c r="T876" s="5"/>
      <c r="U876" s="5">
        <v>0.2351</v>
      </c>
      <c r="V876" s="4"/>
      <c r="W876" s="4">
        <v>1</v>
      </c>
      <c r="X876" s="5"/>
      <c r="Y876" s="5">
        <v>2.2999999999999998</v>
      </c>
      <c r="Z876" s="6"/>
      <c r="AA876" s="6" t="s">
        <v>1306</v>
      </c>
      <c r="AB876" s="4" t="s">
        <v>13</v>
      </c>
    </row>
    <row r="877" spans="1:28">
      <c r="A877" s="3" t="s">
        <v>888</v>
      </c>
      <c r="B877" s="3" t="s">
        <v>902</v>
      </c>
      <c r="C877" s="3" t="s">
        <v>902</v>
      </c>
      <c r="D877" s="4" t="s">
        <v>1518</v>
      </c>
      <c r="E877" s="3" t="s">
        <v>904</v>
      </c>
      <c r="F877" s="7" t="s">
        <v>1421</v>
      </c>
      <c r="G877" s="4">
        <v>110</v>
      </c>
      <c r="H877" s="3" t="s">
        <v>912</v>
      </c>
      <c r="I877" s="3" t="s">
        <v>915</v>
      </c>
      <c r="J877" s="4">
        <v>4</v>
      </c>
      <c r="K877" s="4">
        <v>943.2704</v>
      </c>
      <c r="L877" s="4"/>
      <c r="M877" s="4" t="str">
        <f>HYPERLINK("http://ms.phosphosite.org:5080/cgi-bin/plot-msms.cgi?MassType=1&amp;NumAxis=1&amp;Mod10=184&amp;Mod21=184&amp;Pep=TPTATTSGIRATLTPTVLAPRLPQPPQNPTNIQNF&amp;Dta=/var/www/html/dta/yong/23617.23614.4.dta&amp;Global_Mod=CS57.0215", "23614")</f>
        <v>23614</v>
      </c>
      <c r="N877" s="5"/>
      <c r="O877" s="5">
        <v>106.03</v>
      </c>
      <c r="P877" s="5"/>
      <c r="Q877" s="5">
        <v>4.6609999999999996</v>
      </c>
      <c r="R877" s="5"/>
      <c r="S877" s="5">
        <v>1.5965</v>
      </c>
      <c r="T877" s="5"/>
      <c r="U877" s="5">
        <v>0.39860000000000001</v>
      </c>
      <c r="V877" s="4"/>
      <c r="W877" s="4">
        <v>1</v>
      </c>
      <c r="X877" s="5"/>
      <c r="Y877" s="5">
        <v>3.39</v>
      </c>
      <c r="Z877" s="6"/>
      <c r="AA877" s="6" t="s">
        <v>1306</v>
      </c>
      <c r="AB877" s="4" t="s">
        <v>13</v>
      </c>
    </row>
    <row r="878" spans="1:28">
      <c r="A878" s="3" t="s">
        <v>888</v>
      </c>
      <c r="B878" s="3" t="s">
        <v>902</v>
      </c>
      <c r="C878" s="3" t="s">
        <v>902</v>
      </c>
      <c r="D878" s="4" t="s">
        <v>1518</v>
      </c>
      <c r="E878" s="3" t="s">
        <v>904</v>
      </c>
      <c r="F878" s="7" t="s">
        <v>1421</v>
      </c>
      <c r="G878" s="4">
        <v>110</v>
      </c>
      <c r="H878" s="3" t="s">
        <v>912</v>
      </c>
      <c r="I878" s="3" t="s">
        <v>916</v>
      </c>
      <c r="J878" s="4">
        <v>5</v>
      </c>
      <c r="K878" s="4">
        <v>976.14319999999998</v>
      </c>
      <c r="L878" s="4"/>
      <c r="M878" s="4" t="str">
        <f>HYPERLINK("http://ms.phosphosite.org:5080/cgi-bin/plot-msms.cgi?MassType=1&amp;NumAxis=1&amp;Mod10=184&amp;Mod21=184&amp;Mod41=147&amp;Pep=TPTATTSGIRATLTPTVLAPRLPQPPQNPTNIQNFQLPPGMVLVR&amp;Dta=/var/www/html/dta/yong/23617.24772.5.dta&amp;Global_Mod=CS57.0215", "24772")</f>
        <v>24772</v>
      </c>
      <c r="N878" s="5"/>
      <c r="O878" s="5">
        <v>110.68</v>
      </c>
      <c r="P878" s="5"/>
      <c r="Q878" s="5">
        <v>3.4390000000000001</v>
      </c>
      <c r="R878" s="5"/>
      <c r="S878" s="5">
        <v>0.76819999999999999</v>
      </c>
      <c r="T878" s="5"/>
      <c r="U878" s="5">
        <v>6.25E-2</v>
      </c>
      <c r="V878" s="4"/>
      <c r="W878" s="4">
        <v>3</v>
      </c>
      <c r="X878" s="5"/>
      <c r="Y878" s="5">
        <v>1.07</v>
      </c>
      <c r="Z878" s="6"/>
      <c r="AA878" s="6" t="s">
        <v>1306</v>
      </c>
      <c r="AB878" s="4" t="s">
        <v>13</v>
      </c>
    </row>
    <row r="879" spans="1:28">
      <c r="A879" s="3" t="s">
        <v>888</v>
      </c>
      <c r="B879" s="3" t="s">
        <v>902</v>
      </c>
      <c r="C879" s="3" t="s">
        <v>902</v>
      </c>
      <c r="D879" s="4" t="s">
        <v>1518</v>
      </c>
      <c r="E879" s="3" t="s">
        <v>904</v>
      </c>
      <c r="F879" s="7" t="s">
        <v>1421</v>
      </c>
      <c r="G879" s="4">
        <v>110</v>
      </c>
      <c r="H879" s="3" t="s">
        <v>912</v>
      </c>
      <c r="I879" s="3" t="s">
        <v>916</v>
      </c>
      <c r="J879" s="4">
        <v>4</v>
      </c>
      <c r="K879" s="4">
        <v>1219.9272000000001</v>
      </c>
      <c r="L879" s="4"/>
      <c r="M879" s="4" t="str">
        <f>HYPERLINK("http://ms.phosphosite.org:5080/cgi-bin/plot-msms.cgi?MassType=1&amp;NumAxis=1&amp;Mod10=184&amp;Mod21=184&amp;Mod41=147&amp;Pep=TPTATTSGIRATLTPTVLAPRLPQPPQNPTNIQNFQLPPGMVLVR&amp;Dta=/var/www/html/dta/yong/23617.24829.4.dta&amp;Global_Mod=CS57.0215", "24829")</f>
        <v>24829</v>
      </c>
      <c r="N879" s="5"/>
      <c r="O879" s="5">
        <v>110.91</v>
      </c>
      <c r="P879" s="5"/>
      <c r="Q879" s="5">
        <v>3.2309999999999999</v>
      </c>
      <c r="R879" s="5"/>
      <c r="S879" s="5">
        <v>1.8037000000000001</v>
      </c>
      <c r="T879" s="5"/>
      <c r="U879" s="5">
        <v>0.32029999999999997</v>
      </c>
      <c r="V879" s="4"/>
      <c r="W879" s="4">
        <v>1</v>
      </c>
      <c r="X879" s="5"/>
      <c r="Y879" s="5">
        <v>2.4</v>
      </c>
      <c r="Z879" s="6"/>
      <c r="AA879" s="6" t="s">
        <v>1306</v>
      </c>
      <c r="AB879" s="4" t="s">
        <v>13</v>
      </c>
    </row>
    <row r="880" spans="1:28">
      <c r="A880" s="3" t="s">
        <v>888</v>
      </c>
      <c r="B880" s="3" t="s">
        <v>902</v>
      </c>
      <c r="C880" s="3" t="s">
        <v>902</v>
      </c>
      <c r="D880" s="4" t="s">
        <v>1518</v>
      </c>
      <c r="E880" s="3" t="s">
        <v>904</v>
      </c>
      <c r="F880" s="7" t="s">
        <v>1421</v>
      </c>
      <c r="G880" s="4">
        <v>110</v>
      </c>
      <c r="H880" s="3" t="s">
        <v>912</v>
      </c>
      <c r="I880" s="3" t="s">
        <v>916</v>
      </c>
      <c r="J880" s="4">
        <v>4</v>
      </c>
      <c r="K880" s="4">
        <v>1219.9272000000001</v>
      </c>
      <c r="L880" s="4"/>
      <c r="M880" s="4" t="str">
        <f>HYPERLINK("http://ms.phosphosite.org:5080/cgi-bin/plot-msms.cgi?MassType=1&amp;NumAxis=1&amp;Mod10=184&amp;Mod21=184&amp;Mod41=147&amp;Pep=TPTATTSGIRATLTPTVLAPRLPQPPQNPTNIQNFQLPPGMVLVR&amp;Dta=/var/www/html/dta/yong/23617.25080.4.dta&amp;Global_Mod=CS57.0215", "25080")</f>
        <v>25080</v>
      </c>
      <c r="N880" s="5"/>
      <c r="O880" s="5">
        <v>111.92</v>
      </c>
      <c r="P880" s="5"/>
      <c r="Q880" s="5">
        <v>2.976</v>
      </c>
      <c r="R880" s="5"/>
      <c r="S880" s="5">
        <v>1.6835</v>
      </c>
      <c r="T880" s="5"/>
      <c r="U880" s="5">
        <v>0.15160000000000001</v>
      </c>
      <c r="V880" s="4"/>
      <c r="W880" s="4">
        <v>2</v>
      </c>
      <c r="X880" s="5"/>
      <c r="Y880" s="5">
        <v>1.37</v>
      </c>
      <c r="Z880" s="6"/>
      <c r="AA880" s="6" t="s">
        <v>1306</v>
      </c>
      <c r="AB880" s="4" t="s">
        <v>13</v>
      </c>
    </row>
    <row r="881" spans="1:28">
      <c r="A881" s="18" t="s">
        <v>888</v>
      </c>
      <c r="B881" s="18" t="s">
        <v>902</v>
      </c>
      <c r="C881" s="18" t="s">
        <v>902</v>
      </c>
      <c r="D881" s="19"/>
      <c r="E881" s="18" t="s">
        <v>904</v>
      </c>
      <c r="F881" s="15" t="s">
        <v>1421</v>
      </c>
      <c r="G881" s="19">
        <v>110</v>
      </c>
      <c r="H881" s="18"/>
      <c r="I881" s="18" t="s">
        <v>918</v>
      </c>
      <c r="J881" s="19">
        <v>2</v>
      </c>
      <c r="K881" s="19">
        <v>566.30949999999996</v>
      </c>
      <c r="L881" s="19"/>
      <c r="M881" s="19" t="str">
        <f>HYPERLINK("http://ms.phosphosite.org:5080/cgi-bin/plot-msms.cgi?MassType=1&amp;NumAxis=1&amp;Mod12=170&amp;Pep=GAAGAVTQSLSR&amp;Dta=/var/www/html/dta/yong/23617.7307.2.dta&amp;Global_Mod=CS57.0215", "7307")</f>
        <v>7307</v>
      </c>
      <c r="N881" s="20"/>
      <c r="O881" s="20">
        <v>37.47</v>
      </c>
      <c r="P881" s="20"/>
      <c r="Q881" s="20">
        <v>3.7610000000000001</v>
      </c>
      <c r="R881" s="20"/>
      <c r="S881" s="20">
        <v>0.46729999999999999</v>
      </c>
      <c r="T881" s="20"/>
      <c r="U881" s="20">
        <v>0.36799999999999999</v>
      </c>
      <c r="V881" s="19"/>
      <c r="W881" s="19">
        <v>1</v>
      </c>
      <c r="X881" s="20"/>
      <c r="Y881" s="20">
        <v>3.56</v>
      </c>
      <c r="Z881" s="21"/>
      <c r="AA881" s="21">
        <v>1000</v>
      </c>
      <c r="AB881" s="19" t="s">
        <v>13</v>
      </c>
    </row>
    <row r="882" spans="1:28">
      <c r="A882" s="9" t="s">
        <v>888</v>
      </c>
      <c r="B882" s="9" t="s">
        <v>1682</v>
      </c>
      <c r="C882" s="9" t="s">
        <v>1683</v>
      </c>
      <c r="D882" s="7">
        <v>28</v>
      </c>
      <c r="E882" s="9" t="s">
        <v>919</v>
      </c>
      <c r="F882" s="7" t="s">
        <v>1422</v>
      </c>
      <c r="G882" s="7">
        <v>123.8</v>
      </c>
      <c r="H882" s="9" t="s">
        <v>920</v>
      </c>
      <c r="I882" s="9" t="s">
        <v>921</v>
      </c>
      <c r="J882" s="7">
        <v>2</v>
      </c>
      <c r="K882" s="7">
        <v>568.79769999999996</v>
      </c>
      <c r="L882" s="7"/>
      <c r="M882" s="7" t="str">
        <f>HYPERLINK("http://ms.phosphosite.org:5080/cgi-bin/plot-msms.cgi?MassType=1&amp;NumAxis=1&amp;Mod1=147&amp;Mod8=184&amp;Pep=MAQQQALRF&amp;Dta=/var/www/html/dta/yong/23617.10848.2.dta&amp;Global_Mod=CS57.0215", "10848")</f>
        <v>10848</v>
      </c>
      <c r="N882" s="10"/>
      <c r="O882" s="10">
        <v>52.08</v>
      </c>
      <c r="P882" s="10"/>
      <c r="Q882" s="10">
        <v>2.7170000000000001</v>
      </c>
      <c r="R882" s="10"/>
      <c r="S882" s="10">
        <v>0.28960000000000002</v>
      </c>
      <c r="T882" s="10"/>
      <c r="U882" s="10">
        <v>0.1125</v>
      </c>
      <c r="V882" s="7"/>
      <c r="W882" s="7">
        <v>1</v>
      </c>
      <c r="X882" s="10"/>
      <c r="Y882" s="10">
        <v>1.31</v>
      </c>
      <c r="Z882" s="11"/>
      <c r="AA882" s="11">
        <v>1000</v>
      </c>
      <c r="AB882" s="7" t="s">
        <v>13</v>
      </c>
    </row>
    <row r="883" spans="1:28">
      <c r="A883" s="9" t="s">
        <v>888</v>
      </c>
      <c r="B883" s="9" t="s">
        <v>1682</v>
      </c>
      <c r="C883" s="9" t="s">
        <v>1683</v>
      </c>
      <c r="D883" s="7">
        <v>20</v>
      </c>
      <c r="E883" s="9" t="s">
        <v>919</v>
      </c>
      <c r="F883" s="7" t="s">
        <v>1422</v>
      </c>
      <c r="G883" s="7">
        <v>123.8</v>
      </c>
      <c r="H883" s="9" t="s">
        <v>924</v>
      </c>
      <c r="I883" s="9" t="s">
        <v>925</v>
      </c>
      <c r="J883" s="7">
        <v>2</v>
      </c>
      <c r="K883" s="7">
        <v>823.91959999999995</v>
      </c>
      <c r="L883" s="7" t="str">
        <f>HYPERLINK("http://ms.phosphosite.org:5080/cgi-bin/plot-msms.cgi?MassType=1&amp;NumAxis=1&amp;Mod7=184&amp;Mod8=147&amp;Pep=FNPGELRMAQQQAL&amp;Dta=/var/www/html/dta/yong/23616.14365.2.dta&amp;Global_Mod=CS57.0215", "14365")</f>
        <v>14365</v>
      </c>
      <c r="M883" s="7" t="str">
        <f>HYPERLINK("http://ms.phosphosite.org:5080/cgi-bin/plot-msms.cgi?MassType=1&amp;NumAxis=1&amp;Mod7=184&amp;Mod8=147&amp;Pep=FNPGELRMAQQQAL&amp;Dta=/var/www/html/dta/yong/23617.14515.2.dta&amp;Global_Mod=CS57.0215", "14515")</f>
        <v>14515</v>
      </c>
      <c r="N883" s="10">
        <v>67.989999999999995</v>
      </c>
      <c r="O883" s="10">
        <v>67.92</v>
      </c>
      <c r="P883" s="10">
        <v>2.306</v>
      </c>
      <c r="Q883" s="10">
        <v>2.4660000000000002</v>
      </c>
      <c r="R883" s="10">
        <v>1.157</v>
      </c>
      <c r="S883" s="10">
        <v>1.0851999999999999</v>
      </c>
      <c r="T883" s="10">
        <v>0.1724</v>
      </c>
      <c r="U883" s="10">
        <v>0.1338</v>
      </c>
      <c r="V883" s="7">
        <v>1</v>
      </c>
      <c r="W883" s="7">
        <v>1</v>
      </c>
      <c r="X883" s="10">
        <v>1.48</v>
      </c>
      <c r="Y883" s="10">
        <v>1.27</v>
      </c>
      <c r="Z883" s="11">
        <v>1000</v>
      </c>
      <c r="AA883" s="11">
        <v>1000</v>
      </c>
      <c r="AB883" s="7" t="s">
        <v>13</v>
      </c>
    </row>
    <row r="884" spans="1:28" s="18" customFormat="1">
      <c r="A884" s="3" t="s">
        <v>888</v>
      </c>
      <c r="B884" s="9" t="s">
        <v>1682</v>
      </c>
      <c r="C884" s="9" t="s">
        <v>1683</v>
      </c>
      <c r="D884" s="4" t="s">
        <v>1805</v>
      </c>
      <c r="E884" s="3" t="s">
        <v>919</v>
      </c>
      <c r="F884" s="7" t="s">
        <v>1422</v>
      </c>
      <c r="G884" s="4">
        <v>123.8</v>
      </c>
      <c r="H884" s="3" t="s">
        <v>922</v>
      </c>
      <c r="I884" s="3" t="s">
        <v>923</v>
      </c>
      <c r="J884" s="4">
        <v>3</v>
      </c>
      <c r="K884" s="4">
        <v>660.01580000000001</v>
      </c>
      <c r="L884" s="4" t="str">
        <f>HYPERLINK("http://ms.phosphosite.org:5080/cgi-bin/plot-msms.cgi?MassType=1&amp;NumAxis=1&amp;Mod7=184&amp;Mod8=147&amp;Mod15=184&amp;Pep=FNPGELRMAQQQALRF&amp;Dta=/var/www/html/dta/yong/23616.18492.3.dta&amp;Global_Mod=CS57.0215", "18492")</f>
        <v>18492</v>
      </c>
      <c r="M884" s="4"/>
      <c r="N884" s="5">
        <v>85.45</v>
      </c>
      <c r="O884" s="5"/>
      <c r="P884" s="5">
        <v>2.7010000000000001</v>
      </c>
      <c r="Q884" s="5"/>
      <c r="R884" s="5">
        <v>0.84160000000000001</v>
      </c>
      <c r="S884" s="5"/>
      <c r="T884" s="5">
        <v>0.15229999999999999</v>
      </c>
      <c r="U884" s="5"/>
      <c r="V884" s="4">
        <v>559</v>
      </c>
      <c r="W884" s="4"/>
      <c r="X884" s="5">
        <v>1.1100000000000001</v>
      </c>
      <c r="Y884" s="5"/>
      <c r="Z884" s="6" t="s">
        <v>1306</v>
      </c>
      <c r="AA884" s="6"/>
      <c r="AB884" s="4" t="s">
        <v>13</v>
      </c>
    </row>
    <row r="885" spans="1:28">
      <c r="A885" s="9" t="s">
        <v>888</v>
      </c>
      <c r="B885" s="9" t="s">
        <v>1684</v>
      </c>
      <c r="C885" s="9" t="s">
        <v>1684</v>
      </c>
      <c r="D885" s="7">
        <v>7</v>
      </c>
      <c r="E885" s="9" t="s">
        <v>926</v>
      </c>
      <c r="F885" s="7" t="s">
        <v>1423</v>
      </c>
      <c r="G885" s="7">
        <v>219.8</v>
      </c>
      <c r="H885" s="9" t="s">
        <v>927</v>
      </c>
      <c r="I885" s="9" t="s">
        <v>928</v>
      </c>
      <c r="J885" s="7">
        <v>4</v>
      </c>
      <c r="K885" s="7">
        <v>1278.3671999999999</v>
      </c>
      <c r="L885" s="7" t="str">
        <f>HYPERLINK("http://ms.phosphosite.org:5080/cgi-bin/plot-msms.cgi?MassType=1&amp;NumAxis=1&amp;Mod3=184&amp;Mod47=147&amp;Pep=WGRYGGSSHYPPPPVPPPPPVALPEASPGPGYSSSTTPAAPSSSGFMSFR&amp;Dta=/var/www/html/dta/yong/23616.20417.4.dta&amp;Global_Mod=CS57.0215", "20417")</f>
        <v>20417</v>
      </c>
      <c r="M885" s="7"/>
      <c r="N885" s="10">
        <v>93.58</v>
      </c>
      <c r="O885" s="10"/>
      <c r="P885" s="10">
        <v>4.7320000000000002</v>
      </c>
      <c r="Q885" s="10"/>
      <c r="R885" s="10">
        <v>-0.37030000000000002</v>
      </c>
      <c r="S885" s="10"/>
      <c r="T885" s="10">
        <v>0.28189999999999998</v>
      </c>
      <c r="U885" s="10"/>
      <c r="V885" s="7">
        <v>1</v>
      </c>
      <c r="W885" s="7"/>
      <c r="X885" s="10">
        <v>2.4700000000000002</v>
      </c>
      <c r="Y885" s="10"/>
      <c r="Z885" s="11">
        <v>1000</v>
      </c>
      <c r="AA885" s="11"/>
      <c r="AB885" s="7" t="s">
        <v>13</v>
      </c>
    </row>
    <row r="886" spans="1:28">
      <c r="A886" s="3" t="s">
        <v>929</v>
      </c>
      <c r="B886" s="3" t="s">
        <v>1685</v>
      </c>
      <c r="C886" s="3" t="s">
        <v>1686</v>
      </c>
      <c r="D886" s="4">
        <v>206</v>
      </c>
      <c r="E886" s="3" t="s">
        <v>930</v>
      </c>
      <c r="F886" s="7" t="s">
        <v>1424</v>
      </c>
      <c r="G886" s="4">
        <v>61.8</v>
      </c>
      <c r="H886" s="3" t="s">
        <v>931</v>
      </c>
      <c r="I886" s="3" t="s">
        <v>932</v>
      </c>
      <c r="J886" s="4">
        <v>2</v>
      </c>
      <c r="K886" s="4">
        <v>727.8383</v>
      </c>
      <c r="L886" s="4"/>
      <c r="M886" s="4" t="str">
        <f>HYPERLINK("http://ms.phosphosite.org:5080/cgi-bin/plot-msms.cgi?MassType=1&amp;NumAxis=1&amp;Mod3=147&amp;Mod11=184&amp;Pep=GPMTGSSGGDRGGFK&amp;Dta=/var/www/html/dta/yong/23617.2722.2.dta&amp;Global_Mod=CS57.0215", "2722")</f>
        <v>2722</v>
      </c>
      <c r="N886" s="5"/>
      <c r="O886" s="5">
        <v>18.27</v>
      </c>
      <c r="P886" s="5"/>
      <c r="Q886" s="5">
        <v>2.0299999999999998</v>
      </c>
      <c r="R886" s="5"/>
      <c r="S886" s="5">
        <v>0.92190000000000005</v>
      </c>
      <c r="T886" s="5"/>
      <c r="U886" s="5">
        <v>0.2114</v>
      </c>
      <c r="V886" s="4"/>
      <c r="W886" s="4">
        <v>1</v>
      </c>
      <c r="X886" s="5"/>
      <c r="Y886" s="5">
        <v>1.54</v>
      </c>
      <c r="Z886" s="6"/>
      <c r="AA886" s="6">
        <v>1000</v>
      </c>
      <c r="AB886" s="4" t="s">
        <v>13</v>
      </c>
    </row>
    <row r="887" spans="1:28">
      <c r="A887" s="3" t="s">
        <v>933</v>
      </c>
      <c r="B887" s="3" t="s">
        <v>1687</v>
      </c>
      <c r="C887" s="3" t="s">
        <v>1688</v>
      </c>
      <c r="D887" s="4">
        <v>1877</v>
      </c>
      <c r="E887" s="3" t="s">
        <v>934</v>
      </c>
      <c r="F887" s="7" t="s">
        <v>1425</v>
      </c>
      <c r="G887" s="4">
        <v>229.3</v>
      </c>
      <c r="H887" s="3" t="s">
        <v>935</v>
      </c>
      <c r="I887" s="3" t="s">
        <v>939</v>
      </c>
      <c r="J887" s="4">
        <v>3</v>
      </c>
      <c r="K887" s="4">
        <v>514.28049999999996</v>
      </c>
      <c r="L887" s="4" t="str">
        <f>HYPERLINK("http://ms.phosphosite.org:5080/cgi-bin/plot-msms.cgi?MassType=1&amp;NumAxis=1&amp;Mod1=184&amp;Pep=RYIGPQNFYQVK&amp;Dta=/var/www/html/dta/yong/23616.12447.3.dta&amp;Global_Mod=CS57.0215", "12447")</f>
        <v>12447</v>
      </c>
      <c r="M887" s="4" t="str">
        <f>HYPERLINK("http://ms.phosphosite.org:5080/cgi-bin/plot-msms.cgi?MassType=1&amp;NumAxis=1&amp;Mod1=184&amp;Pep=RYIGPQNFYQVK&amp;Dta=/var/www/html/dta/yong/23617.12558.3.dta&amp;Global_Mod=CS57.0215", "12558")</f>
        <v>12558</v>
      </c>
      <c r="N887" s="5">
        <v>59.55</v>
      </c>
      <c r="O887" s="5">
        <v>59.45</v>
      </c>
      <c r="P887" s="5">
        <v>2.5630000000000002</v>
      </c>
      <c r="Q887" s="5">
        <v>2.7789999999999999</v>
      </c>
      <c r="R887" s="5">
        <v>-0.42459999999999998</v>
      </c>
      <c r="S887" s="5">
        <v>0.97799999999999998</v>
      </c>
      <c r="T887" s="5">
        <v>0.25640000000000002</v>
      </c>
      <c r="U887" s="5">
        <v>0.14219999999999999</v>
      </c>
      <c r="V887" s="4">
        <v>12</v>
      </c>
      <c r="W887" s="4">
        <v>45</v>
      </c>
      <c r="X887" s="5">
        <v>2.02</v>
      </c>
      <c r="Y887" s="5">
        <v>1.51</v>
      </c>
      <c r="Z887" s="6">
        <v>1000</v>
      </c>
      <c r="AA887" s="6">
        <v>1000</v>
      </c>
      <c r="AB887" s="4" t="s">
        <v>13</v>
      </c>
    </row>
    <row r="888" spans="1:28">
      <c r="A888" s="3" t="s">
        <v>933</v>
      </c>
      <c r="B888" s="3" t="s">
        <v>1687</v>
      </c>
      <c r="C888" s="3" t="s">
        <v>1688</v>
      </c>
      <c r="D888" s="4">
        <v>1877</v>
      </c>
      <c r="E888" s="3" t="s">
        <v>934</v>
      </c>
      <c r="F888" s="7" t="s">
        <v>1425</v>
      </c>
      <c r="G888" s="4">
        <v>229.3</v>
      </c>
      <c r="H888" s="3" t="s">
        <v>935</v>
      </c>
      <c r="I888" s="3" t="s">
        <v>941</v>
      </c>
      <c r="J888" s="4">
        <v>2</v>
      </c>
      <c r="K888" s="4">
        <v>814.43320000000006</v>
      </c>
      <c r="L888" s="4" t="str">
        <f>HYPERLINK("http://ms.phosphosite.org:5080/cgi-bin/plot-msms.cgi?MassType=1&amp;NumAxis=1&amp;Mod2=184&amp;Pep=SRYIGPQNFYQVK&amp;Dta=/var/www/html/dta/yong/23616.12862.2.dta&amp;Global_Mod=CS57.0215", "12862")</f>
        <v>12862</v>
      </c>
      <c r="M888" s="4" t="str">
        <f>HYPERLINK("http://ms.phosphosite.org:5080/cgi-bin/plot-msms.cgi?MassType=1&amp;NumAxis=1&amp;Mod2=184&amp;Pep=SRYIGPQNFYQVK&amp;Dta=/var/www/html/dta/yong/23617.13064.2.dta&amp;Global_Mod=CS57.0215", "13064")</f>
        <v>13064</v>
      </c>
      <c r="N888" s="5">
        <v>61.34</v>
      </c>
      <c r="O888" s="5">
        <v>61.54</v>
      </c>
      <c r="P888" s="5">
        <v>3.7949999999999999</v>
      </c>
      <c r="Q888" s="5">
        <v>2.9159999999999999</v>
      </c>
      <c r="R888" s="5">
        <v>1.3250999999999999</v>
      </c>
      <c r="S888" s="5">
        <v>1.1341000000000001</v>
      </c>
      <c r="T888" s="5">
        <v>0.29270000000000002</v>
      </c>
      <c r="U888" s="5">
        <v>0.13220000000000001</v>
      </c>
      <c r="V888" s="4">
        <v>1</v>
      </c>
      <c r="W888" s="4">
        <v>1</v>
      </c>
      <c r="X888" s="5">
        <v>2.56</v>
      </c>
      <c r="Y888" s="5">
        <v>1.49</v>
      </c>
      <c r="Z888" s="6">
        <v>1000</v>
      </c>
      <c r="AA888" s="6">
        <v>1000</v>
      </c>
      <c r="AB888" s="4" t="s">
        <v>13</v>
      </c>
    </row>
    <row r="889" spans="1:28">
      <c r="A889" s="3" t="s">
        <v>933</v>
      </c>
      <c r="B889" s="3" t="s">
        <v>1687</v>
      </c>
      <c r="C889" s="3" t="s">
        <v>1688</v>
      </c>
      <c r="D889" s="4">
        <v>1877</v>
      </c>
      <c r="E889" s="3" t="s">
        <v>934</v>
      </c>
      <c r="F889" s="7" t="s">
        <v>1425</v>
      </c>
      <c r="G889" s="4">
        <v>229.3</v>
      </c>
      <c r="H889" s="3" t="s">
        <v>935</v>
      </c>
      <c r="I889" s="3" t="s">
        <v>941</v>
      </c>
      <c r="J889" s="4">
        <v>2</v>
      </c>
      <c r="K889" s="4">
        <v>814.43320000000006</v>
      </c>
      <c r="L889" s="4" t="str">
        <f>HYPERLINK("http://ms.phosphosite.org:5080/cgi-bin/plot-msms.cgi?MassType=1&amp;NumAxis=1&amp;Mod2=184&amp;Pep=SRYIGPQNFYQVK&amp;Dta=/var/www/html/dta/yong/23616.12943.2.dta&amp;Global_Mod=CS57.0215", "12943")</f>
        <v>12943</v>
      </c>
      <c r="M889" s="4" t="str">
        <f>HYPERLINK("http://ms.phosphosite.org:5080/cgi-bin/plot-msms.cgi?MassType=1&amp;NumAxis=1&amp;Mod2=184&amp;Pep=SRYIGPQNFYQVK&amp;Dta=/var/www/html/dta/yong/23617.13043.2.dta&amp;Global_Mod=CS57.0215", "13043")</f>
        <v>13043</v>
      </c>
      <c r="N889" s="5">
        <v>61.69</v>
      </c>
      <c r="O889" s="5">
        <v>61.47</v>
      </c>
      <c r="P889" s="5">
        <v>3.2639999999999998</v>
      </c>
      <c r="Q889" s="5">
        <v>3.4620000000000002</v>
      </c>
      <c r="R889" s="5">
        <v>1.2565</v>
      </c>
      <c r="S889" s="5">
        <v>1.1341000000000001</v>
      </c>
      <c r="T889" s="5">
        <v>9.3799999999999994E-2</v>
      </c>
      <c r="U889" s="5">
        <v>0.16470000000000001</v>
      </c>
      <c r="V889" s="4">
        <v>1</v>
      </c>
      <c r="W889" s="4">
        <v>1</v>
      </c>
      <c r="X889" s="5">
        <v>1.28</v>
      </c>
      <c r="Y889" s="5">
        <v>1.84</v>
      </c>
      <c r="Z889" s="6">
        <v>1000</v>
      </c>
      <c r="AA889" s="6">
        <v>1000</v>
      </c>
      <c r="AB889" s="4" t="s">
        <v>13</v>
      </c>
    </row>
    <row r="890" spans="1:28">
      <c r="A890" s="3" t="s">
        <v>933</v>
      </c>
      <c r="B890" s="3" t="s">
        <v>1687</v>
      </c>
      <c r="C890" s="3" t="s">
        <v>1688</v>
      </c>
      <c r="D890" s="4">
        <v>1877</v>
      </c>
      <c r="E890" s="3" t="s">
        <v>934</v>
      </c>
      <c r="F890" s="7" t="s">
        <v>1425</v>
      </c>
      <c r="G890" s="4">
        <v>229.3</v>
      </c>
      <c r="H890" s="3" t="s">
        <v>935</v>
      </c>
      <c r="I890" s="3" t="s">
        <v>936</v>
      </c>
      <c r="J890" s="4">
        <v>3</v>
      </c>
      <c r="K890" s="4">
        <v>776.73170000000005</v>
      </c>
      <c r="L890" s="4" t="str">
        <f>HYPERLINK("http://ms.phosphosite.org:5080/cgi-bin/plot-msms.cgi?MassType=1&amp;NumAxis=1&amp;Mod1=147&amp;Mod9=184&amp;Pep=MGPLSQASRYIGPQNFYQVK&amp;Dta=/var/www/html/dta/yong/23616.17845.3.dta&amp;Global_Mod=CS57.0215", "17845")</f>
        <v>17845</v>
      </c>
      <c r="M890" s="4" t="str">
        <f>HYPERLINK("http://ms.phosphosite.org:5080/cgi-bin/plot-msms.cgi?MassType=1&amp;NumAxis=1&amp;Mod1=147&amp;Mod9=184&amp;Pep=MGPLSQASRYIGPQNFYQVK&amp;Dta=/var/www/html/dta/yong/23617.18186.3.dta&amp;Global_Mod=CS57.0215", "18186")</f>
        <v>18186</v>
      </c>
      <c r="N890" s="5">
        <v>82.6</v>
      </c>
      <c r="O890" s="5">
        <v>83.27</v>
      </c>
      <c r="P890" s="5">
        <v>3.62</v>
      </c>
      <c r="Q890" s="5">
        <v>4.41</v>
      </c>
      <c r="R890" s="5">
        <v>0.91830000000000001</v>
      </c>
      <c r="S890" s="5">
        <v>0.74909999999999999</v>
      </c>
      <c r="T890" s="5">
        <v>0.2281</v>
      </c>
      <c r="U890" s="5">
        <v>0.35880000000000001</v>
      </c>
      <c r="V890" s="4">
        <v>1</v>
      </c>
      <c r="W890" s="4">
        <v>1</v>
      </c>
      <c r="X890" s="5">
        <v>2.11</v>
      </c>
      <c r="Y890" s="5">
        <v>3.18</v>
      </c>
      <c r="Z890" s="6">
        <v>1000</v>
      </c>
      <c r="AA890" s="6">
        <v>1000</v>
      </c>
      <c r="AB890" s="4" t="s">
        <v>13</v>
      </c>
    </row>
    <row r="891" spans="1:28">
      <c r="A891" s="3" t="s">
        <v>933</v>
      </c>
      <c r="B891" s="3" t="s">
        <v>1687</v>
      </c>
      <c r="C891" s="3" t="s">
        <v>1688</v>
      </c>
      <c r="D891" s="4">
        <v>1877</v>
      </c>
      <c r="E891" s="3" t="s">
        <v>934</v>
      </c>
      <c r="F891" s="7" t="s">
        <v>1425</v>
      </c>
      <c r="G891" s="4">
        <v>229.3</v>
      </c>
      <c r="H891" s="3" t="s">
        <v>935</v>
      </c>
      <c r="I891" s="3" t="s">
        <v>936</v>
      </c>
      <c r="J891" s="4">
        <v>3</v>
      </c>
      <c r="K891" s="4">
        <v>776.73170000000005</v>
      </c>
      <c r="L891" s="4" t="str">
        <f>HYPERLINK("http://ms.phosphosite.org:5080/cgi-bin/plot-msms.cgi?MassType=1&amp;NumAxis=1&amp;Mod1=147&amp;Mod9=184&amp;Pep=MGPLSQASRYIGPQNFYQVK&amp;Dta=/var/www/html/dta/yong/23616.17992.3.dta&amp;Global_Mod=CS57.0215", "17992")</f>
        <v>17992</v>
      </c>
      <c r="M891" s="4" t="str">
        <f>HYPERLINK("http://ms.phosphosite.org:5080/cgi-bin/plot-msms.cgi?MassType=1&amp;NumAxis=1&amp;Mod1=147&amp;Mod9=184&amp;Pep=MGPLSQASRYIGPQNFYQVK&amp;Dta=/var/www/html/dta/yong/23617.18021.3.dta&amp;Global_Mod=CS57.0215", "18021")</f>
        <v>18021</v>
      </c>
      <c r="N891" s="5">
        <v>83.26</v>
      </c>
      <c r="O891" s="5">
        <v>82.57</v>
      </c>
      <c r="P891" s="5">
        <v>4.7949999999999999</v>
      </c>
      <c r="Q891" s="5">
        <v>4.5949999999999998</v>
      </c>
      <c r="R891" s="5">
        <v>1.0193000000000001</v>
      </c>
      <c r="S891" s="5">
        <v>0.67030000000000001</v>
      </c>
      <c r="T891" s="5">
        <v>0.3281</v>
      </c>
      <c r="U891" s="5">
        <v>0.24759999999999999</v>
      </c>
      <c r="V891" s="4">
        <v>1</v>
      </c>
      <c r="W891" s="4">
        <v>1</v>
      </c>
      <c r="X891" s="5">
        <v>3.01</v>
      </c>
      <c r="Y891" s="5">
        <v>2.62</v>
      </c>
      <c r="Z891" s="6">
        <v>1000</v>
      </c>
      <c r="AA891" s="6">
        <v>1000</v>
      </c>
      <c r="AB891" s="4" t="s">
        <v>13</v>
      </c>
    </row>
    <row r="892" spans="1:28">
      <c r="A892" s="3" t="s">
        <v>933</v>
      </c>
      <c r="B892" s="3" t="s">
        <v>1687</v>
      </c>
      <c r="C892" s="3" t="s">
        <v>1688</v>
      </c>
      <c r="D892" s="4">
        <v>1877</v>
      </c>
      <c r="E892" s="3" t="s">
        <v>934</v>
      </c>
      <c r="F892" s="7" t="s">
        <v>1425</v>
      </c>
      <c r="G892" s="4">
        <v>229.3</v>
      </c>
      <c r="H892" s="3" t="s">
        <v>935</v>
      </c>
      <c r="I892" s="3" t="s">
        <v>939</v>
      </c>
      <c r="J892" s="4">
        <v>3</v>
      </c>
      <c r="K892" s="4">
        <v>514.28049999999996</v>
      </c>
      <c r="L892" s="4"/>
      <c r="M892" s="4" t="str">
        <f>HYPERLINK("http://ms.phosphosite.org:5080/cgi-bin/plot-msms.cgi?MassType=1&amp;NumAxis=1&amp;Mod1=184&amp;Pep=RYIGPQNFYQVK&amp;Dta=/var/www/html/dta/yong/23617.12575.3.dta&amp;Global_Mod=CS57.0215", "12575")</f>
        <v>12575</v>
      </c>
      <c r="N892" s="5"/>
      <c r="O892" s="5">
        <v>59.51</v>
      </c>
      <c r="P892" s="5"/>
      <c r="Q892" s="5">
        <v>2.62</v>
      </c>
      <c r="R892" s="5"/>
      <c r="S892" s="5">
        <v>-8.0999999999999996E-3</v>
      </c>
      <c r="T892" s="5"/>
      <c r="U892" s="5">
        <v>0.2429</v>
      </c>
      <c r="V892" s="4"/>
      <c r="W892" s="4">
        <v>31</v>
      </c>
      <c r="X892" s="5"/>
      <c r="Y892" s="5">
        <v>2.0499999999999998</v>
      </c>
      <c r="Z892" s="6"/>
      <c r="AA892" s="6">
        <v>1000</v>
      </c>
      <c r="AB892" s="4" t="s">
        <v>13</v>
      </c>
    </row>
    <row r="893" spans="1:28">
      <c r="A893" s="3" t="s">
        <v>933</v>
      </c>
      <c r="B893" s="3" t="s">
        <v>1687</v>
      </c>
      <c r="C893" s="3" t="s">
        <v>1688</v>
      </c>
      <c r="D893" s="4">
        <v>1877</v>
      </c>
      <c r="E893" s="3" t="s">
        <v>934</v>
      </c>
      <c r="F893" s="7" t="s">
        <v>1425</v>
      </c>
      <c r="G893" s="4">
        <v>229.3</v>
      </c>
      <c r="H893" s="3" t="s">
        <v>935</v>
      </c>
      <c r="I893" s="3" t="s">
        <v>938</v>
      </c>
      <c r="J893" s="4">
        <v>3</v>
      </c>
      <c r="K893" s="4">
        <v>609.65650000000005</v>
      </c>
      <c r="L893" s="4"/>
      <c r="M893" s="4" t="str">
        <f>HYPERLINK("http://ms.phosphosite.org:5080/cgi-bin/plot-msms.cgi?MassType=1&amp;NumAxis=1&amp;Mod4=184&amp;Pep=QASRYIGPQNFYQVK&amp;Dta=/var/www/html/dta/yong/23617.13299.3.dta&amp;Global_Mod=CS57.0215", "13299")</f>
        <v>13299</v>
      </c>
      <c r="N893" s="5"/>
      <c r="O893" s="5">
        <v>62.54</v>
      </c>
      <c r="P893" s="5"/>
      <c r="Q893" s="5">
        <v>2.3809999999999998</v>
      </c>
      <c r="R893" s="5"/>
      <c r="S893" s="5">
        <v>1.6017999999999999</v>
      </c>
      <c r="T893" s="5"/>
      <c r="U893" s="5">
        <v>0.1028</v>
      </c>
      <c r="V893" s="4"/>
      <c r="W893" s="4">
        <v>25</v>
      </c>
      <c r="X893" s="5"/>
      <c r="Y893" s="5">
        <v>1.1200000000000001</v>
      </c>
      <c r="Z893" s="6"/>
      <c r="AA893" s="6">
        <v>1000</v>
      </c>
      <c r="AB893" s="4" t="s">
        <v>13</v>
      </c>
    </row>
    <row r="894" spans="1:28">
      <c r="A894" s="3" t="s">
        <v>933</v>
      </c>
      <c r="B894" s="3" t="s">
        <v>1687</v>
      </c>
      <c r="C894" s="3" t="s">
        <v>1688</v>
      </c>
      <c r="D894" s="4">
        <v>1877</v>
      </c>
      <c r="E894" s="3" t="s">
        <v>934</v>
      </c>
      <c r="F894" s="7" t="s">
        <v>1425</v>
      </c>
      <c r="G894" s="4">
        <v>229.3</v>
      </c>
      <c r="H894" s="3" t="s">
        <v>935</v>
      </c>
      <c r="I894" s="3" t="s">
        <v>940</v>
      </c>
      <c r="J894" s="4">
        <v>3</v>
      </c>
      <c r="K894" s="4">
        <v>638.6671</v>
      </c>
      <c r="L894" s="4"/>
      <c r="M894" s="4" t="str">
        <f>HYPERLINK("http://ms.phosphosite.org:5080/cgi-bin/plot-msms.cgi?MassType=1&amp;NumAxis=1&amp;Mod5=184&amp;Pep=SQASRYIGPQNFYQVK&amp;Dta=/var/www/html/dta/yong/23617.13647.3.dta&amp;Global_Mod=CS57.0215", "13647")</f>
        <v>13647</v>
      </c>
      <c r="N894" s="5"/>
      <c r="O894" s="5">
        <v>64.069999999999993</v>
      </c>
      <c r="P894" s="5"/>
      <c r="Q894" s="5">
        <v>2.8090000000000002</v>
      </c>
      <c r="R894" s="5"/>
      <c r="S894" s="5">
        <v>0.79179999999999995</v>
      </c>
      <c r="T894" s="5"/>
      <c r="U894" s="5">
        <v>0.21410000000000001</v>
      </c>
      <c r="V894" s="4"/>
      <c r="W894" s="4">
        <v>2</v>
      </c>
      <c r="X894" s="5"/>
      <c r="Y894" s="5">
        <v>1.92</v>
      </c>
      <c r="Z894" s="6"/>
      <c r="AA894" s="6">
        <v>1000</v>
      </c>
      <c r="AB894" s="4" t="s">
        <v>13</v>
      </c>
    </row>
    <row r="895" spans="1:28">
      <c r="A895" s="3" t="s">
        <v>933</v>
      </c>
      <c r="B895" s="3" t="s">
        <v>1687</v>
      </c>
      <c r="C895" s="3" t="s">
        <v>1688</v>
      </c>
      <c r="D895" s="4">
        <v>1877</v>
      </c>
      <c r="E895" s="3" t="s">
        <v>934</v>
      </c>
      <c r="F895" s="7" t="s">
        <v>1425</v>
      </c>
      <c r="G895" s="4">
        <v>229.3</v>
      </c>
      <c r="H895" s="3" t="s">
        <v>935</v>
      </c>
      <c r="I895" s="3" t="s">
        <v>936</v>
      </c>
      <c r="J895" s="4">
        <v>3</v>
      </c>
      <c r="K895" s="4">
        <v>776.73170000000005</v>
      </c>
      <c r="L895" s="4"/>
      <c r="M895" s="4" t="str">
        <f>HYPERLINK("http://ms.phosphosite.org:5080/cgi-bin/plot-msms.cgi?MassType=1&amp;NumAxis=1&amp;Mod1=147&amp;Mod9=184&amp;Pep=MGPLSQASRYIGPQNFYQVK&amp;Dta=/var/www/html/dta/yong/23617.18329.3.dta&amp;Global_Mod=CS57.0215", "18329")</f>
        <v>18329</v>
      </c>
      <c r="N895" s="5"/>
      <c r="O895" s="5">
        <v>83.91</v>
      </c>
      <c r="P895" s="5"/>
      <c r="Q895" s="5">
        <v>3.6219999999999999</v>
      </c>
      <c r="R895" s="5"/>
      <c r="S895" s="5">
        <v>0.88900000000000001</v>
      </c>
      <c r="T895" s="5"/>
      <c r="U895" s="5">
        <v>0.24310000000000001</v>
      </c>
      <c r="V895" s="4"/>
      <c r="W895" s="4">
        <v>1</v>
      </c>
      <c r="X895" s="5"/>
      <c r="Y895" s="5">
        <v>2.2799999999999998</v>
      </c>
      <c r="Z895" s="6"/>
      <c r="AA895" s="6">
        <v>1000</v>
      </c>
      <c r="AB895" s="4" t="s">
        <v>13</v>
      </c>
    </row>
    <row r="896" spans="1:28">
      <c r="A896" s="3" t="s">
        <v>933</v>
      </c>
      <c r="B896" s="3" t="s">
        <v>1687</v>
      </c>
      <c r="C896" s="3" t="s">
        <v>1688</v>
      </c>
      <c r="D896" s="4">
        <v>1877</v>
      </c>
      <c r="E896" s="3" t="s">
        <v>934</v>
      </c>
      <c r="F896" s="7" t="s">
        <v>1425</v>
      </c>
      <c r="G896" s="4">
        <v>229.3</v>
      </c>
      <c r="H896" s="3" t="s">
        <v>935</v>
      </c>
      <c r="I896" s="3" t="s">
        <v>937</v>
      </c>
      <c r="J896" s="4">
        <v>3</v>
      </c>
      <c r="K896" s="4">
        <v>771.40009999999995</v>
      </c>
      <c r="L896" s="4"/>
      <c r="M896" s="4" t="str">
        <f>HYPERLINK("http://ms.phosphosite.org:5080/cgi-bin/plot-msms.cgi?MassType=1&amp;NumAxis=1&amp;Mod9=184&amp;Pep=MGPLSQASRYIGPQNFYQVK&amp;Dta=/var/www/html/dta/yong/23617.19380.3.dta&amp;Global_Mod=CS57.0215", "19380")</f>
        <v>19380</v>
      </c>
      <c r="N896" s="5"/>
      <c r="O896" s="5">
        <v>88.58</v>
      </c>
      <c r="P896" s="5"/>
      <c r="Q896" s="5">
        <v>3.673</v>
      </c>
      <c r="R896" s="5"/>
      <c r="S896" s="5">
        <v>1.3223</v>
      </c>
      <c r="T896" s="5"/>
      <c r="U896" s="5">
        <v>0.14349999999999999</v>
      </c>
      <c r="V896" s="4"/>
      <c r="W896" s="4">
        <v>1</v>
      </c>
      <c r="X896" s="5"/>
      <c r="Y896" s="5">
        <v>1.72</v>
      </c>
      <c r="Z896" s="6"/>
      <c r="AA896" s="6">
        <v>1000</v>
      </c>
      <c r="AB896" s="4" t="s">
        <v>13</v>
      </c>
    </row>
    <row r="897" spans="1:28">
      <c r="A897" s="3" t="s">
        <v>933</v>
      </c>
      <c r="B897" s="3" t="s">
        <v>1689</v>
      </c>
      <c r="C897" s="3" t="s">
        <v>1690</v>
      </c>
      <c r="D897" s="4">
        <v>636</v>
      </c>
      <c r="E897" s="3" t="s">
        <v>942</v>
      </c>
      <c r="F897" s="7" t="s">
        <v>1426</v>
      </c>
      <c r="G897" s="4">
        <v>62.5</v>
      </c>
      <c r="H897" s="3" t="s">
        <v>943</v>
      </c>
      <c r="I897" s="3" t="s">
        <v>944</v>
      </c>
      <c r="J897" s="4">
        <v>2</v>
      </c>
      <c r="K897" s="4">
        <v>870.96759999999995</v>
      </c>
      <c r="L897" s="4" t="str">
        <f>HYPERLINK("http://ms.phosphosite.org:5080/cgi-bin/plot-msms.cgi?MassType=1&amp;NumAxis=1&amp;Mod6=184&amp;Pep=ALYGQRLTTASALGYQ&amp;Dta=/var/www/html/dta/yong/23616.15309.2.dta&amp;Global_Mod=CS57.0215", "15309")</f>
        <v>15309</v>
      </c>
      <c r="M897" s="4" t="str">
        <f>HYPERLINK("http://ms.phosphosite.org:5080/cgi-bin/plot-msms.cgi?MassType=1&amp;NumAxis=1&amp;Mod6=184&amp;Pep=ALYGQRLTTASALGYQ&amp;Dta=/var/www/html/dta/yong/23617.15454.2.dta&amp;Global_Mod=CS57.0215", "15454")</f>
        <v>15454</v>
      </c>
      <c r="N897" s="5">
        <v>72.05</v>
      </c>
      <c r="O897" s="5">
        <v>71.87</v>
      </c>
      <c r="P897" s="5">
        <v>3.9409999999999998</v>
      </c>
      <c r="Q897" s="5">
        <v>4.2149999999999999</v>
      </c>
      <c r="R897" s="5">
        <v>0.86470000000000002</v>
      </c>
      <c r="S897" s="5">
        <v>0.59589999999999999</v>
      </c>
      <c r="T897" s="5">
        <v>0.34260000000000002</v>
      </c>
      <c r="U897" s="5">
        <v>0.37019999999999997</v>
      </c>
      <c r="V897" s="4">
        <v>1</v>
      </c>
      <c r="W897" s="4">
        <v>1</v>
      </c>
      <c r="X897" s="5">
        <v>2.78</v>
      </c>
      <c r="Y897" s="5">
        <v>3.08</v>
      </c>
      <c r="Z897" s="6">
        <v>1000</v>
      </c>
      <c r="AA897" s="6">
        <v>1000</v>
      </c>
      <c r="AB897" s="4" t="s">
        <v>13</v>
      </c>
    </row>
    <row r="898" spans="1:28" s="12" customFormat="1">
      <c r="A898" s="9" t="s">
        <v>945</v>
      </c>
      <c r="B898" s="9" t="s">
        <v>946</v>
      </c>
      <c r="C898" s="9" t="s">
        <v>947</v>
      </c>
      <c r="D898" s="7">
        <v>1103</v>
      </c>
      <c r="E898" s="9" t="s">
        <v>948</v>
      </c>
      <c r="F898" s="7" t="s">
        <v>1495</v>
      </c>
      <c r="G898" s="7">
        <v>118.6</v>
      </c>
      <c r="H898" s="9" t="s">
        <v>949</v>
      </c>
      <c r="I898" s="9" t="s">
        <v>950</v>
      </c>
      <c r="J898" s="7">
        <v>2</v>
      </c>
      <c r="K898" s="7">
        <v>699.8329</v>
      </c>
      <c r="L898" s="7" t="str">
        <f>HYPERLINK("http://ms.phosphosite.org:5080/cgi-bin/plot-msms.cgi?MassType=1&amp;NumAxis=1&amp;Mod5=147&amp;Mod8=184&amp;Mod10=147&amp;Pep=FFLYMAPRYM&amp;Dta=/var/www/html/dta/yong/23616.18211.2.dta&amp;Global_Mod=CS57.0215", "18211")</f>
        <v>18211</v>
      </c>
      <c r="M898" s="7" t="str">
        <f>HYPERLINK("http://ms.phosphosite.org:5080/cgi-bin/plot-msms.cgi?MassType=1&amp;NumAxis=1&amp;Mod5=147&amp;Mod8=184&amp;Mod10=147&amp;Pep=FFLYMAPRYM&amp;Dta=/var/www/html/dta/yong/23617.18385.2.dta&amp;Global_Mod=CS57.0215", "18385")</f>
        <v>18385</v>
      </c>
      <c r="N898" s="10">
        <v>84.21</v>
      </c>
      <c r="O898" s="10">
        <v>84.15</v>
      </c>
      <c r="P898" s="10">
        <v>2.9159999999999999</v>
      </c>
      <c r="Q898" s="10">
        <v>2.61</v>
      </c>
      <c r="R898" s="10">
        <v>0.99660000000000004</v>
      </c>
      <c r="S898" s="10">
        <v>0.91369999999999996</v>
      </c>
      <c r="T898" s="10">
        <v>0.34660000000000002</v>
      </c>
      <c r="U898" s="10">
        <v>0.25059999999999999</v>
      </c>
      <c r="V898" s="7">
        <v>1</v>
      </c>
      <c r="W898" s="7">
        <v>1</v>
      </c>
      <c r="X898" s="10">
        <v>2.56</v>
      </c>
      <c r="Y898" s="10">
        <v>1.94</v>
      </c>
      <c r="Z898" s="11">
        <v>1000</v>
      </c>
      <c r="AA898" s="11">
        <v>1000</v>
      </c>
      <c r="AB898" s="7" t="s">
        <v>13</v>
      </c>
    </row>
    <row r="899" spans="1:28" s="12" customFormat="1">
      <c r="A899" s="9" t="s">
        <v>945</v>
      </c>
      <c r="B899" s="9" t="s">
        <v>1691</v>
      </c>
      <c r="C899" s="9" t="s">
        <v>1692</v>
      </c>
      <c r="D899" s="7">
        <v>266</v>
      </c>
      <c r="E899" s="9" t="s">
        <v>951</v>
      </c>
      <c r="F899" s="7" t="s">
        <v>1427</v>
      </c>
      <c r="G899" s="7">
        <v>192.1</v>
      </c>
      <c r="H899" s="9" t="s">
        <v>952</v>
      </c>
      <c r="I899" s="9" t="s">
        <v>953</v>
      </c>
      <c r="J899" s="7">
        <v>3</v>
      </c>
      <c r="K899" s="7">
        <v>715.721</v>
      </c>
      <c r="L899" s="7" t="str">
        <f>HYPERLINK("http://ms.phosphosite.org:5080/cgi-bin/plot-msms.cgi?MassType=1&amp;NumAxis=1&amp;Mod1=184&amp;Pep=RLSTPSASPAIPPLVHCADK&amp;Dta=/var/www/html/dta/yong/23616.12357.3.dta&amp;Global_Mod=CS57.0215", "12357")</f>
        <v>12357</v>
      </c>
      <c r="M899" s="7" t="str">
        <f>HYPERLINK("http://ms.phosphosite.org:5080/cgi-bin/plot-msms.cgi?MassType=1&amp;NumAxis=1&amp;Mod1=184&amp;Pep=RLSTPSASPAIPPLVHCADK&amp;Dta=/var/www/html/dta/yong/23617.12461.3.dta&amp;Global_Mod=CS57.0215", "12461")</f>
        <v>12461</v>
      </c>
      <c r="N899" s="10">
        <v>59.2</v>
      </c>
      <c r="O899" s="10">
        <v>59.07</v>
      </c>
      <c r="P899" s="10">
        <v>3.1640000000000001</v>
      </c>
      <c r="Q899" s="10">
        <v>2.9460000000000002</v>
      </c>
      <c r="R899" s="10">
        <v>0.56140000000000001</v>
      </c>
      <c r="S899" s="10">
        <v>-0.2155</v>
      </c>
      <c r="T899" s="10">
        <v>0.14760000000000001</v>
      </c>
      <c r="U899" s="10">
        <v>0.1202</v>
      </c>
      <c r="V899" s="7">
        <v>5</v>
      </c>
      <c r="W899" s="7">
        <v>1</v>
      </c>
      <c r="X899" s="10">
        <v>1.44</v>
      </c>
      <c r="Y899" s="10">
        <v>1.22</v>
      </c>
      <c r="Z899" s="11">
        <v>1000</v>
      </c>
      <c r="AA899" s="11">
        <v>1000</v>
      </c>
      <c r="AB899" s="7" t="s">
        <v>13</v>
      </c>
    </row>
    <row r="900" spans="1:28" s="12" customFormat="1">
      <c r="A900" s="3" t="s">
        <v>945</v>
      </c>
      <c r="B900" s="3" t="s">
        <v>954</v>
      </c>
      <c r="C900" s="3" t="s">
        <v>954</v>
      </c>
      <c r="D900" s="4">
        <v>161</v>
      </c>
      <c r="E900" s="3" t="s">
        <v>955</v>
      </c>
      <c r="F900" s="7" t="s">
        <v>1428</v>
      </c>
      <c r="G900" s="4">
        <v>73.3</v>
      </c>
      <c r="H900" s="3" t="s">
        <v>956</v>
      </c>
      <c r="I900" s="3" t="s">
        <v>957</v>
      </c>
      <c r="J900" s="4">
        <v>3</v>
      </c>
      <c r="K900" s="4">
        <v>467.27710000000002</v>
      </c>
      <c r="L900" s="4" t="str">
        <f>HYPERLINK("http://ms.phosphosite.org:5080/cgi-bin/plot-msms.cgi?MassType=1&amp;NumAxis=1&amp;Mod5=184&amp;Pep=GQLFRLPSALNR&amp;Dta=/var/www/html/dta/yong/23616.16471.3.dta&amp;Global_Mod=CS57.0215", "16471")</f>
        <v>16471</v>
      </c>
      <c r="M900" s="4"/>
      <c r="N900" s="5">
        <v>76.83</v>
      </c>
      <c r="O900" s="5"/>
      <c r="P900" s="5">
        <v>2.8210000000000002</v>
      </c>
      <c r="Q900" s="5"/>
      <c r="R900" s="5">
        <v>0.36919999999999997</v>
      </c>
      <c r="S900" s="5"/>
      <c r="T900" s="5">
        <v>0.11890000000000001</v>
      </c>
      <c r="U900" s="5"/>
      <c r="V900" s="4">
        <v>95</v>
      </c>
      <c r="W900" s="4"/>
      <c r="X900" s="5">
        <v>1.22</v>
      </c>
      <c r="Y900" s="5"/>
      <c r="Z900" s="6">
        <v>1000</v>
      </c>
      <c r="AA900" s="6"/>
      <c r="AB900" s="4" t="s">
        <v>13</v>
      </c>
    </row>
    <row r="901" spans="1:28" s="12" customFormat="1">
      <c r="A901" s="9" t="s">
        <v>945</v>
      </c>
      <c r="B901" s="9" t="s">
        <v>958</v>
      </c>
      <c r="C901" s="9" t="s">
        <v>958</v>
      </c>
      <c r="D901" s="7">
        <v>22</v>
      </c>
      <c r="E901" s="9" t="s">
        <v>959</v>
      </c>
      <c r="F901" s="7" t="s">
        <v>1429</v>
      </c>
      <c r="G901" s="7">
        <v>48.9</v>
      </c>
      <c r="H901" s="9" t="s">
        <v>960</v>
      </c>
      <c r="I901" s="9" t="s">
        <v>963</v>
      </c>
      <c r="J901" s="7">
        <v>3</v>
      </c>
      <c r="K901" s="7">
        <v>678.02419999999995</v>
      </c>
      <c r="L901" s="7" t="str">
        <f>HYPERLINK("http://ms.phosphosite.org:5080/cgi-bin/plot-msms.cgi?MassType=1&amp;NumAxis=1&amp;Mod6=184&amp;Mod10=147&amp;Pep=ICEGIRPQIMNGPLHPR&amp;Dta=/var/www/html/dta/yong/23616.10070.3.dta&amp;Global_Mod=CS57.0215", "10070")</f>
        <v>10070</v>
      </c>
      <c r="M901" s="7" t="str">
        <f>HYPERLINK("http://ms.phosphosite.org:5080/cgi-bin/plot-msms.cgi?MassType=1&amp;NumAxis=1&amp;Mod6=184&amp;Mod10=147&amp;Pep=ICEGIRPQIMNGPLHPR&amp;Dta=/var/www/html/dta/yong/23617.10161.3.dta&amp;Global_Mod=CS57.0215", "10161")</f>
        <v>10161</v>
      </c>
      <c r="N901" s="10">
        <v>49.43</v>
      </c>
      <c r="O901" s="10">
        <v>49.31</v>
      </c>
      <c r="P901" s="10">
        <v>4.3410000000000002</v>
      </c>
      <c r="Q901" s="10">
        <v>4.2169999999999996</v>
      </c>
      <c r="R901" s="10">
        <v>0.34100000000000003</v>
      </c>
      <c r="S901" s="10">
        <v>0.30170000000000002</v>
      </c>
      <c r="T901" s="10">
        <v>0.28510000000000002</v>
      </c>
      <c r="U901" s="10">
        <v>0.29470000000000002</v>
      </c>
      <c r="V901" s="7">
        <v>1</v>
      </c>
      <c r="W901" s="7">
        <v>1</v>
      </c>
      <c r="X901" s="10">
        <v>2.87</v>
      </c>
      <c r="Y901" s="10">
        <v>2.94</v>
      </c>
      <c r="Z901" s="11">
        <v>1000</v>
      </c>
      <c r="AA901" s="11">
        <v>1000</v>
      </c>
      <c r="AB901" s="7" t="s">
        <v>13</v>
      </c>
    </row>
    <row r="902" spans="1:28" s="12" customFormat="1">
      <c r="A902" s="9" t="s">
        <v>945</v>
      </c>
      <c r="B902" s="9" t="s">
        <v>958</v>
      </c>
      <c r="C902" s="9" t="s">
        <v>958</v>
      </c>
      <c r="D902" s="7">
        <v>22</v>
      </c>
      <c r="E902" s="9" t="s">
        <v>959</v>
      </c>
      <c r="F902" s="7" t="s">
        <v>1429</v>
      </c>
      <c r="G902" s="7">
        <v>48.9</v>
      </c>
      <c r="H902" s="9" t="s">
        <v>960</v>
      </c>
      <c r="I902" s="9" t="s">
        <v>963</v>
      </c>
      <c r="J902" s="7">
        <v>3</v>
      </c>
      <c r="K902" s="7">
        <v>678.02419999999995</v>
      </c>
      <c r="L902" s="7" t="str">
        <f>HYPERLINK("http://ms.phosphosite.org:5080/cgi-bin/plot-msms.cgi?MassType=1&amp;NumAxis=1&amp;Mod6=184&amp;Mod10=147&amp;Pep=ICEGIRPQIMNGPLHPR&amp;Dta=/var/www/html/dta/yong/23616.10114.3.dta&amp;Global_Mod=CS57.0215", "10114")</f>
        <v>10114</v>
      </c>
      <c r="M902" s="7" t="str">
        <f>HYPERLINK("http://ms.phosphosite.org:5080/cgi-bin/plot-msms.cgi?MassType=1&amp;NumAxis=1&amp;Mod6=184&amp;Mod10=147&amp;Pep=ICEGIRPQIMNGPLHPR&amp;Dta=/var/www/html/dta/yong/23617.10194.3.dta&amp;Global_Mod=CS57.0215", "10194")</f>
        <v>10194</v>
      </c>
      <c r="N902" s="10">
        <v>49.6</v>
      </c>
      <c r="O902" s="10">
        <v>49.42</v>
      </c>
      <c r="P902" s="10">
        <v>4.1639999999999997</v>
      </c>
      <c r="Q902" s="10">
        <v>4.2329999999999997</v>
      </c>
      <c r="R902" s="10">
        <v>0.2581</v>
      </c>
      <c r="S902" s="10">
        <v>0.27289999999999998</v>
      </c>
      <c r="T902" s="10">
        <v>0.36070000000000002</v>
      </c>
      <c r="U902" s="10">
        <v>0.36370000000000002</v>
      </c>
      <c r="V902" s="7">
        <v>1</v>
      </c>
      <c r="W902" s="7">
        <v>1</v>
      </c>
      <c r="X902" s="10">
        <v>3.24</v>
      </c>
      <c r="Y902" s="10">
        <v>3.33</v>
      </c>
      <c r="Z902" s="11">
        <v>1000</v>
      </c>
      <c r="AA902" s="11">
        <v>1000</v>
      </c>
      <c r="AB902" s="7" t="s">
        <v>13</v>
      </c>
    </row>
    <row r="903" spans="1:28" s="12" customFormat="1">
      <c r="A903" s="9" t="s">
        <v>945</v>
      </c>
      <c r="B903" s="9" t="s">
        <v>958</v>
      </c>
      <c r="C903" s="9" t="s">
        <v>958</v>
      </c>
      <c r="D903" s="7">
        <v>22</v>
      </c>
      <c r="E903" s="9" t="s">
        <v>959</v>
      </c>
      <c r="F903" s="7" t="s">
        <v>1429</v>
      </c>
      <c r="G903" s="7">
        <v>48.9</v>
      </c>
      <c r="H903" s="9" t="s">
        <v>960</v>
      </c>
      <c r="I903" s="9" t="s">
        <v>964</v>
      </c>
      <c r="J903" s="7">
        <v>5</v>
      </c>
      <c r="K903" s="7">
        <v>594.12940000000003</v>
      </c>
      <c r="L903" s="7" t="str">
        <f>HYPERLINK("http://ms.phosphosite.org:5080/cgi-bin/plot-msms.cgi?MassType=1&amp;NumAxis=1&amp;Mod6=184&amp;Mod10=147&amp;Pep=ICEGIRPQIMNGPLHPRPLVALLDGR&amp;Dta=/var/www/html/dta/yong/23616.18682.5.dta&amp;Global_Mod=CS57.0215", "18682")</f>
        <v>18682</v>
      </c>
      <c r="M903" s="7"/>
      <c r="N903" s="10">
        <v>86.3</v>
      </c>
      <c r="O903" s="10"/>
      <c r="P903" s="10">
        <v>2.2069999999999999</v>
      </c>
      <c r="Q903" s="10"/>
      <c r="R903" s="10">
        <v>1.1727000000000001</v>
      </c>
      <c r="S903" s="10"/>
      <c r="T903" s="10">
        <v>0.1026</v>
      </c>
      <c r="U903" s="10"/>
      <c r="V903" s="7">
        <v>45</v>
      </c>
      <c r="W903" s="7"/>
      <c r="X903" s="10">
        <v>1.1200000000000001</v>
      </c>
      <c r="Y903" s="10"/>
      <c r="Z903" s="11">
        <v>6</v>
      </c>
      <c r="AA903" s="11"/>
      <c r="AB903" s="7" t="s">
        <v>13</v>
      </c>
    </row>
    <row r="904" spans="1:28" s="12" customFormat="1">
      <c r="A904" s="9" t="s">
        <v>945</v>
      </c>
      <c r="B904" s="9" t="s">
        <v>958</v>
      </c>
      <c r="C904" s="9" t="s">
        <v>958</v>
      </c>
      <c r="D904" s="7">
        <v>22</v>
      </c>
      <c r="E904" s="9" t="s">
        <v>959</v>
      </c>
      <c r="F904" s="7" t="s">
        <v>1429</v>
      </c>
      <c r="G904" s="7">
        <v>48.9</v>
      </c>
      <c r="H904" s="9" t="s">
        <v>960</v>
      </c>
      <c r="I904" s="9" t="s">
        <v>961</v>
      </c>
      <c r="J904" s="7">
        <v>2</v>
      </c>
      <c r="K904" s="7">
        <v>630.82560000000001</v>
      </c>
      <c r="L904" s="7" t="str">
        <f>HYPERLINK("http://ms.phosphosite.org:5080/cgi-bin/plot-msms.cgi?MassType=1&amp;NumAxis=1&amp;Mod6=184&amp;Mod10=147&amp;Pep=ICEGIRPQIM&amp;Dta=/var/www/html/dta/yong/23616.9841.2.dta&amp;Global_Mod=CS57.0215", "9841")</f>
        <v>9841</v>
      </c>
      <c r="M904" s="7" t="str">
        <f>HYPERLINK("http://ms.phosphosite.org:5080/cgi-bin/plot-msms.cgi?MassType=1&amp;NumAxis=1&amp;Mod6=184&amp;Mod10=147&amp;Pep=ICEGIRPQIM&amp;Dta=/var/www/html/dta/yong/23617.9959.2.dta&amp;Global_Mod=CS57.0215", "9959")</f>
        <v>9959</v>
      </c>
      <c r="N904" s="10">
        <v>48.48</v>
      </c>
      <c r="O904" s="10">
        <v>48.47</v>
      </c>
      <c r="P904" s="10">
        <v>3.1789999999999998</v>
      </c>
      <c r="Q904" s="10">
        <v>3.0150000000000001</v>
      </c>
      <c r="R904" s="10">
        <v>1.0704</v>
      </c>
      <c r="S904" s="10">
        <v>0.59499999999999997</v>
      </c>
      <c r="T904" s="10">
        <v>0.24410000000000001</v>
      </c>
      <c r="U904" s="10">
        <v>0.31240000000000001</v>
      </c>
      <c r="V904" s="7">
        <v>1</v>
      </c>
      <c r="W904" s="7">
        <v>1</v>
      </c>
      <c r="X904" s="10">
        <v>2.33</v>
      </c>
      <c r="Y904" s="10">
        <v>2.72</v>
      </c>
      <c r="Z904" s="11">
        <v>1000</v>
      </c>
      <c r="AA904" s="11">
        <v>1000</v>
      </c>
      <c r="AB904" s="7" t="s">
        <v>13</v>
      </c>
    </row>
    <row r="905" spans="1:28" s="12" customFormat="1">
      <c r="A905" s="9" t="s">
        <v>945</v>
      </c>
      <c r="B905" s="9" t="s">
        <v>958</v>
      </c>
      <c r="C905" s="9" t="s">
        <v>958</v>
      </c>
      <c r="D905" s="7">
        <v>22</v>
      </c>
      <c r="E905" s="9" t="s">
        <v>959</v>
      </c>
      <c r="F905" s="7" t="s">
        <v>1429</v>
      </c>
      <c r="G905" s="7">
        <v>48.9</v>
      </c>
      <c r="H905" s="9" t="s">
        <v>960</v>
      </c>
      <c r="I905" s="9" t="s">
        <v>963</v>
      </c>
      <c r="J905" s="7">
        <v>4</v>
      </c>
      <c r="K905" s="7">
        <v>508.76990000000001</v>
      </c>
      <c r="L905" s="7" t="str">
        <f>HYPERLINK("http://ms.phosphosite.org:5080/cgi-bin/plot-msms.cgi?MassType=1&amp;NumAxis=1&amp;Mod6=184&amp;Mod10=147&amp;Pep=ICEGIRPQIMNGPLHPR&amp;Dta=/var/www/html/dta/yong/23616.9889.4.dta&amp;Global_Mod=CS57.0215", "9889")</f>
        <v>9889</v>
      </c>
      <c r="M905" s="7" t="str">
        <f>HYPERLINK("http://ms.phosphosite.org:5080/cgi-bin/plot-msms.cgi?MassType=1&amp;NumAxis=1&amp;Mod6=184&amp;Mod10=147&amp;Pep=ICEGIRPQIMNGPLHPR&amp;Dta=/var/www/html/dta/yong/23617.9986.4.dta&amp;Global_Mod=CS57.0215", "9986")</f>
        <v>9986</v>
      </c>
      <c r="N905" s="10">
        <v>48.69</v>
      </c>
      <c r="O905" s="10">
        <v>48.57</v>
      </c>
      <c r="P905" s="10">
        <v>2.698</v>
      </c>
      <c r="Q905" s="10">
        <v>3.0339999999999998</v>
      </c>
      <c r="R905" s="10">
        <v>0.1704</v>
      </c>
      <c r="S905" s="10">
        <v>6.0199999999999997E-2</v>
      </c>
      <c r="T905" s="10">
        <v>0.12379999999999999</v>
      </c>
      <c r="U905" s="10">
        <v>0.2009</v>
      </c>
      <c r="V905" s="7">
        <v>1</v>
      </c>
      <c r="W905" s="7">
        <v>33</v>
      </c>
      <c r="X905" s="10">
        <v>1.49</v>
      </c>
      <c r="Y905" s="10">
        <v>2.0299999999999998</v>
      </c>
      <c r="Z905" s="11">
        <v>1000</v>
      </c>
      <c r="AA905" s="11">
        <v>1000</v>
      </c>
      <c r="AB905" s="7" t="s">
        <v>13</v>
      </c>
    </row>
    <row r="906" spans="1:28" s="12" customFormat="1">
      <c r="A906" s="9" t="s">
        <v>945</v>
      </c>
      <c r="B906" s="9" t="s">
        <v>958</v>
      </c>
      <c r="C906" s="9" t="s">
        <v>958</v>
      </c>
      <c r="D906" s="7">
        <v>22</v>
      </c>
      <c r="E906" s="9" t="s">
        <v>959</v>
      </c>
      <c r="F906" s="7" t="s">
        <v>1429</v>
      </c>
      <c r="G906" s="7">
        <v>48.9</v>
      </c>
      <c r="H906" s="9" t="s">
        <v>960</v>
      </c>
      <c r="I906" s="9" t="s">
        <v>963</v>
      </c>
      <c r="J906" s="7">
        <v>3</v>
      </c>
      <c r="K906" s="7">
        <v>678.02419999999995</v>
      </c>
      <c r="L906" s="7" t="str">
        <f>HYPERLINK("http://ms.phosphosite.org:5080/cgi-bin/plot-msms.cgi?MassType=1&amp;NumAxis=1&amp;Mod6=184&amp;Mod10=147&amp;Pep=ICEGIRPQIMNGPLHPR&amp;Dta=/var/www/html/dta/yong/23616.9904.3.dta&amp;Global_Mod=CS57.0215", "9904")</f>
        <v>9904</v>
      </c>
      <c r="M906" s="7" t="str">
        <f>HYPERLINK("http://ms.phosphosite.org:5080/cgi-bin/plot-msms.cgi?MassType=1&amp;NumAxis=1&amp;Mod6=184&amp;Mod10=147&amp;Pep=ICEGIRPQIMNGPLHPR&amp;Dta=/var/www/html/dta/yong/23617.10207.3.dta&amp;Global_Mod=CS57.0215", "10207")</f>
        <v>10207</v>
      </c>
      <c r="N906" s="10">
        <v>48.76</v>
      </c>
      <c r="O906" s="10">
        <v>49.47</v>
      </c>
      <c r="P906" s="10">
        <v>5.2649999999999997</v>
      </c>
      <c r="Q906" s="10">
        <v>4.4550000000000001</v>
      </c>
      <c r="R906" s="10">
        <v>0.55310000000000004</v>
      </c>
      <c r="S906" s="10">
        <v>0.58440000000000003</v>
      </c>
      <c r="T906" s="10">
        <v>0.41660000000000003</v>
      </c>
      <c r="U906" s="10">
        <v>0.26</v>
      </c>
      <c r="V906" s="7">
        <v>1</v>
      </c>
      <c r="W906" s="7">
        <v>1</v>
      </c>
      <c r="X906" s="10">
        <v>3.88</v>
      </c>
      <c r="Y906" s="10">
        <v>2.81</v>
      </c>
      <c r="Z906" s="11">
        <v>1000</v>
      </c>
      <c r="AA906" s="11">
        <v>1000</v>
      </c>
      <c r="AB906" s="7" t="s">
        <v>13</v>
      </c>
    </row>
    <row r="907" spans="1:28" s="12" customFormat="1">
      <c r="A907" s="9" t="s">
        <v>945</v>
      </c>
      <c r="B907" s="9" t="s">
        <v>958</v>
      </c>
      <c r="C907" s="9" t="s">
        <v>958</v>
      </c>
      <c r="D907" s="7">
        <v>22</v>
      </c>
      <c r="E907" s="9" t="s">
        <v>959</v>
      </c>
      <c r="F907" s="7" t="s">
        <v>1429</v>
      </c>
      <c r="G907" s="7">
        <v>48.9</v>
      </c>
      <c r="H907" s="9" t="s">
        <v>960</v>
      </c>
      <c r="I907" s="9" t="s">
        <v>963</v>
      </c>
      <c r="J907" s="7">
        <v>3</v>
      </c>
      <c r="K907" s="7">
        <v>678.02419999999995</v>
      </c>
      <c r="L907" s="7"/>
      <c r="M907" s="7" t="str">
        <f>HYPERLINK("http://ms.phosphosite.org:5080/cgi-bin/plot-msms.cgi?MassType=1&amp;NumAxis=1&amp;Mod6=184&amp;Mod10=147&amp;Pep=ICEGIRPQIMNGPLHPR&amp;Dta=/var/www/html/dta/yong/23617.10009.3.dta&amp;Global_Mod=CS57.0215", "10009")</f>
        <v>10009</v>
      </c>
      <c r="N907" s="10"/>
      <c r="O907" s="10">
        <v>48.67</v>
      </c>
      <c r="P907" s="10"/>
      <c r="Q907" s="10">
        <v>4.5110000000000001</v>
      </c>
      <c r="R907" s="10"/>
      <c r="S907" s="10">
        <v>0.42470000000000002</v>
      </c>
      <c r="T907" s="10"/>
      <c r="U907" s="10">
        <v>0.29770000000000002</v>
      </c>
      <c r="V907" s="7"/>
      <c r="W907" s="7">
        <v>1</v>
      </c>
      <c r="X907" s="10"/>
      <c r="Y907" s="10">
        <v>3.04</v>
      </c>
      <c r="Z907" s="11"/>
      <c r="AA907" s="11">
        <v>1000</v>
      </c>
      <c r="AB907" s="7" t="s">
        <v>13</v>
      </c>
    </row>
    <row r="908" spans="1:28" s="12" customFormat="1">
      <c r="A908" s="9" t="s">
        <v>945</v>
      </c>
      <c r="B908" s="9" t="s">
        <v>958</v>
      </c>
      <c r="C908" s="9" t="s">
        <v>958</v>
      </c>
      <c r="D908" s="7">
        <v>22</v>
      </c>
      <c r="E908" s="9" t="s">
        <v>959</v>
      </c>
      <c r="F908" s="7" t="s">
        <v>1429</v>
      </c>
      <c r="G908" s="7">
        <v>48.9</v>
      </c>
      <c r="H908" s="9" t="s">
        <v>960</v>
      </c>
      <c r="I908" s="9" t="s">
        <v>962</v>
      </c>
      <c r="J908" s="7">
        <v>2</v>
      </c>
      <c r="K908" s="7">
        <v>687.84709999999995</v>
      </c>
      <c r="L908" s="7"/>
      <c r="M908" s="7" t="str">
        <f>HYPERLINK("http://ms.phosphosite.org:5080/cgi-bin/plot-msms.cgi?MassType=1&amp;NumAxis=1&amp;Mod6=184&amp;Mod10=147&amp;Pep=ICEGIRPQIMN&amp;Dta=/var/www/html/dta/yong/23617.9189.2.dta&amp;Global_Mod=CS57.0215", "9189")</f>
        <v>9189</v>
      </c>
      <c r="N908" s="10"/>
      <c r="O908" s="10">
        <v>45.25</v>
      </c>
      <c r="P908" s="10"/>
      <c r="Q908" s="10">
        <v>3.3559999999999999</v>
      </c>
      <c r="R908" s="10"/>
      <c r="S908" s="10">
        <v>-1.9800000000000002E-2</v>
      </c>
      <c r="T908" s="10"/>
      <c r="U908" s="10">
        <v>0.36880000000000002</v>
      </c>
      <c r="V908" s="7"/>
      <c r="W908" s="7">
        <v>1</v>
      </c>
      <c r="X908" s="10"/>
      <c r="Y908" s="10">
        <v>3.13</v>
      </c>
      <c r="Z908" s="11"/>
      <c r="AA908" s="11">
        <v>1000</v>
      </c>
      <c r="AB908" s="7" t="s">
        <v>13</v>
      </c>
    </row>
    <row r="909" spans="1:28" s="12" customFormat="1">
      <c r="A909" s="9" t="s">
        <v>945</v>
      </c>
      <c r="B909" s="9" t="s">
        <v>965</v>
      </c>
      <c r="C909" s="9" t="s">
        <v>965</v>
      </c>
      <c r="D909" s="7">
        <v>16</v>
      </c>
      <c r="E909" s="9" t="s">
        <v>966</v>
      </c>
      <c r="F909" s="7" t="s">
        <v>1430</v>
      </c>
      <c r="G909" s="7">
        <v>43</v>
      </c>
      <c r="H909" s="9" t="s">
        <v>967</v>
      </c>
      <c r="I909" s="9" t="s">
        <v>968</v>
      </c>
      <c r="J909" s="7">
        <v>2</v>
      </c>
      <c r="K909" s="7">
        <v>590.30449999999996</v>
      </c>
      <c r="L909" s="7" t="str">
        <f>HYPERLINK("http://ms.phosphosite.org:5080/cgi-bin/plot-msms.cgi?MassType=1&amp;NumAxis=1&amp;Mod4=184&amp;Pep=FGSRGGPGGGFR&amp;Dta=/var/www/html/dta/yong/23616.5564.2.dta&amp;Global_Mod=CS57.0215", "5564")</f>
        <v>5564</v>
      </c>
      <c r="M909" s="7"/>
      <c r="N909" s="10">
        <v>30.55</v>
      </c>
      <c r="O909" s="10"/>
      <c r="P909" s="10">
        <v>2.468</v>
      </c>
      <c r="Q909" s="10"/>
      <c r="R909" s="10">
        <v>1.4120999999999999</v>
      </c>
      <c r="S909" s="10"/>
      <c r="T909" s="10">
        <v>0.15310000000000001</v>
      </c>
      <c r="U909" s="10"/>
      <c r="V909" s="7">
        <v>1</v>
      </c>
      <c r="W909" s="7"/>
      <c r="X909" s="10">
        <v>1.49</v>
      </c>
      <c r="Y909" s="10"/>
      <c r="Z909" s="11">
        <v>1000</v>
      </c>
      <c r="AA909" s="11"/>
      <c r="AB909" s="7" t="s">
        <v>13</v>
      </c>
    </row>
    <row r="910" spans="1:28" s="13" customFormat="1">
      <c r="A910" s="9" t="s">
        <v>945</v>
      </c>
      <c r="B910" s="9" t="s">
        <v>965</v>
      </c>
      <c r="C910" s="9" t="s">
        <v>965</v>
      </c>
      <c r="D910" s="7">
        <v>16</v>
      </c>
      <c r="E910" s="9" t="s">
        <v>966</v>
      </c>
      <c r="F910" s="7" t="s">
        <v>1430</v>
      </c>
      <c r="G910" s="7">
        <v>43</v>
      </c>
      <c r="H910" s="9" t="s">
        <v>967</v>
      </c>
      <c r="I910" s="9" t="s">
        <v>968</v>
      </c>
      <c r="J910" s="7">
        <v>3</v>
      </c>
      <c r="K910" s="7">
        <v>393.87209999999999</v>
      </c>
      <c r="L910" s="7"/>
      <c r="M910" s="7" t="str">
        <f>HYPERLINK("http://ms.phosphosite.org:5080/cgi-bin/plot-msms.cgi?MassType=1&amp;NumAxis=1&amp;Mod4=184&amp;Pep=FGSRGGPGGGFR&amp;Dta=/var/www/html/dta/yong/23617.5670.3.dta&amp;Global_Mod=CS57.0215", "5670")</f>
        <v>5670</v>
      </c>
      <c r="N910" s="10"/>
      <c r="O910" s="10">
        <v>30.72</v>
      </c>
      <c r="P910" s="10"/>
      <c r="Q910" s="10">
        <v>2.0489999999999999</v>
      </c>
      <c r="R910" s="10"/>
      <c r="S910" s="10">
        <v>-9.9699999999999997E-2</v>
      </c>
      <c r="T910" s="10"/>
      <c r="U910" s="10">
        <v>0.17549999999999999</v>
      </c>
      <c r="V910" s="7"/>
      <c r="W910" s="7">
        <v>1</v>
      </c>
      <c r="X910" s="10"/>
      <c r="Y910" s="10">
        <v>1.58</v>
      </c>
      <c r="Z910" s="11"/>
      <c r="AA910" s="11">
        <v>1000</v>
      </c>
      <c r="AB910" s="7" t="s">
        <v>13</v>
      </c>
    </row>
    <row r="911" spans="1:28" s="13" customFormat="1">
      <c r="A911" s="13" t="s">
        <v>945</v>
      </c>
      <c r="B911" s="13" t="s">
        <v>965</v>
      </c>
      <c r="C911" s="13" t="s">
        <v>965</v>
      </c>
      <c r="D911" s="15"/>
      <c r="E911" s="13" t="s">
        <v>966</v>
      </c>
      <c r="F911" s="15" t="s">
        <v>1430</v>
      </c>
      <c r="G911" s="15">
        <v>43</v>
      </c>
      <c r="I911" s="13" t="s">
        <v>972</v>
      </c>
      <c r="J911" s="15">
        <v>2</v>
      </c>
      <c r="K911" s="15">
        <v>481.74579999999997</v>
      </c>
      <c r="L911" s="15" t="str">
        <f>HYPERLINK("http://ms.phosphosite.org:5080/cgi-bin/plot-msms.cgi?MassType=1&amp;NumAxis=1&amp;Mod8=170&amp;Pep=GGPGGGFRPF&amp;Dta=/var/www/html/dta/yong/23616.13281.2.dta&amp;Global_Mod=CS57.0215", "13281")</f>
        <v>13281</v>
      </c>
      <c r="M911" s="15"/>
      <c r="N911" s="16">
        <v>63.18</v>
      </c>
      <c r="O911" s="16"/>
      <c r="P911" s="16">
        <v>2.2080000000000002</v>
      </c>
      <c r="Q911" s="16"/>
      <c r="R911" s="16">
        <v>0.46410000000000001</v>
      </c>
      <c r="S911" s="16"/>
      <c r="T911" s="16">
        <v>0.30480000000000002</v>
      </c>
      <c r="U911" s="16"/>
      <c r="V911" s="15">
        <v>2</v>
      </c>
      <c r="W911" s="15"/>
      <c r="X911" s="16">
        <v>2.52</v>
      </c>
      <c r="Y911" s="16"/>
      <c r="Z911" s="17">
        <v>1000</v>
      </c>
      <c r="AA911" s="17"/>
      <c r="AB911" s="15" t="s">
        <v>13</v>
      </c>
    </row>
    <row r="912" spans="1:28" s="13" customFormat="1">
      <c r="A912" s="13" t="s">
        <v>945</v>
      </c>
      <c r="B912" s="13" t="s">
        <v>965</v>
      </c>
      <c r="C912" s="13" t="s">
        <v>965</v>
      </c>
      <c r="D912" s="15"/>
      <c r="E912" s="13" t="s">
        <v>966</v>
      </c>
      <c r="F912" s="15" t="s">
        <v>1430</v>
      </c>
      <c r="G912" s="15">
        <v>43</v>
      </c>
      <c r="I912" s="13" t="s">
        <v>973</v>
      </c>
      <c r="J912" s="15">
        <v>3</v>
      </c>
      <c r="K912" s="15">
        <v>784.38589999999999</v>
      </c>
      <c r="L912" s="15" t="str">
        <f>HYPERLINK("http://ms.phosphosite.org:5080/cgi-bin/plot-msms.cgi?MassType=1&amp;NumAxis=1&amp;Mod8=170&amp;Pep=GGPGGGFRPFVPHIPFDFYLC&amp;Dta=/var/www/html/dta/yong/23616.29356.3.dta&amp;Global_Mod=CS57.0215", "29356")</f>
        <v>29356</v>
      </c>
      <c r="M912" s="15" t="str">
        <f>HYPERLINK("http://ms.phosphosite.org:5080/cgi-bin/plot-msms.cgi?MassType=1&amp;NumAxis=1&amp;Mod8=170&amp;Pep=GGPGGGFRPFVPHIPFDFYLC&amp;Dta=/var/www/html/dta/yong/23617.29412.3.dta&amp;Global_Mod=CS57.0215", "29412")</f>
        <v>29412</v>
      </c>
      <c r="N912" s="16">
        <v>131.63999999999999</v>
      </c>
      <c r="O912" s="16">
        <v>131.56</v>
      </c>
      <c r="P912" s="16">
        <v>2.69</v>
      </c>
      <c r="Q912" s="16">
        <v>2.2269999999999999</v>
      </c>
      <c r="R912" s="16">
        <v>1.0456000000000001</v>
      </c>
      <c r="S912" s="16">
        <v>1.2829999999999999</v>
      </c>
      <c r="T912" s="16">
        <v>0.27860000000000001</v>
      </c>
      <c r="U912" s="16">
        <v>6.3700000000000007E-2</v>
      </c>
      <c r="V912" s="15">
        <v>5</v>
      </c>
      <c r="W912" s="15">
        <v>24</v>
      </c>
      <c r="X912" s="16">
        <v>2.39</v>
      </c>
      <c r="Y912" s="16">
        <v>1.05</v>
      </c>
      <c r="Z912" s="17">
        <v>1000</v>
      </c>
      <c r="AA912" s="17">
        <v>1000</v>
      </c>
      <c r="AB912" s="15" t="s">
        <v>13</v>
      </c>
    </row>
    <row r="913" spans="1:28" s="13" customFormat="1">
      <c r="A913" s="13" t="s">
        <v>945</v>
      </c>
      <c r="B913" s="13" t="s">
        <v>965</v>
      </c>
      <c r="C913" s="13" t="s">
        <v>965</v>
      </c>
      <c r="D913" s="15"/>
      <c r="E913" s="13" t="s">
        <v>966</v>
      </c>
      <c r="F913" s="15" t="s">
        <v>1430</v>
      </c>
      <c r="G913" s="15">
        <v>43</v>
      </c>
      <c r="I913" s="13" t="s">
        <v>973</v>
      </c>
      <c r="J913" s="15">
        <v>3</v>
      </c>
      <c r="K913" s="15">
        <v>784.38589999999999</v>
      </c>
      <c r="L913" s="15" t="str">
        <f>HYPERLINK("http://ms.phosphosite.org:5080/cgi-bin/plot-msms.cgi?MassType=1&amp;NumAxis=1&amp;Mod8=170&amp;Pep=GGPGGGFRPFVPHIPFDFYLC&amp;Dta=/var/www/html/dta/yong/23616.29362.3.dta&amp;Global_Mod=CS57.0215", "29362")</f>
        <v>29362</v>
      </c>
      <c r="M913" s="15" t="str">
        <f>HYPERLINK("http://ms.phosphosite.org:5080/cgi-bin/plot-msms.cgi?MassType=1&amp;NumAxis=1&amp;Mod8=170&amp;Pep=GGPGGGFRPFVPHIPFDFYLC&amp;Dta=/var/www/html/dta/yong/23617.29426.3.dta&amp;Global_Mod=CS57.0215", "29426")</f>
        <v>29426</v>
      </c>
      <c r="N913" s="16">
        <v>131.66999999999999</v>
      </c>
      <c r="O913" s="16">
        <v>131.62</v>
      </c>
      <c r="P913" s="16">
        <v>2.6080000000000001</v>
      </c>
      <c r="Q913" s="16">
        <v>2.2109999999999999</v>
      </c>
      <c r="R913" s="16">
        <v>1.6931</v>
      </c>
      <c r="S913" s="16">
        <v>1.3030999999999999</v>
      </c>
      <c r="T913" s="16">
        <v>0.28620000000000001</v>
      </c>
      <c r="U913" s="16">
        <v>6.5100000000000005E-2</v>
      </c>
      <c r="V913" s="15">
        <v>2</v>
      </c>
      <c r="W913" s="15">
        <v>3</v>
      </c>
      <c r="X913" s="16">
        <v>2.38</v>
      </c>
      <c r="Y913" s="16">
        <v>1.06</v>
      </c>
      <c r="Z913" s="17">
        <v>1000</v>
      </c>
      <c r="AA913" s="17">
        <v>1000</v>
      </c>
      <c r="AB913" s="15" t="s">
        <v>13</v>
      </c>
    </row>
    <row r="914" spans="1:28" s="13" customFormat="1">
      <c r="A914" s="3" t="s">
        <v>945</v>
      </c>
      <c r="B914" s="3" t="s">
        <v>965</v>
      </c>
      <c r="C914" s="3" t="s">
        <v>965</v>
      </c>
      <c r="D914" s="4">
        <v>24</v>
      </c>
      <c r="E914" s="3" t="s">
        <v>966</v>
      </c>
      <c r="F914" s="7" t="s">
        <v>1430</v>
      </c>
      <c r="G914" s="4">
        <v>43</v>
      </c>
      <c r="H914" s="3" t="s">
        <v>969</v>
      </c>
      <c r="I914" s="3" t="s">
        <v>971</v>
      </c>
      <c r="J914" s="4">
        <v>3</v>
      </c>
      <c r="K914" s="4">
        <v>789.05769999999995</v>
      </c>
      <c r="L914" s="4" t="str">
        <f>HYPERLINK("http://ms.phosphosite.org:5080/cgi-bin/plot-msms.cgi?MassType=1&amp;NumAxis=1&amp;Mod8=184&amp;Pep=GGPGGGFRPFVPHIPFDFYLC&amp;Dta=/var/www/html/dta/yong/23616.29405.3.dta&amp;Global_Mod=CS57.0215", "29405")</f>
        <v>29405</v>
      </c>
      <c r="M914" s="4" t="str">
        <f>HYPERLINK("http://ms.phosphosite.org:5080/cgi-bin/plot-msms.cgi?MassType=1&amp;NumAxis=1&amp;Mod8=184&amp;Pep=GGPGGGFRPFVPHIPFDFYLC&amp;Dta=/var/www/html/dta/yong/23617.29486.3.dta&amp;Global_Mod=CS57.0215", "29486")</f>
        <v>29486</v>
      </c>
      <c r="N914" s="5">
        <v>131.86000000000001</v>
      </c>
      <c r="O914" s="5">
        <v>131.91999999999999</v>
      </c>
      <c r="P914" s="5">
        <v>2.488</v>
      </c>
      <c r="Q914" s="5">
        <v>2.867</v>
      </c>
      <c r="R914" s="5">
        <v>1.3506</v>
      </c>
      <c r="S914" s="5">
        <v>1.4796</v>
      </c>
      <c r="T914" s="5">
        <v>0.14599999999999999</v>
      </c>
      <c r="U914" s="5">
        <v>0.1925</v>
      </c>
      <c r="V914" s="4">
        <v>25</v>
      </c>
      <c r="W914" s="4">
        <v>2</v>
      </c>
      <c r="X914" s="5">
        <v>1.56</v>
      </c>
      <c r="Y914" s="5">
        <v>1.97</v>
      </c>
      <c r="Z914" s="6">
        <v>1000</v>
      </c>
      <c r="AA914" s="6">
        <v>1000</v>
      </c>
      <c r="AB914" s="4" t="s">
        <v>13</v>
      </c>
    </row>
    <row r="915" spans="1:28" s="12" customFormat="1">
      <c r="A915" s="3" t="s">
        <v>945</v>
      </c>
      <c r="B915" s="3" t="s">
        <v>965</v>
      </c>
      <c r="C915" s="3" t="s">
        <v>965</v>
      </c>
      <c r="D915" s="4">
        <v>24</v>
      </c>
      <c r="E915" s="3" t="s">
        <v>966</v>
      </c>
      <c r="F915" s="7" t="s">
        <v>1430</v>
      </c>
      <c r="G915" s="4">
        <v>43</v>
      </c>
      <c r="H915" s="3" t="s">
        <v>969</v>
      </c>
      <c r="I915" s="3" t="s">
        <v>970</v>
      </c>
      <c r="J915" s="4">
        <v>2</v>
      </c>
      <c r="K915" s="4">
        <v>488.75360000000001</v>
      </c>
      <c r="L915" s="4"/>
      <c r="M915" s="4" t="str">
        <f>HYPERLINK("http://ms.phosphosite.org:5080/cgi-bin/plot-msms.cgi?MassType=1&amp;NumAxis=1&amp;Mod8=184&amp;Pep=GGPGGGFRPF&amp;Dta=/var/www/html/dta/yong/23617.13678.2.dta&amp;Global_Mod=CS57.0215", "13678")</f>
        <v>13678</v>
      </c>
      <c r="N915" s="5"/>
      <c r="O915" s="5">
        <v>64.209999999999994</v>
      </c>
      <c r="P915" s="5"/>
      <c r="Q915" s="5">
        <v>2.2480000000000002</v>
      </c>
      <c r="R915" s="5"/>
      <c r="S915" s="5">
        <v>0.94669999999999999</v>
      </c>
      <c r="T915" s="5"/>
      <c r="U915" s="5">
        <v>0.25919999999999999</v>
      </c>
      <c r="V915" s="4"/>
      <c r="W915" s="4">
        <v>9</v>
      </c>
      <c r="X915" s="5"/>
      <c r="Y915" s="5">
        <v>2.2799999999999998</v>
      </c>
      <c r="Z915" s="6"/>
      <c r="AA915" s="6">
        <v>1000</v>
      </c>
      <c r="AB915" s="4" t="s">
        <v>13</v>
      </c>
    </row>
    <row r="916" spans="1:28" s="12" customFormat="1">
      <c r="A916" s="3" t="s">
        <v>945</v>
      </c>
      <c r="B916" s="3" t="s">
        <v>965</v>
      </c>
      <c r="C916" s="3" t="s">
        <v>965</v>
      </c>
      <c r="D916" s="4">
        <v>24</v>
      </c>
      <c r="E916" s="3" t="s">
        <v>966</v>
      </c>
      <c r="F916" s="7" t="s">
        <v>1430</v>
      </c>
      <c r="G916" s="4">
        <v>43</v>
      </c>
      <c r="H916" s="3" t="s">
        <v>969</v>
      </c>
      <c r="I916" s="3" t="s">
        <v>971</v>
      </c>
      <c r="J916" s="4">
        <v>3</v>
      </c>
      <c r="K916" s="4">
        <v>789.05769999999995</v>
      </c>
      <c r="L916" s="4"/>
      <c r="M916" s="4" t="str">
        <f>HYPERLINK("http://ms.phosphosite.org:5080/cgi-bin/plot-msms.cgi?MassType=1&amp;NumAxis=1&amp;Mod8=184&amp;Pep=GGPGGGFRPFVPHIPFDFYLC&amp;Dta=/var/www/html/dta/yong/23617.29479.3.dta&amp;Global_Mod=CS57.0215", "29479")</f>
        <v>29479</v>
      </c>
      <c r="N916" s="5"/>
      <c r="O916" s="5">
        <v>131.88999999999999</v>
      </c>
      <c r="P916" s="5"/>
      <c r="Q916" s="5">
        <v>2.6789999999999998</v>
      </c>
      <c r="R916" s="5"/>
      <c r="S916" s="5">
        <v>1.4796</v>
      </c>
      <c r="T916" s="5"/>
      <c r="U916" s="5">
        <v>0.11990000000000001</v>
      </c>
      <c r="V916" s="4"/>
      <c r="W916" s="4">
        <v>1</v>
      </c>
      <c r="X916" s="5"/>
      <c r="Y916" s="5">
        <v>1.5</v>
      </c>
      <c r="Z916" s="6"/>
      <c r="AA916" s="6">
        <v>1000</v>
      </c>
      <c r="AB916" s="4" t="s">
        <v>13</v>
      </c>
    </row>
    <row r="917" spans="1:28" s="12" customFormat="1">
      <c r="A917" s="3" t="s">
        <v>945</v>
      </c>
      <c r="B917" s="3" t="s">
        <v>965</v>
      </c>
      <c r="C917" s="3" t="s">
        <v>965</v>
      </c>
      <c r="D917" s="4">
        <v>24</v>
      </c>
      <c r="E917" s="3" t="s">
        <v>966</v>
      </c>
      <c r="F917" s="7" t="s">
        <v>1430</v>
      </c>
      <c r="G917" s="4">
        <v>43</v>
      </c>
      <c r="H917" s="3" t="s">
        <v>969</v>
      </c>
      <c r="I917" s="3" t="s">
        <v>971</v>
      </c>
      <c r="J917" s="4">
        <v>3</v>
      </c>
      <c r="K917" s="4">
        <v>789.05769999999995</v>
      </c>
      <c r="L917" s="4"/>
      <c r="M917" s="4" t="str">
        <f>HYPERLINK("http://ms.phosphosite.org:5080/cgi-bin/plot-msms.cgi?MassType=1&amp;NumAxis=1&amp;Mod8=184&amp;Pep=GGPGGGFRPFVPHIPFDFYLC&amp;Dta=/var/www/html/dta/yong/23617.29495.3.dta&amp;Global_Mod=CS57.0215", "29495")</f>
        <v>29495</v>
      </c>
      <c r="N917" s="5"/>
      <c r="O917" s="5">
        <v>131.97</v>
      </c>
      <c r="P917" s="5"/>
      <c r="Q917" s="5">
        <v>2.3239999999999998</v>
      </c>
      <c r="R917" s="5"/>
      <c r="S917" s="5">
        <v>1.6611</v>
      </c>
      <c r="T917" s="5"/>
      <c r="U917" s="5">
        <v>6.6799999999999998E-2</v>
      </c>
      <c r="V917" s="4"/>
      <c r="W917" s="4">
        <v>32</v>
      </c>
      <c r="X917" s="5"/>
      <c r="Y917" s="5">
        <v>1.07</v>
      </c>
      <c r="Z917" s="6"/>
      <c r="AA917" s="6">
        <v>1000</v>
      </c>
      <c r="AB917" s="4" t="s">
        <v>13</v>
      </c>
    </row>
    <row r="918" spans="1:28" s="12" customFormat="1">
      <c r="A918" s="3" t="s">
        <v>945</v>
      </c>
      <c r="B918" s="3" t="s">
        <v>974</v>
      </c>
      <c r="C918" s="3" t="s">
        <v>975</v>
      </c>
      <c r="D918" s="4">
        <v>786</v>
      </c>
      <c r="E918" s="3" t="s">
        <v>976</v>
      </c>
      <c r="F918" s="7" t="s">
        <v>1431</v>
      </c>
      <c r="G918" s="4">
        <v>122.2</v>
      </c>
      <c r="H918" s="3" t="s">
        <v>977</v>
      </c>
      <c r="I918" s="3" t="s">
        <v>978</v>
      </c>
      <c r="J918" s="4">
        <v>5</v>
      </c>
      <c r="K918" s="4">
        <v>720.98289999999997</v>
      </c>
      <c r="L918" s="4"/>
      <c r="M918" s="4" t="str">
        <f>HYPERLINK("http://ms.phosphosite.org:5080/cgi-bin/plot-msms.cgi?MassType=1&amp;NumAxis=1&amp;Mod22=184&amp;Pep=QQQQQQQQILAEQQLQQSHLPRQHLQPQR&amp;Dta=/var/www/html/dta/yong/23617.11098.5.dta&amp;Global_Mod=CS57.0215", "11098")</f>
        <v>11098</v>
      </c>
      <c r="N918" s="5"/>
      <c r="O918" s="5">
        <v>53.16</v>
      </c>
      <c r="P918" s="5"/>
      <c r="Q918" s="5">
        <v>3.4940000000000002</v>
      </c>
      <c r="R918" s="5"/>
      <c r="S918" s="5">
        <v>1.0249999999999999</v>
      </c>
      <c r="T918" s="5"/>
      <c r="U918" s="5">
        <v>8.3400000000000002E-2</v>
      </c>
      <c r="V918" s="4"/>
      <c r="W918" s="4">
        <v>17</v>
      </c>
      <c r="X918" s="5"/>
      <c r="Y918" s="5">
        <v>1.0900000000000001</v>
      </c>
      <c r="Z918" s="6"/>
      <c r="AA918" s="6">
        <v>1000</v>
      </c>
      <c r="AB918" s="4" t="s">
        <v>13</v>
      </c>
    </row>
    <row r="919" spans="1:28" s="12" customFormat="1">
      <c r="A919" s="3" t="s">
        <v>945</v>
      </c>
      <c r="B919" s="3" t="s">
        <v>979</v>
      </c>
      <c r="C919" s="3" t="s">
        <v>980</v>
      </c>
      <c r="D919" s="4">
        <v>1912</v>
      </c>
      <c r="E919" s="3" t="s">
        <v>981</v>
      </c>
      <c r="F919" s="7" t="s">
        <v>1432</v>
      </c>
      <c r="G919" s="4">
        <v>242.9</v>
      </c>
      <c r="H919" s="3" t="s">
        <v>982</v>
      </c>
      <c r="I919" s="3" t="s">
        <v>984</v>
      </c>
      <c r="J919" s="4">
        <v>4</v>
      </c>
      <c r="K919" s="4">
        <v>1041.2456</v>
      </c>
      <c r="L919" s="4" t="str">
        <f>HYPERLINK("http://ms.phosphosite.org:5080/cgi-bin/plot-msms.cgi?MassType=1&amp;NumAxis=1&amp;Mod2=184&amp;Mod11=147&amp;Mod20=147&amp;Pep=LRQQLQQSQGMLGQSSVHQMTPSSSYGLQTSQGYTPY&amp;Dta=/var/www/html/dta/yong/23616.13922.4.dta&amp;Global_Mod=CS57.0215", "13922")</f>
        <v>13922</v>
      </c>
      <c r="M919" s="4" t="str">
        <f>HYPERLINK("http://ms.phosphosite.org:5080/cgi-bin/plot-msms.cgi?MassType=1&amp;NumAxis=1&amp;Mod2=184&amp;Mod11=147&amp;Mod20=147&amp;Pep=LRQQLQQSQGMLGQSSVHQMTPSSSYGLQTSQGYTPY&amp;Dta=/var/www/html/dta/yong/23617.14096.4.dta&amp;Global_Mod=CS57.0215", "14096")</f>
        <v>14096</v>
      </c>
      <c r="N919" s="5">
        <v>66.03</v>
      </c>
      <c r="O919" s="5">
        <v>66.05</v>
      </c>
      <c r="P919" s="5">
        <v>3.3679999999999999</v>
      </c>
      <c r="Q919" s="5">
        <v>3.1280000000000001</v>
      </c>
      <c r="R919" s="5">
        <v>0.98360000000000003</v>
      </c>
      <c r="S919" s="5">
        <v>2.3012000000000001</v>
      </c>
      <c r="T919" s="5">
        <v>0.1201</v>
      </c>
      <c r="U919" s="5">
        <v>0.1246</v>
      </c>
      <c r="V919" s="4">
        <v>27</v>
      </c>
      <c r="W919" s="4">
        <v>1</v>
      </c>
      <c r="X919" s="5">
        <v>1.25</v>
      </c>
      <c r="Y919" s="5">
        <v>1.1499999999999999</v>
      </c>
      <c r="Z919" s="6">
        <v>1000</v>
      </c>
      <c r="AA919" s="6">
        <v>1000</v>
      </c>
      <c r="AB919" s="4" t="s">
        <v>13</v>
      </c>
    </row>
    <row r="920" spans="1:28" s="12" customFormat="1">
      <c r="A920" s="3" t="s">
        <v>945</v>
      </c>
      <c r="B920" s="3" t="s">
        <v>979</v>
      </c>
      <c r="C920" s="3" t="s">
        <v>980</v>
      </c>
      <c r="D920" s="4">
        <v>1912</v>
      </c>
      <c r="E920" s="3" t="s">
        <v>981</v>
      </c>
      <c r="F920" s="7" t="s">
        <v>1432</v>
      </c>
      <c r="G920" s="4">
        <v>242.9</v>
      </c>
      <c r="H920" s="3" t="s">
        <v>982</v>
      </c>
      <c r="I920" s="3" t="s">
        <v>985</v>
      </c>
      <c r="J920" s="4">
        <v>4</v>
      </c>
      <c r="K920" s="4">
        <v>1146.8025</v>
      </c>
      <c r="L920" s="4" t="str">
        <f>HYPERLINK("http://ms.phosphosite.org:5080/cgi-bin/plot-msms.cgi?MassType=1&amp;NumAxis=1&amp;Mod2=184&amp;Mod11=147&amp;Mod20=147&amp;Pep=LRQQLQQSQGMLGQSSVHQMTPSSSYGLQTSQGYTPYVSHV&amp;Dta=/var/www/html/dta/yong/23616.14514.4.dta&amp;Global_Mod=CS57.0215", "14514")</f>
        <v>14514</v>
      </c>
      <c r="M920" s="4"/>
      <c r="N920" s="5">
        <v>68.62</v>
      </c>
      <c r="O920" s="5"/>
      <c r="P920" s="5">
        <v>2.69</v>
      </c>
      <c r="Q920" s="5"/>
      <c r="R920" s="5">
        <v>-1.49E-2</v>
      </c>
      <c r="S920" s="5"/>
      <c r="T920" s="5">
        <v>0.16500000000000001</v>
      </c>
      <c r="U920" s="5"/>
      <c r="V920" s="4">
        <v>6</v>
      </c>
      <c r="W920" s="4"/>
      <c r="X920" s="5">
        <v>1.28</v>
      </c>
      <c r="Y920" s="5"/>
      <c r="Z920" s="6">
        <v>1000</v>
      </c>
      <c r="AA920" s="6"/>
      <c r="AB920" s="4" t="s">
        <v>13</v>
      </c>
    </row>
    <row r="921" spans="1:28" s="12" customFormat="1">
      <c r="A921" s="3" t="s">
        <v>945</v>
      </c>
      <c r="B921" s="3" t="s">
        <v>979</v>
      </c>
      <c r="C921" s="3" t="s">
        <v>980</v>
      </c>
      <c r="D921" s="4">
        <v>1912</v>
      </c>
      <c r="E921" s="3" t="s">
        <v>981</v>
      </c>
      <c r="F921" s="7" t="s">
        <v>1432</v>
      </c>
      <c r="G921" s="4">
        <v>242.9</v>
      </c>
      <c r="H921" s="3" t="s">
        <v>982</v>
      </c>
      <c r="I921" s="3" t="s">
        <v>983</v>
      </c>
      <c r="J921" s="4">
        <v>3</v>
      </c>
      <c r="K921" s="4">
        <v>877.09889999999996</v>
      </c>
      <c r="L921" s="4" t="str">
        <f>HYPERLINK("http://ms.phosphosite.org:5080/cgi-bin/plot-msms.cgi?MassType=1&amp;NumAxis=1&amp;Mod2=184&amp;Mod11=147&amp;Mod20=147&amp;Pep=LRQQLQQSQGMLGQSSVHQMTPS&amp;Dta=/var/www/html/dta/yong/23616.7163.3.dta&amp;Global_Mod=CS57.0215", "7163")</f>
        <v>7163</v>
      </c>
      <c r="M921" s="4" t="str">
        <f>HYPERLINK("http://ms.phosphosite.org:5080/cgi-bin/plot-msms.cgi?MassType=1&amp;NumAxis=1&amp;Mod2=184&amp;Mod11=147&amp;Mod20=147&amp;Pep=LRQQLQQSQGMLGQSSVHQMTPS&amp;Dta=/var/www/html/dta/yong/23617.7278.3.dta&amp;Global_Mod=CS57.0215", "7278")</f>
        <v>7278</v>
      </c>
      <c r="N921" s="5">
        <v>37.159999999999997</v>
      </c>
      <c r="O921" s="5">
        <v>37.340000000000003</v>
      </c>
      <c r="P921" s="5">
        <v>5.2249999999999996</v>
      </c>
      <c r="Q921" s="5">
        <v>5.6219999999999999</v>
      </c>
      <c r="R921" s="5">
        <v>2.0116999999999998</v>
      </c>
      <c r="S921" s="5">
        <v>0.88129999999999997</v>
      </c>
      <c r="T921" s="5">
        <v>0.45960000000000001</v>
      </c>
      <c r="U921" s="5">
        <v>0.42859999999999998</v>
      </c>
      <c r="V921" s="4">
        <v>1</v>
      </c>
      <c r="W921" s="4">
        <v>1</v>
      </c>
      <c r="X921" s="5">
        <v>3.79</v>
      </c>
      <c r="Y921" s="5">
        <v>3.83</v>
      </c>
      <c r="Z921" s="6">
        <v>1000</v>
      </c>
      <c r="AA921" s="6">
        <v>1000</v>
      </c>
      <c r="AB921" s="4" t="s">
        <v>13</v>
      </c>
    </row>
    <row r="922" spans="1:28" s="12" customFormat="1">
      <c r="A922" s="3" t="s">
        <v>945</v>
      </c>
      <c r="B922" s="3" t="s">
        <v>979</v>
      </c>
      <c r="C922" s="3" t="s">
        <v>980</v>
      </c>
      <c r="D922" s="4">
        <v>1912</v>
      </c>
      <c r="E922" s="3" t="s">
        <v>981</v>
      </c>
      <c r="F922" s="7" t="s">
        <v>1432</v>
      </c>
      <c r="G922" s="4">
        <v>242.9</v>
      </c>
      <c r="H922" s="3" t="s">
        <v>982</v>
      </c>
      <c r="I922" s="3" t="s">
        <v>983</v>
      </c>
      <c r="J922" s="4">
        <v>3</v>
      </c>
      <c r="K922" s="4">
        <v>877.09889999999996</v>
      </c>
      <c r="L922" s="4" t="str">
        <f>HYPERLINK("http://ms.phosphosite.org:5080/cgi-bin/plot-msms.cgi?MassType=1&amp;NumAxis=1&amp;Mod2=184&amp;Mod11=147&amp;Mod20=147&amp;Pep=LRQQLQQSQGMLGQSSVHQMTPS&amp;Dta=/var/www/html/dta/yong/23616.7214.3.dta&amp;Global_Mod=CS57.0215", "7214")</f>
        <v>7214</v>
      </c>
      <c r="M922" s="4" t="str">
        <f>HYPERLINK("http://ms.phosphosite.org:5080/cgi-bin/plot-msms.cgi?MassType=1&amp;NumAxis=1&amp;Mod2=184&amp;Mod11=147&amp;Mod20=147&amp;Pep=LRQQLQQSQGMLGQSSVHQMTPS&amp;Dta=/var/www/html/dta/yong/23617.7292.3.dta&amp;Global_Mod=CS57.0215", "7292")</f>
        <v>7292</v>
      </c>
      <c r="N922" s="5">
        <v>37.380000000000003</v>
      </c>
      <c r="O922" s="5">
        <v>37.4</v>
      </c>
      <c r="P922" s="5">
        <v>4.0949999999999998</v>
      </c>
      <c r="Q922" s="5">
        <v>4.9550000000000001</v>
      </c>
      <c r="R922" s="5">
        <v>2.2029999999999998</v>
      </c>
      <c r="S922" s="5">
        <v>0.88129999999999997</v>
      </c>
      <c r="T922" s="5">
        <v>0.31390000000000001</v>
      </c>
      <c r="U922" s="5">
        <v>0.50960000000000005</v>
      </c>
      <c r="V922" s="4">
        <v>1</v>
      </c>
      <c r="W922" s="4">
        <v>1</v>
      </c>
      <c r="X922" s="5">
        <v>2.63</v>
      </c>
      <c r="Y922" s="5">
        <v>4.08</v>
      </c>
      <c r="Z922" s="6">
        <v>1000</v>
      </c>
      <c r="AA922" s="6">
        <v>1000</v>
      </c>
      <c r="AB922" s="4" t="s">
        <v>13</v>
      </c>
    </row>
    <row r="923" spans="1:28" s="12" customFormat="1">
      <c r="A923" s="3" t="s">
        <v>945</v>
      </c>
      <c r="B923" s="3" t="s">
        <v>979</v>
      </c>
      <c r="C923" s="3" t="s">
        <v>980</v>
      </c>
      <c r="D923" s="4">
        <v>1912</v>
      </c>
      <c r="E923" s="3" t="s">
        <v>981</v>
      </c>
      <c r="F923" s="7" t="s">
        <v>1432</v>
      </c>
      <c r="G923" s="4">
        <v>242.9</v>
      </c>
      <c r="H923" s="3" t="s">
        <v>982</v>
      </c>
      <c r="I923" s="3" t="s">
        <v>984</v>
      </c>
      <c r="J923" s="4">
        <v>4</v>
      </c>
      <c r="K923" s="4">
        <v>1041.2456</v>
      </c>
      <c r="L923" s="4"/>
      <c r="M923" s="4" t="str">
        <f>HYPERLINK("http://ms.phosphosite.org:5080/cgi-bin/plot-msms.cgi?MassType=1&amp;NumAxis=1&amp;Mod2=184&amp;Mod11=147&amp;Mod20=147&amp;Pep=LRQQLQQSQGMLGQSSVHQMTPSSSYGLQTSQGYTPY&amp;Dta=/var/www/html/dta/yong/23617.14058.4.dta&amp;Global_Mod=CS57.0215", "14058")</f>
        <v>14058</v>
      </c>
      <c r="N923" s="5"/>
      <c r="O923" s="5">
        <v>65.88</v>
      </c>
      <c r="P923" s="5"/>
      <c r="Q923" s="5">
        <v>3.7949999999999999</v>
      </c>
      <c r="R923" s="5"/>
      <c r="S923" s="5">
        <v>2.3012000000000001</v>
      </c>
      <c r="T923" s="5"/>
      <c r="U923" s="5">
        <v>0.31209999999999999</v>
      </c>
      <c r="V923" s="4"/>
      <c r="W923" s="4">
        <v>7</v>
      </c>
      <c r="X923" s="5"/>
      <c r="Y923" s="5">
        <v>2.41</v>
      </c>
      <c r="Z923" s="6"/>
      <c r="AA923" s="6">
        <v>1000</v>
      </c>
      <c r="AB923" s="4" t="s">
        <v>13</v>
      </c>
    </row>
    <row r="924" spans="1:28" s="12" customFormat="1">
      <c r="A924" s="13" t="s">
        <v>945</v>
      </c>
      <c r="B924" s="13" t="s">
        <v>1693</v>
      </c>
      <c r="C924" s="13" t="s">
        <v>1694</v>
      </c>
      <c r="D924" s="15">
        <v>1899</v>
      </c>
      <c r="E924" s="13" t="s">
        <v>981</v>
      </c>
      <c r="F924" s="15" t="s">
        <v>1432</v>
      </c>
      <c r="G924" s="15">
        <v>242.9</v>
      </c>
      <c r="H924" s="13" t="s">
        <v>986</v>
      </c>
      <c r="I924" s="13" t="s">
        <v>987</v>
      </c>
      <c r="J924" s="15">
        <v>3</v>
      </c>
      <c r="K924" s="15">
        <v>629.00609999999995</v>
      </c>
      <c r="L924" s="15" t="str">
        <f>HYPERLINK("http://ms.phosphosite.org:5080/cgi-bin/plot-msms.cgi?MassType=1&amp;NumAxis=1&amp;Mod5=184&amp;Mod16=170&amp;Pep=TSVYRQQQPAVPQGQR&amp;Dta=/var/www/html/dta/yong/23616.5745.3.dta&amp;Global_Mod=CS57.0215", "5745")</f>
        <v>5745</v>
      </c>
      <c r="M924" s="15" t="str">
        <f>HYPERLINK("http://ms.phosphosite.org:5080/cgi-bin/plot-msms.cgi?MassType=1&amp;NumAxis=1&amp;Mod5=184&amp;Mod16=170&amp;Pep=TSVYRQQQPAVPQGQR&amp;Dta=/var/www/html/dta/yong/23617.5838.3.dta&amp;Global_Mod=CS57.0215", "5838")</f>
        <v>5838</v>
      </c>
      <c r="N924" s="16">
        <v>31.28</v>
      </c>
      <c r="O924" s="16">
        <v>31.41</v>
      </c>
      <c r="P924" s="16">
        <v>3.0710000000000002</v>
      </c>
      <c r="Q924" s="16">
        <v>3.46</v>
      </c>
      <c r="R924" s="16">
        <v>2.2027000000000001</v>
      </c>
      <c r="S924" s="16">
        <v>0.38019999999999998</v>
      </c>
      <c r="T924" s="16">
        <v>0.1646</v>
      </c>
      <c r="U924" s="16">
        <v>0.2235</v>
      </c>
      <c r="V924" s="15">
        <v>1</v>
      </c>
      <c r="W924" s="15">
        <v>1</v>
      </c>
      <c r="X924" s="16">
        <v>1.55</v>
      </c>
      <c r="Y924" s="16">
        <v>2.11</v>
      </c>
      <c r="Z924" s="17" t="s">
        <v>1306</v>
      </c>
      <c r="AA924" s="17" t="s">
        <v>1306</v>
      </c>
      <c r="AB924" s="15" t="s">
        <v>13</v>
      </c>
    </row>
    <row r="925" spans="1:28" s="12" customFormat="1">
      <c r="A925" s="13" t="s">
        <v>945</v>
      </c>
      <c r="B925" s="13" t="s">
        <v>1693</v>
      </c>
      <c r="C925" s="13" t="s">
        <v>1695</v>
      </c>
      <c r="D925" s="15">
        <v>1899</v>
      </c>
      <c r="E925" s="13" t="s">
        <v>981</v>
      </c>
      <c r="F925" s="15" t="s">
        <v>1432</v>
      </c>
      <c r="G925" s="15">
        <v>242.9</v>
      </c>
      <c r="H925" s="13" t="s">
        <v>986</v>
      </c>
      <c r="I925" s="13" t="s">
        <v>987</v>
      </c>
      <c r="J925" s="15">
        <v>3</v>
      </c>
      <c r="K925" s="15">
        <v>629.00609999999995</v>
      </c>
      <c r="L925" s="15"/>
      <c r="M925" s="15" t="str">
        <f>HYPERLINK("http://ms.phosphosite.org:5080/cgi-bin/plot-msms.cgi?MassType=1&amp;NumAxis=1&amp;Mod5=184&amp;Mod16=170&amp;Pep=TSVYRQQQPAVPQGQR&amp;Dta=/var/www/html/dta/yong/23617.5853.3.dta&amp;Global_Mod=CS57.0215", "5853")</f>
        <v>5853</v>
      </c>
      <c r="N925" s="16"/>
      <c r="O925" s="16">
        <v>31.47</v>
      </c>
      <c r="P925" s="16"/>
      <c r="Q925" s="16">
        <v>2.6909999999999998</v>
      </c>
      <c r="R925" s="16"/>
      <c r="S925" s="16">
        <v>0.38019999999999998</v>
      </c>
      <c r="T925" s="16"/>
      <c r="U925" s="16">
        <v>0.13189999999999999</v>
      </c>
      <c r="V925" s="15"/>
      <c r="W925" s="15">
        <v>1</v>
      </c>
      <c r="X925" s="16"/>
      <c r="Y925" s="16">
        <v>1.35</v>
      </c>
      <c r="Z925" s="17"/>
      <c r="AA925" s="17" t="s">
        <v>1306</v>
      </c>
      <c r="AB925" s="15" t="s">
        <v>13</v>
      </c>
    </row>
    <row r="926" spans="1:28" s="12" customFormat="1">
      <c r="A926" s="9" t="s">
        <v>945</v>
      </c>
      <c r="B926" s="9" t="s">
        <v>988</v>
      </c>
      <c r="C926" s="9" t="s">
        <v>989</v>
      </c>
      <c r="D926" s="7">
        <v>400</v>
      </c>
      <c r="E926" s="9" t="s">
        <v>990</v>
      </c>
      <c r="F926" s="7" t="s">
        <v>1433</v>
      </c>
      <c r="G926" s="7">
        <v>86.7</v>
      </c>
      <c r="H926" s="9" t="s">
        <v>991</v>
      </c>
      <c r="I926" s="9" t="s">
        <v>994</v>
      </c>
      <c r="J926" s="7">
        <v>4</v>
      </c>
      <c r="K926" s="7">
        <v>696.60829999999999</v>
      </c>
      <c r="L926" s="7" t="str">
        <f>HYPERLINK("http://ms.phosphosite.org:5080/cgi-bin/plot-msms.cgi?MassType=1&amp;NumAxis=1&amp;Mod4=147&amp;Mod11=147&amp;Mod21=147&amp;Mod26=184&amp;Pep=AAQMVAPGVQMITEALAQGGMHIRAR&amp;Dta=/var/www/html/dta/yong/23616.19982.4.dta&amp;Global_Mod=CS57.0215", "19982")</f>
        <v>19982</v>
      </c>
      <c r="M926" s="7"/>
      <c r="N926" s="10">
        <v>91.77</v>
      </c>
      <c r="O926" s="10"/>
      <c r="P926" s="10">
        <v>3.01</v>
      </c>
      <c r="Q926" s="10"/>
      <c r="R926" s="10">
        <v>0.1361</v>
      </c>
      <c r="S926" s="10"/>
      <c r="T926" s="10">
        <v>0.1217</v>
      </c>
      <c r="U926" s="10"/>
      <c r="V926" s="7">
        <v>2</v>
      </c>
      <c r="W926" s="7"/>
      <c r="X926" s="10">
        <v>1.64</v>
      </c>
      <c r="Y926" s="10"/>
      <c r="Z926" s="11">
        <v>1000</v>
      </c>
      <c r="AA926" s="11"/>
      <c r="AB926" s="7" t="s">
        <v>13</v>
      </c>
    </row>
    <row r="927" spans="1:28" s="12" customFormat="1">
      <c r="A927" s="9" t="s">
        <v>945</v>
      </c>
      <c r="B927" s="9" t="s">
        <v>988</v>
      </c>
      <c r="C927" s="9" t="s">
        <v>989</v>
      </c>
      <c r="D927" s="7">
        <v>400</v>
      </c>
      <c r="E927" s="9" t="s">
        <v>990</v>
      </c>
      <c r="F927" s="7" t="s">
        <v>1433</v>
      </c>
      <c r="G927" s="7">
        <v>86.7</v>
      </c>
      <c r="H927" s="9" t="s">
        <v>991</v>
      </c>
      <c r="I927" s="9" t="s">
        <v>994</v>
      </c>
      <c r="J927" s="7">
        <v>4</v>
      </c>
      <c r="K927" s="7">
        <v>696.60829999999999</v>
      </c>
      <c r="L927" s="7" t="str">
        <f>HYPERLINK("http://ms.phosphosite.org:5080/cgi-bin/plot-msms.cgi?MassType=1&amp;NumAxis=1&amp;Mod4=147&amp;Mod11=147&amp;Mod21=147&amp;Mod26=184&amp;Pep=AAQMVAPGVQMITEALAQGGMHIRAR&amp;Dta=/var/www/html/dta/yong/23616.20154.4.dta&amp;Global_Mod=CS57.0215", "20154")</f>
        <v>20154</v>
      </c>
      <c r="M927" s="7" t="str">
        <f>HYPERLINK("http://ms.phosphosite.org:5080/cgi-bin/plot-msms.cgi?MassType=1&amp;NumAxis=1&amp;Mod4=147&amp;Mod11=147&amp;Mod21=147&amp;Mod26=184&amp;Pep=AAQMVAPGVQMITEALAQGGMHIRAR&amp;Dta=/var/www/html/dta/yong/23617.20299.4.dta&amp;Global_Mod=CS57.0215", "20299")</f>
        <v>20299</v>
      </c>
      <c r="N927" s="10">
        <v>92.48</v>
      </c>
      <c r="O927" s="10">
        <v>92.41</v>
      </c>
      <c r="P927" s="10">
        <v>4.0380000000000003</v>
      </c>
      <c r="Q927" s="10">
        <v>3.1970000000000001</v>
      </c>
      <c r="R927" s="10">
        <v>1.3166</v>
      </c>
      <c r="S927" s="10">
        <v>1.0669</v>
      </c>
      <c r="T927" s="10">
        <v>0.30159999999999998</v>
      </c>
      <c r="U927" s="10">
        <v>0.11559999999999999</v>
      </c>
      <c r="V927" s="7">
        <v>2</v>
      </c>
      <c r="W927" s="7">
        <v>4</v>
      </c>
      <c r="X927" s="10">
        <v>2.93</v>
      </c>
      <c r="Y927" s="10">
        <v>1.69</v>
      </c>
      <c r="Z927" s="11">
        <v>1000</v>
      </c>
      <c r="AA927" s="11">
        <v>1000</v>
      </c>
      <c r="AB927" s="7" t="s">
        <v>13</v>
      </c>
    </row>
    <row r="928" spans="1:28" s="12" customFormat="1">
      <c r="A928" s="9" t="s">
        <v>945</v>
      </c>
      <c r="B928" s="9" t="s">
        <v>988</v>
      </c>
      <c r="C928" s="9" t="s">
        <v>989</v>
      </c>
      <c r="D928" s="7">
        <v>400</v>
      </c>
      <c r="E928" s="9" t="s">
        <v>990</v>
      </c>
      <c r="F928" s="7" t="s">
        <v>1433</v>
      </c>
      <c r="G928" s="7">
        <v>86.7</v>
      </c>
      <c r="H928" s="9" t="s">
        <v>991</v>
      </c>
      <c r="I928" s="9" t="s">
        <v>995</v>
      </c>
      <c r="J928" s="7">
        <v>4</v>
      </c>
      <c r="K928" s="7">
        <v>1024.2728</v>
      </c>
      <c r="L928" s="7" t="str">
        <f>HYPERLINK("http://ms.phosphosite.org:5080/cgi-bin/plot-msms.cgi?MassType=1&amp;NumAxis=1&amp;Mod16=147&amp;Mod23=147&amp;Mod33=147&amp;Mod38=184&amp;Pep=VQQQQTAVQTAQAAQMVAPGVQMITEALAQGGMHIRAR&amp;Dta=/var/www/html/dta/yong/23616.23181.4.dta&amp;Global_Mod=CS57.0215", "23181")</f>
        <v>23181</v>
      </c>
      <c r="M928" s="7"/>
      <c r="N928" s="10">
        <v>104.84</v>
      </c>
      <c r="O928" s="10"/>
      <c r="P928" s="10">
        <v>3.9340000000000002</v>
      </c>
      <c r="Q928" s="10"/>
      <c r="R928" s="10">
        <v>5.7000000000000002E-2</v>
      </c>
      <c r="S928" s="10"/>
      <c r="T928" s="10">
        <v>0.15620000000000001</v>
      </c>
      <c r="U928" s="10"/>
      <c r="V928" s="7">
        <v>28</v>
      </c>
      <c r="W928" s="7"/>
      <c r="X928" s="10">
        <v>1.97</v>
      </c>
      <c r="Y928" s="10"/>
      <c r="Z928" s="11">
        <v>1000</v>
      </c>
      <c r="AA928" s="11"/>
      <c r="AB928" s="7" t="s">
        <v>13</v>
      </c>
    </row>
    <row r="929" spans="1:28" s="12" customFormat="1">
      <c r="A929" s="9" t="s">
        <v>945</v>
      </c>
      <c r="B929" s="9" t="s">
        <v>988</v>
      </c>
      <c r="C929" s="9" t="s">
        <v>989</v>
      </c>
      <c r="D929" s="7">
        <v>400</v>
      </c>
      <c r="E929" s="9" t="s">
        <v>990</v>
      </c>
      <c r="F929" s="7" t="s">
        <v>1433</v>
      </c>
      <c r="G929" s="7">
        <v>86.7</v>
      </c>
      <c r="H929" s="9" t="s">
        <v>991</v>
      </c>
      <c r="I929" s="9" t="s">
        <v>995</v>
      </c>
      <c r="J929" s="7">
        <v>4</v>
      </c>
      <c r="K929" s="7">
        <v>1024.2728</v>
      </c>
      <c r="L929" s="7" t="str">
        <f>HYPERLINK("http://ms.phosphosite.org:5080/cgi-bin/plot-msms.cgi?MassType=1&amp;NumAxis=1&amp;Mod16=147&amp;Mod23=147&amp;Mod33=147&amp;Mod38=184&amp;Pep=VQQQQTAVQTAQAAQMVAPGVQMITEALAQGGMHIRAR&amp;Dta=/var/www/html/dta/yong/23616.23207.4.dta&amp;Global_Mod=CS57.0215", "23207")</f>
        <v>23207</v>
      </c>
      <c r="M929" s="7"/>
      <c r="N929" s="10">
        <v>104.95</v>
      </c>
      <c r="O929" s="10"/>
      <c r="P929" s="10">
        <v>3.3650000000000002</v>
      </c>
      <c r="Q929" s="10"/>
      <c r="R929" s="10">
        <v>1.8718999999999999</v>
      </c>
      <c r="S929" s="10"/>
      <c r="T929" s="10">
        <v>5.9200000000000003E-2</v>
      </c>
      <c r="U929" s="10"/>
      <c r="V929" s="7">
        <v>1</v>
      </c>
      <c r="W929" s="7"/>
      <c r="X929" s="10">
        <v>1.22</v>
      </c>
      <c r="Y929" s="10"/>
      <c r="Z929" s="11">
        <v>1000</v>
      </c>
      <c r="AA929" s="11"/>
      <c r="AB929" s="7" t="s">
        <v>13</v>
      </c>
    </row>
    <row r="930" spans="1:28" s="12" customFormat="1">
      <c r="A930" s="9" t="s">
        <v>945</v>
      </c>
      <c r="B930" s="9" t="s">
        <v>988</v>
      </c>
      <c r="C930" s="9" t="s">
        <v>989</v>
      </c>
      <c r="D930" s="7">
        <v>400</v>
      </c>
      <c r="E930" s="9" t="s">
        <v>990</v>
      </c>
      <c r="F930" s="7" t="s">
        <v>1433</v>
      </c>
      <c r="G930" s="7">
        <v>86.7</v>
      </c>
      <c r="H930" s="9" t="s">
        <v>991</v>
      </c>
      <c r="I930" s="9" t="s">
        <v>996</v>
      </c>
      <c r="J930" s="7">
        <v>5</v>
      </c>
      <c r="K930" s="7">
        <v>1039.7392</v>
      </c>
      <c r="L930" s="7" t="str">
        <f>HYPERLINK("http://ms.phosphosite.org:5080/cgi-bin/plot-msms.cgi?MassType=1&amp;NumAxis=1&amp;Mod26=147&amp;Mod33=147&amp;Mod43=147&amp;Mod48=184&amp;Pep=VVQQPPVQPQVQQQQTAVQTAQAAQMVAPGVQMITEALAQGGMHIRAR&amp;Dta=/var/www/html/dta/yong/23616.24188.5.dta&amp;Global_Mod=CS57.0215", "24188")</f>
        <v>24188</v>
      </c>
      <c r="M930" s="7" t="str">
        <f>HYPERLINK("http://ms.phosphosite.org:5080/cgi-bin/plot-msms.cgi?MassType=1&amp;NumAxis=1&amp;Mod26=147&amp;Mod33=147&amp;Mod43=147&amp;Mod48=184&amp;Pep=VVQQPPVQPQVQQQQTAVQTAQAAQMVAPGVQMITEALAQGGMHIRAR&amp;Dta=/var/www/html/dta/yong/23617.24713.5.dta&amp;Global_Mod=CS57.0215", "24713")</f>
        <v>24713</v>
      </c>
      <c r="N930" s="10">
        <v>108.91</v>
      </c>
      <c r="O930" s="10">
        <v>110.46</v>
      </c>
      <c r="P930" s="10">
        <v>4.1310000000000002</v>
      </c>
      <c r="Q930" s="10">
        <v>4.58</v>
      </c>
      <c r="R930" s="10">
        <v>0.8871</v>
      </c>
      <c r="S930" s="10">
        <v>0.22689999999999999</v>
      </c>
      <c r="T930" s="10">
        <v>0.2215</v>
      </c>
      <c r="U930" s="10">
        <v>0.2999</v>
      </c>
      <c r="V930" s="7">
        <v>1</v>
      </c>
      <c r="W930" s="7">
        <v>1</v>
      </c>
      <c r="X930" s="10">
        <v>2.3199999999999998</v>
      </c>
      <c r="Y930" s="10">
        <v>2.97</v>
      </c>
      <c r="Z930" s="11">
        <v>1000</v>
      </c>
      <c r="AA930" s="11">
        <v>1000</v>
      </c>
      <c r="AB930" s="7" t="s">
        <v>13</v>
      </c>
    </row>
    <row r="931" spans="1:28" s="12" customFormat="1">
      <c r="A931" s="9" t="s">
        <v>945</v>
      </c>
      <c r="B931" s="9" t="s">
        <v>988</v>
      </c>
      <c r="C931" s="9" t="s">
        <v>989</v>
      </c>
      <c r="D931" s="7">
        <v>400</v>
      </c>
      <c r="E931" s="9" t="s">
        <v>990</v>
      </c>
      <c r="F931" s="7" t="s">
        <v>1433</v>
      </c>
      <c r="G931" s="7">
        <v>86.7</v>
      </c>
      <c r="H931" s="9" t="s">
        <v>991</v>
      </c>
      <c r="I931" s="9" t="s">
        <v>996</v>
      </c>
      <c r="J931" s="7">
        <v>5</v>
      </c>
      <c r="K931" s="7">
        <v>1039.7392</v>
      </c>
      <c r="L931" s="7"/>
      <c r="M931" s="7" t="str">
        <f>HYPERLINK("http://ms.phosphosite.org:5080/cgi-bin/plot-msms.cgi?MassType=1&amp;NumAxis=1&amp;Mod26=147&amp;Mod33=147&amp;Mod43=147&amp;Mod48=184&amp;Pep=VVQQPPVQPQVQQQQTAVQTAQAAQMVAPGVQMITEALAQGGMHIRAR&amp;Dta=/var/www/html/dta/yong/23617.24359.5.dta&amp;Global_Mod=CS57.0215", "24359")</f>
        <v>24359</v>
      </c>
      <c r="N931" s="10"/>
      <c r="O931" s="10">
        <v>109.04</v>
      </c>
      <c r="P931" s="10"/>
      <c r="Q931" s="10">
        <v>4.2480000000000002</v>
      </c>
      <c r="R931" s="10"/>
      <c r="S931" s="10">
        <v>0.53769999999999996</v>
      </c>
      <c r="T931" s="10"/>
      <c r="U931" s="10">
        <v>0.16059999999999999</v>
      </c>
      <c r="V931" s="7"/>
      <c r="W931" s="7">
        <v>43</v>
      </c>
      <c r="X931" s="10"/>
      <c r="Y931" s="10">
        <v>2.0499999999999998</v>
      </c>
      <c r="Z931" s="11"/>
      <c r="AA931" s="11">
        <v>1000</v>
      </c>
      <c r="AB931" s="7" t="s">
        <v>13</v>
      </c>
    </row>
    <row r="932" spans="1:28" s="12" customFormat="1">
      <c r="A932" s="9" t="s">
        <v>945</v>
      </c>
      <c r="B932" s="9" t="s">
        <v>988</v>
      </c>
      <c r="C932" s="9" t="s">
        <v>989</v>
      </c>
      <c r="D932" s="7">
        <v>400</v>
      </c>
      <c r="E932" s="9" t="s">
        <v>990</v>
      </c>
      <c r="F932" s="7" t="s">
        <v>1433</v>
      </c>
      <c r="G932" s="7">
        <v>86.7</v>
      </c>
      <c r="H932" s="9" t="s">
        <v>991</v>
      </c>
      <c r="I932" s="9" t="s">
        <v>996</v>
      </c>
      <c r="J932" s="7">
        <v>5</v>
      </c>
      <c r="K932" s="7">
        <v>1039.7392</v>
      </c>
      <c r="L932" s="7"/>
      <c r="M932" s="7" t="str">
        <f>HYPERLINK("http://ms.phosphosite.org:5080/cgi-bin/plot-msms.cgi?MassType=1&amp;NumAxis=1&amp;Mod26=147&amp;Mod33=147&amp;Mod43=147&amp;Mod48=184&amp;Pep=VVQQPPVQPQVQQQQTAVQTAQAAQMVAPGVQMITEALAQGGMHIRAR&amp;Dta=/var/www/html/dta/yong/23617.24402.5.dta&amp;Global_Mod=CS57.0215", "24402")</f>
        <v>24402</v>
      </c>
      <c r="N932" s="10"/>
      <c r="O932" s="10">
        <v>109.22</v>
      </c>
      <c r="P932" s="10"/>
      <c r="Q932" s="10">
        <v>4.0490000000000004</v>
      </c>
      <c r="R932" s="10"/>
      <c r="S932" s="10">
        <v>1.6363000000000001</v>
      </c>
      <c r="T932" s="10"/>
      <c r="U932" s="10">
        <v>0.28970000000000001</v>
      </c>
      <c r="V932" s="7"/>
      <c r="W932" s="7">
        <v>1</v>
      </c>
      <c r="X932" s="10"/>
      <c r="Y932" s="10">
        <v>2.69</v>
      </c>
      <c r="Z932" s="11"/>
      <c r="AA932" s="11">
        <v>1000</v>
      </c>
      <c r="AB932" s="7" t="s">
        <v>13</v>
      </c>
    </row>
    <row r="933" spans="1:28" s="12" customFormat="1">
      <c r="A933" s="9" t="s">
        <v>945</v>
      </c>
      <c r="B933" s="9" t="s">
        <v>988</v>
      </c>
      <c r="C933" s="9" t="s">
        <v>989</v>
      </c>
      <c r="D933" s="7">
        <v>400</v>
      </c>
      <c r="E933" s="9" t="s">
        <v>990</v>
      </c>
      <c r="F933" s="7" t="s">
        <v>1433</v>
      </c>
      <c r="G933" s="7">
        <v>86.7</v>
      </c>
      <c r="H933" s="9" t="s">
        <v>991</v>
      </c>
      <c r="I933" s="9" t="s">
        <v>996</v>
      </c>
      <c r="J933" s="7">
        <v>4</v>
      </c>
      <c r="K933" s="7">
        <v>1299.4222</v>
      </c>
      <c r="L933" s="7"/>
      <c r="M933" s="7" t="str">
        <f>HYPERLINK("http://ms.phosphosite.org:5080/cgi-bin/plot-msms.cgi?MassType=1&amp;NumAxis=1&amp;Mod26=147&amp;Mod33=147&amp;Mod43=147&amp;Mod48=184&amp;Pep=VVQQPPVQPQVQQQQTAVQTAQAAQMVAPGVQMITEALAQGGMHIRAR&amp;Dta=/var/www/html/dta/yong/23617.24407.4.dta&amp;Global_Mod=CS57.0215", "24407")</f>
        <v>24407</v>
      </c>
      <c r="N933" s="10"/>
      <c r="O933" s="10">
        <v>109.23</v>
      </c>
      <c r="P933" s="10"/>
      <c r="Q933" s="10">
        <v>3.403</v>
      </c>
      <c r="R933" s="10"/>
      <c r="S933" s="10">
        <v>2.6781000000000001</v>
      </c>
      <c r="T933" s="10"/>
      <c r="U933" s="10">
        <v>8.4900000000000003E-2</v>
      </c>
      <c r="V933" s="7"/>
      <c r="W933" s="7">
        <v>3</v>
      </c>
      <c r="X933" s="10"/>
      <c r="Y933" s="10">
        <v>1.27</v>
      </c>
      <c r="Z933" s="11"/>
      <c r="AA933" s="11">
        <v>1000</v>
      </c>
      <c r="AB933" s="7" t="s">
        <v>13</v>
      </c>
    </row>
    <row r="934" spans="1:28" s="12" customFormat="1">
      <c r="A934" s="9" t="s">
        <v>945</v>
      </c>
      <c r="B934" s="9" t="s">
        <v>988</v>
      </c>
      <c r="C934" s="9" t="s">
        <v>989</v>
      </c>
      <c r="D934" s="7">
        <v>400</v>
      </c>
      <c r="E934" s="9" t="s">
        <v>990</v>
      </c>
      <c r="F934" s="7" t="s">
        <v>1433</v>
      </c>
      <c r="G934" s="7">
        <v>86.7</v>
      </c>
      <c r="H934" s="9" t="s">
        <v>991</v>
      </c>
      <c r="I934" s="9" t="s">
        <v>996</v>
      </c>
      <c r="J934" s="7">
        <v>4</v>
      </c>
      <c r="K934" s="7">
        <v>1299.4222</v>
      </c>
      <c r="L934" s="7"/>
      <c r="M934" s="7" t="str">
        <f>HYPERLINK("http://ms.phosphosite.org:5080/cgi-bin/plot-msms.cgi?MassType=1&amp;NumAxis=1&amp;Mod26=147&amp;Mod33=147&amp;Mod43=147&amp;Mod48=184&amp;Pep=VVQQPPVQPQVQQQQTAVQTAQAAQMVAPGVQMITEALAQGGMHIRAR&amp;Dta=/var/www/html/dta/yong/23617.24422.4.dta&amp;Global_Mod=CS57.0215", "24422")</f>
        <v>24422</v>
      </c>
      <c r="N934" s="10"/>
      <c r="O934" s="10">
        <v>109.29</v>
      </c>
      <c r="P934" s="10"/>
      <c r="Q934" s="10">
        <v>3.351</v>
      </c>
      <c r="R934" s="10"/>
      <c r="S934" s="10">
        <v>2.5304000000000002</v>
      </c>
      <c r="T934" s="10"/>
      <c r="U934" s="10">
        <v>7.5700000000000003E-2</v>
      </c>
      <c r="V934" s="7"/>
      <c r="W934" s="7">
        <v>12</v>
      </c>
      <c r="X934" s="10"/>
      <c r="Y934" s="10">
        <v>1.21</v>
      </c>
      <c r="Z934" s="11"/>
      <c r="AA934" s="11">
        <v>1000</v>
      </c>
      <c r="AB934" s="7" t="s">
        <v>13</v>
      </c>
    </row>
    <row r="935" spans="1:28" s="12" customFormat="1">
      <c r="A935" s="9" t="s">
        <v>945</v>
      </c>
      <c r="B935" s="9" t="s">
        <v>988</v>
      </c>
      <c r="C935" s="9" t="s">
        <v>989</v>
      </c>
      <c r="D935" s="7">
        <v>400</v>
      </c>
      <c r="E935" s="9" t="s">
        <v>990</v>
      </c>
      <c r="F935" s="7" t="s">
        <v>1433</v>
      </c>
      <c r="G935" s="7">
        <v>86.7</v>
      </c>
      <c r="H935" s="9" t="s">
        <v>991</v>
      </c>
      <c r="I935" s="9" t="s">
        <v>996</v>
      </c>
      <c r="J935" s="7">
        <v>5</v>
      </c>
      <c r="K935" s="7">
        <v>1039.7392</v>
      </c>
      <c r="L935" s="7"/>
      <c r="M935" s="7" t="str">
        <f>HYPERLINK("http://ms.phosphosite.org:5080/cgi-bin/plot-msms.cgi?MassType=1&amp;NumAxis=1&amp;Mod26=147&amp;Mod33=147&amp;Mod43=147&amp;Mod48=184&amp;Pep=VVQQPPVQPQVQQQQTAVQTAQAAQMVAPGVQMITEALAQGGMHIRAR&amp;Dta=/var/www/html/dta/yong/23617.24606.5.dta&amp;Global_Mod=CS57.0215", "24606")</f>
        <v>24606</v>
      </c>
      <c r="N935" s="10"/>
      <c r="O935" s="10">
        <v>110.06</v>
      </c>
      <c r="P935" s="10"/>
      <c r="Q935" s="10">
        <v>5.069</v>
      </c>
      <c r="R935" s="10"/>
      <c r="S935" s="10">
        <v>1.5633999999999999</v>
      </c>
      <c r="T935" s="10"/>
      <c r="U935" s="10">
        <v>0.27579999999999999</v>
      </c>
      <c r="V935" s="7"/>
      <c r="W935" s="7">
        <v>2</v>
      </c>
      <c r="X935" s="10"/>
      <c r="Y935" s="10">
        <v>2.93</v>
      </c>
      <c r="Z935" s="11"/>
      <c r="AA935" s="11">
        <v>1000</v>
      </c>
      <c r="AB935" s="7" t="s">
        <v>13</v>
      </c>
    </row>
    <row r="936" spans="1:28" s="12" customFormat="1">
      <c r="A936" s="3" t="s">
        <v>945</v>
      </c>
      <c r="B936" s="3" t="s">
        <v>988</v>
      </c>
      <c r="C936" s="3" t="s">
        <v>989</v>
      </c>
      <c r="D936" s="4">
        <v>398</v>
      </c>
      <c r="E936" s="3" t="s">
        <v>990</v>
      </c>
      <c r="F936" s="7" t="s">
        <v>1433</v>
      </c>
      <c r="G936" s="4">
        <v>86.7</v>
      </c>
      <c r="H936" s="3" t="s">
        <v>991</v>
      </c>
      <c r="I936" s="3" t="s">
        <v>992</v>
      </c>
      <c r="J936" s="4">
        <v>4</v>
      </c>
      <c r="K936" s="4">
        <v>696.60829999999999</v>
      </c>
      <c r="L936" s="4" t="str">
        <f>HYPERLINK("http://ms.phosphosite.org:5080/cgi-bin/plot-msms.cgi?MassType=1&amp;NumAxis=1&amp;Mod4=147&amp;Mod11=147&amp;Mod21=147&amp;Mod24=184&amp;Pep=AAQMVAPGVQMITEALAQGGMHIRAR&amp;Dta=/var/www/html/dta/yong/23616.19942.4.dta&amp;Global_Mod=CS57.0215", "19942")</f>
        <v>19942</v>
      </c>
      <c r="M936" s="4"/>
      <c r="N936" s="5">
        <v>91.61</v>
      </c>
      <c r="O936" s="5"/>
      <c r="P936" s="5">
        <v>3.04</v>
      </c>
      <c r="Q936" s="5"/>
      <c r="R936" s="5">
        <v>-0.94479999999999997</v>
      </c>
      <c r="S936" s="5"/>
      <c r="T936" s="5">
        <v>0.10390000000000001</v>
      </c>
      <c r="U936" s="5"/>
      <c r="V936" s="4">
        <v>17</v>
      </c>
      <c r="W936" s="4"/>
      <c r="X936" s="5">
        <v>1.49</v>
      </c>
      <c r="Y936" s="5"/>
      <c r="Z936" s="6">
        <v>1000</v>
      </c>
      <c r="AA936" s="6"/>
      <c r="AB936" s="4" t="s">
        <v>13</v>
      </c>
    </row>
    <row r="937" spans="1:28" s="12" customFormat="1">
      <c r="A937" s="3" t="s">
        <v>945</v>
      </c>
      <c r="B937" s="3" t="s">
        <v>988</v>
      </c>
      <c r="C937" s="3" t="s">
        <v>989</v>
      </c>
      <c r="D937" s="4">
        <v>398</v>
      </c>
      <c r="E937" s="3" t="s">
        <v>990</v>
      </c>
      <c r="F937" s="7" t="s">
        <v>1433</v>
      </c>
      <c r="G937" s="4">
        <v>86.7</v>
      </c>
      <c r="H937" s="3" t="s">
        <v>991</v>
      </c>
      <c r="I937" s="3" t="s">
        <v>992</v>
      </c>
      <c r="J937" s="4">
        <v>4</v>
      </c>
      <c r="K937" s="4">
        <v>696.60829999999999</v>
      </c>
      <c r="L937" s="4" t="str">
        <f>HYPERLINK("http://ms.phosphosite.org:5080/cgi-bin/plot-msms.cgi?MassType=1&amp;NumAxis=1&amp;Mod4=147&amp;Mod11=147&amp;Mod21=147&amp;Mod24=184&amp;Pep=AAQMVAPGVQMITEALAQGGMHIRAR&amp;Dta=/var/www/html/dta/yong/23616.20119.4.dta&amp;Global_Mod=CS57.0215", "20119")</f>
        <v>20119</v>
      </c>
      <c r="M937" s="4" t="str">
        <f>HYPERLINK("http://ms.phosphosite.org:5080/cgi-bin/plot-msms.cgi?MassType=1&amp;NumAxis=1&amp;Mod4=147&amp;Mod11=147&amp;Mod21=147&amp;Mod24=184&amp;Pep=AAQMVAPGVQMITEALAQGGMHIRAR&amp;Dta=/var/www/html/dta/yong/23617.20133.4.dta&amp;Global_Mod=CS57.0215", "20133")</f>
        <v>20133</v>
      </c>
      <c r="N937" s="5">
        <v>92.34</v>
      </c>
      <c r="O937" s="5">
        <v>91.71</v>
      </c>
      <c r="P937" s="5">
        <v>3.6869999999999998</v>
      </c>
      <c r="Q937" s="5">
        <v>2.9409999999999998</v>
      </c>
      <c r="R937" s="5">
        <v>1.1329</v>
      </c>
      <c r="S937" s="5">
        <v>2.1497999999999999</v>
      </c>
      <c r="T937" s="5">
        <v>0.29699999999999999</v>
      </c>
      <c r="U937" s="5">
        <v>0.1527</v>
      </c>
      <c r="V937" s="4">
        <v>2</v>
      </c>
      <c r="W937" s="4">
        <v>11</v>
      </c>
      <c r="X937" s="5">
        <v>2.81</v>
      </c>
      <c r="Y937" s="5">
        <v>1.76</v>
      </c>
      <c r="Z937" s="6">
        <v>1000</v>
      </c>
      <c r="AA937" s="6">
        <v>1000</v>
      </c>
      <c r="AB937" s="4" t="s">
        <v>13</v>
      </c>
    </row>
    <row r="938" spans="1:28" s="12" customFormat="1">
      <c r="A938" s="3" t="s">
        <v>945</v>
      </c>
      <c r="B938" s="3" t="s">
        <v>988</v>
      </c>
      <c r="C938" s="3" t="s">
        <v>989</v>
      </c>
      <c r="D938" s="4">
        <v>398</v>
      </c>
      <c r="E938" s="3" t="s">
        <v>990</v>
      </c>
      <c r="F938" s="7" t="s">
        <v>1433</v>
      </c>
      <c r="G938" s="4">
        <v>86.7</v>
      </c>
      <c r="H938" s="3" t="s">
        <v>991</v>
      </c>
      <c r="I938" s="3" t="s">
        <v>993</v>
      </c>
      <c r="J938" s="4">
        <v>5</v>
      </c>
      <c r="K938" s="4">
        <v>1039.7392</v>
      </c>
      <c r="L938" s="4" t="str">
        <f>HYPERLINK("http://ms.phosphosite.org:5080/cgi-bin/plot-msms.cgi?MassType=1&amp;NumAxis=1&amp;Mod26=147&amp;Mod33=147&amp;Mod43=147&amp;Mod46=184&amp;Pep=VVQQPPVQPQVQQQQTAVQTAQAAQMVAPGVQMITEALAQGGMHIRAR&amp;Dta=/var/www/html/dta/yong/23616.24231.5.dta&amp;Global_Mod=CS57.0215", "24231")</f>
        <v>24231</v>
      </c>
      <c r="M938" s="4" t="str">
        <f>HYPERLINK("http://ms.phosphosite.org:5080/cgi-bin/plot-msms.cgi?MassType=1&amp;NumAxis=1&amp;Mod26=147&amp;Mod33=147&amp;Mod43=147&amp;Mod46=184&amp;Pep=VVQQPPVQPQVQQQQTAVQTAQAAQMVAPGVQMITEALAQGGMHIRAR&amp;Dta=/var/www/html/dta/yong/23617.24525.5.dta&amp;Global_Mod=CS57.0215", "24525")</f>
        <v>24525</v>
      </c>
      <c r="N938" s="5">
        <v>109.08</v>
      </c>
      <c r="O938" s="5">
        <v>109.72</v>
      </c>
      <c r="P938" s="5">
        <v>4.5860000000000003</v>
      </c>
      <c r="Q938" s="5">
        <v>4.673</v>
      </c>
      <c r="R938" s="5">
        <v>1.4282999999999999</v>
      </c>
      <c r="S938" s="5">
        <v>1.2777000000000001</v>
      </c>
      <c r="T938" s="5">
        <v>0.1502</v>
      </c>
      <c r="U938" s="5">
        <v>0.29559999999999997</v>
      </c>
      <c r="V938" s="4">
        <v>1</v>
      </c>
      <c r="W938" s="4">
        <v>14</v>
      </c>
      <c r="X938" s="5">
        <v>2.0299999999999998</v>
      </c>
      <c r="Y938" s="5">
        <v>2.92</v>
      </c>
      <c r="Z938" s="6">
        <v>1000</v>
      </c>
      <c r="AA938" s="6">
        <v>1000</v>
      </c>
      <c r="AB938" s="4" t="s">
        <v>13</v>
      </c>
    </row>
    <row r="939" spans="1:28" s="13" customFormat="1">
      <c r="A939" s="3" t="s">
        <v>945</v>
      </c>
      <c r="B939" s="3" t="s">
        <v>988</v>
      </c>
      <c r="C939" s="3" t="s">
        <v>989</v>
      </c>
      <c r="D939" s="4">
        <v>398</v>
      </c>
      <c r="E939" s="3" t="s">
        <v>990</v>
      </c>
      <c r="F939" s="7" t="s">
        <v>1433</v>
      </c>
      <c r="G939" s="4">
        <v>86.7</v>
      </c>
      <c r="H939" s="3" t="s">
        <v>991</v>
      </c>
      <c r="I939" s="3" t="s">
        <v>993</v>
      </c>
      <c r="J939" s="4">
        <v>4</v>
      </c>
      <c r="K939" s="4">
        <v>1299.4222</v>
      </c>
      <c r="L939" s="4"/>
      <c r="M939" s="4" t="str">
        <f>HYPERLINK("http://ms.phosphosite.org:5080/cgi-bin/plot-msms.cgi?MassType=1&amp;NumAxis=1&amp;Mod26=147&amp;Mod33=147&amp;Mod43=147&amp;Mod46=184&amp;Pep=VVQQPPVQPQVQQQQTAVQTAQAAQMVAPGVQMITEALAQGGMHIRAR&amp;Dta=/var/www/html/dta/yong/23617.24364.4.dta&amp;Global_Mod=CS57.0215", "24364")</f>
        <v>24364</v>
      </c>
      <c r="N939" s="5"/>
      <c r="O939" s="5">
        <v>109.06</v>
      </c>
      <c r="P939" s="5"/>
      <c r="Q939" s="5">
        <v>3.0920000000000001</v>
      </c>
      <c r="R939" s="5"/>
      <c r="S939" s="5">
        <v>2.2623000000000002</v>
      </c>
      <c r="T939" s="5"/>
      <c r="U939" s="5">
        <v>0.10639999999999999</v>
      </c>
      <c r="V939" s="4"/>
      <c r="W939" s="4">
        <v>14</v>
      </c>
      <c r="X939" s="5"/>
      <c r="Y939" s="5">
        <v>1.31</v>
      </c>
      <c r="Z939" s="6"/>
      <c r="AA939" s="6">
        <v>1000</v>
      </c>
      <c r="AB939" s="4" t="s">
        <v>13</v>
      </c>
    </row>
    <row r="940" spans="1:28" s="12" customFormat="1">
      <c r="A940" s="3" t="s">
        <v>945</v>
      </c>
      <c r="B940" s="3" t="s">
        <v>988</v>
      </c>
      <c r="C940" s="3" t="s">
        <v>989</v>
      </c>
      <c r="D940" s="4">
        <v>398</v>
      </c>
      <c r="E940" s="3" t="s">
        <v>990</v>
      </c>
      <c r="F940" s="7" t="s">
        <v>1433</v>
      </c>
      <c r="G940" s="4">
        <v>86.7</v>
      </c>
      <c r="H940" s="3" t="s">
        <v>991</v>
      </c>
      <c r="I940" s="3" t="s">
        <v>993</v>
      </c>
      <c r="J940" s="4">
        <v>6</v>
      </c>
      <c r="K940" s="4">
        <v>866.61720000000003</v>
      </c>
      <c r="L940" s="4"/>
      <c r="M940" s="4" t="str">
        <f>HYPERLINK("http://ms.phosphosite.org:5080/cgi-bin/plot-msms.cgi?MassType=1&amp;NumAxis=1&amp;Mod26=147&amp;Mod33=147&amp;Mod43=147&amp;Mod46=184&amp;Pep=VVQQPPVQPQVQQQQTAVQTAQAAQMVAPGVQMITEALAQGGMHIRAR&amp;Dta=/var/www/html/dta/yong/23617.24427.6.dta&amp;Global_Mod=CS57.0215", "24427")</f>
        <v>24427</v>
      </c>
      <c r="N940" s="5"/>
      <c r="O940" s="5">
        <v>109.31</v>
      </c>
      <c r="P940" s="5"/>
      <c r="Q940" s="5">
        <v>3.492</v>
      </c>
      <c r="R940" s="5"/>
      <c r="S940" s="5">
        <v>1.9853000000000001</v>
      </c>
      <c r="T940" s="5"/>
      <c r="U940" s="5">
        <v>0.1071</v>
      </c>
      <c r="V940" s="4"/>
      <c r="W940" s="4">
        <v>11</v>
      </c>
      <c r="X940" s="5"/>
      <c r="Y940" s="5">
        <v>1.48</v>
      </c>
      <c r="Z940" s="6"/>
      <c r="AA940" s="6">
        <v>1000</v>
      </c>
      <c r="AB940" s="4" t="s">
        <v>13</v>
      </c>
    </row>
    <row r="941" spans="1:28" s="12" customFormat="1">
      <c r="A941" s="3" t="s">
        <v>945</v>
      </c>
      <c r="B941" s="3" t="s">
        <v>988</v>
      </c>
      <c r="C941" s="3" t="s">
        <v>989</v>
      </c>
      <c r="D941" s="4">
        <v>398</v>
      </c>
      <c r="E941" s="3" t="s">
        <v>990</v>
      </c>
      <c r="F941" s="7" t="s">
        <v>1433</v>
      </c>
      <c r="G941" s="4">
        <v>86.7</v>
      </c>
      <c r="H941" s="3" t="s">
        <v>991</v>
      </c>
      <c r="I941" s="3" t="s">
        <v>993</v>
      </c>
      <c r="J941" s="4">
        <v>4</v>
      </c>
      <c r="K941" s="4">
        <v>1299.4222</v>
      </c>
      <c r="L941" s="4"/>
      <c r="M941" s="4" t="str">
        <f>HYPERLINK("http://ms.phosphosite.org:5080/cgi-bin/plot-msms.cgi?MassType=1&amp;NumAxis=1&amp;Mod26=147&amp;Mod33=147&amp;Mod43=147&amp;Mod46=184&amp;Pep=VVQQPPVQPQVQQQQTAVQTAQAAQMVAPGVQMITEALAQGGMHIRAR&amp;Dta=/var/www/html/dta/yong/23617.24593.4.dta&amp;Global_Mod=CS57.0215", "24593")</f>
        <v>24593</v>
      </c>
      <c r="N941" s="5"/>
      <c r="O941" s="5">
        <v>110</v>
      </c>
      <c r="P941" s="5"/>
      <c r="Q941" s="5">
        <v>3.3839999999999999</v>
      </c>
      <c r="R941" s="5"/>
      <c r="S941" s="5">
        <v>2.8883999999999999</v>
      </c>
      <c r="T941" s="5"/>
      <c r="U941" s="5">
        <v>0.1784</v>
      </c>
      <c r="V941" s="4"/>
      <c r="W941" s="4">
        <v>288</v>
      </c>
      <c r="X941" s="5"/>
      <c r="Y941" s="5">
        <v>1.64</v>
      </c>
      <c r="Z941" s="6"/>
      <c r="AA941" s="6">
        <v>1000</v>
      </c>
      <c r="AB941" s="4" t="s">
        <v>13</v>
      </c>
    </row>
    <row r="942" spans="1:28" s="12" customFormat="1">
      <c r="A942" s="3" t="s">
        <v>945</v>
      </c>
      <c r="B942" s="3" t="s">
        <v>988</v>
      </c>
      <c r="C942" s="3" t="s">
        <v>989</v>
      </c>
      <c r="D942" s="4">
        <v>398</v>
      </c>
      <c r="E942" s="3" t="s">
        <v>990</v>
      </c>
      <c r="F942" s="7" t="s">
        <v>1433</v>
      </c>
      <c r="G942" s="4">
        <v>86.7</v>
      </c>
      <c r="H942" s="3" t="s">
        <v>991</v>
      </c>
      <c r="I942" s="3" t="s">
        <v>993</v>
      </c>
      <c r="J942" s="4">
        <v>5</v>
      </c>
      <c r="K942" s="4">
        <v>1039.7392</v>
      </c>
      <c r="L942" s="4"/>
      <c r="M942" s="4" t="str">
        <f>HYPERLINK("http://ms.phosphosite.org:5080/cgi-bin/plot-msms.cgi?MassType=1&amp;NumAxis=1&amp;Mod26=147&amp;Mod33=147&amp;Mod43=147&amp;Mod46=184&amp;Pep=VVQQPPVQPQVQQQQTAVQTAQAAQMVAPGVQMITEALAQGGMHIRAR&amp;Dta=/var/www/html/dta/yong/23617.24673.5.dta&amp;Global_Mod=CS57.0215", "24673")</f>
        <v>24673</v>
      </c>
      <c r="N942" s="5"/>
      <c r="O942" s="5">
        <v>110.31</v>
      </c>
      <c r="P942" s="5"/>
      <c r="Q942" s="5">
        <v>4.7469999999999999</v>
      </c>
      <c r="R942" s="5"/>
      <c r="S942" s="5">
        <v>1.0620000000000001</v>
      </c>
      <c r="T942" s="5"/>
      <c r="U942" s="5">
        <v>0.2475</v>
      </c>
      <c r="V942" s="4"/>
      <c r="W942" s="4">
        <v>48</v>
      </c>
      <c r="X942" s="5"/>
      <c r="Y942" s="5">
        <v>2.67</v>
      </c>
      <c r="Z942" s="6"/>
      <c r="AA942" s="6">
        <v>1000</v>
      </c>
      <c r="AB942" s="4" t="s">
        <v>13</v>
      </c>
    </row>
    <row r="943" spans="1:28" s="12" customFormat="1">
      <c r="A943" s="3" t="s">
        <v>945</v>
      </c>
      <c r="B943" s="3" t="s">
        <v>1696</v>
      </c>
      <c r="C943" s="3" t="s">
        <v>1697</v>
      </c>
      <c r="D943" s="4">
        <v>349</v>
      </c>
      <c r="E943" s="3" t="s">
        <v>990</v>
      </c>
      <c r="F943" s="7" t="s">
        <v>1433</v>
      </c>
      <c r="G943" s="4">
        <v>86.7</v>
      </c>
      <c r="H943" s="3" t="s">
        <v>997</v>
      </c>
      <c r="I943" s="3" t="s">
        <v>999</v>
      </c>
      <c r="J943" s="4">
        <v>2</v>
      </c>
      <c r="K943" s="4">
        <v>933.00869999999998</v>
      </c>
      <c r="L943" s="4" t="str">
        <f>HYPERLINK("http://ms.phosphosite.org:5080/cgi-bin/plot-msms.cgi?MassType=1&amp;NumAxis=1&amp;Mod3=184&amp;Mod6=147&amp;Pep=FVRAPMVVQQPPVQPQ&amp;Dta=/var/www/html/dta/yong/23616.11831.2.dta&amp;Global_Mod=CS57.0215", "11831")</f>
        <v>11831</v>
      </c>
      <c r="M943" s="4" t="str">
        <f>HYPERLINK("http://ms.phosphosite.org:5080/cgi-bin/plot-msms.cgi?MassType=1&amp;NumAxis=1&amp;Mod3=184&amp;Mod6=147&amp;Pep=FVRAPMVVQQPPVQPQ&amp;Dta=/var/www/html/dta/yong/23617.11953.2.dta&amp;Global_Mod=CS57.0215", "11953")</f>
        <v>11953</v>
      </c>
      <c r="N943" s="5">
        <v>56.89</v>
      </c>
      <c r="O943" s="5">
        <v>56.85</v>
      </c>
      <c r="P943" s="5">
        <v>2.97</v>
      </c>
      <c r="Q943" s="5">
        <v>3.32</v>
      </c>
      <c r="R943" s="5">
        <v>1.2202</v>
      </c>
      <c r="S943" s="5">
        <v>1.2608999999999999</v>
      </c>
      <c r="T943" s="5">
        <v>0.30380000000000001</v>
      </c>
      <c r="U943" s="5">
        <v>0.33750000000000002</v>
      </c>
      <c r="V943" s="4">
        <v>2</v>
      </c>
      <c r="W943" s="4">
        <v>1</v>
      </c>
      <c r="X943" s="5">
        <v>2.7</v>
      </c>
      <c r="Y943" s="5">
        <v>3.05</v>
      </c>
      <c r="Z943" s="6">
        <v>1000</v>
      </c>
      <c r="AA943" s="6">
        <v>1000</v>
      </c>
      <c r="AB943" s="4" t="s">
        <v>13</v>
      </c>
    </row>
    <row r="944" spans="1:28" s="12" customFormat="1">
      <c r="A944" s="3" t="s">
        <v>945</v>
      </c>
      <c r="B944" s="3" t="s">
        <v>1696</v>
      </c>
      <c r="C944" s="3" t="s">
        <v>1697</v>
      </c>
      <c r="D944" s="4">
        <v>349</v>
      </c>
      <c r="E944" s="3" t="s">
        <v>990</v>
      </c>
      <c r="F944" s="7" t="s">
        <v>1433</v>
      </c>
      <c r="G944" s="4">
        <v>86.7</v>
      </c>
      <c r="H944" s="3" t="s">
        <v>997</v>
      </c>
      <c r="I944" s="3" t="s">
        <v>1001</v>
      </c>
      <c r="J944" s="4">
        <v>3</v>
      </c>
      <c r="K944" s="4">
        <v>826.10919999999999</v>
      </c>
      <c r="L944" s="4" t="str">
        <f>HYPERLINK("http://ms.phosphosite.org:5080/cgi-bin/plot-msms.cgi?MassType=1&amp;NumAxis=1&amp;Mod3=184&amp;Mod6=147&amp;Pep=FVRAPMVVQQPPVQPQVQQQQ&amp;Dta=/var/www/html/dta/yong/23616.12434.3.dta&amp;Global_Mod=CS57.0215", "12434")</f>
        <v>12434</v>
      </c>
      <c r="M944" s="4"/>
      <c r="N944" s="5">
        <v>59.5</v>
      </c>
      <c r="O944" s="5"/>
      <c r="P944" s="5">
        <v>4.1950000000000003</v>
      </c>
      <c r="Q944" s="5"/>
      <c r="R944" s="5">
        <v>-0.67949999999999999</v>
      </c>
      <c r="S944" s="5"/>
      <c r="T944" s="5">
        <v>0.32629999999999998</v>
      </c>
      <c r="U944" s="5"/>
      <c r="V944" s="4">
        <v>1</v>
      </c>
      <c r="W944" s="4"/>
      <c r="X944" s="5">
        <v>3.13</v>
      </c>
      <c r="Y944" s="5"/>
      <c r="Z944" s="6">
        <v>1000</v>
      </c>
      <c r="AA944" s="6"/>
      <c r="AB944" s="4" t="s">
        <v>13</v>
      </c>
    </row>
    <row r="945" spans="1:28" s="12" customFormat="1">
      <c r="A945" s="3" t="s">
        <v>945</v>
      </c>
      <c r="B945" s="3" t="s">
        <v>1696</v>
      </c>
      <c r="C945" s="3" t="s">
        <v>1697</v>
      </c>
      <c r="D945" s="4">
        <v>349</v>
      </c>
      <c r="E945" s="3" t="s">
        <v>990</v>
      </c>
      <c r="F945" s="7" t="s">
        <v>1433</v>
      </c>
      <c r="G945" s="4">
        <v>86.7</v>
      </c>
      <c r="H945" s="3" t="s">
        <v>997</v>
      </c>
      <c r="I945" s="3" t="s">
        <v>1002</v>
      </c>
      <c r="J945" s="4">
        <v>3</v>
      </c>
      <c r="K945" s="4">
        <v>859.79169999999999</v>
      </c>
      <c r="L945" s="4" t="str">
        <f>HYPERLINK("http://ms.phosphosite.org:5080/cgi-bin/plot-msms.cgi?MassType=1&amp;NumAxis=1&amp;Mod3=184&amp;Mod6=147&amp;Pep=FVRAPMVVQQPPVQPQVQQQQT&amp;Dta=/var/www/html/dta/yong/23616.12546.3.dta&amp;Global_Mod=CS57.0215", "12546")</f>
        <v>12546</v>
      </c>
      <c r="M945" s="4" t="str">
        <f>HYPERLINK("http://ms.phosphosite.org:5080/cgi-bin/plot-msms.cgi?MassType=1&amp;NumAxis=1&amp;Mod3=184&amp;Mod6=147&amp;Pep=FVRAPMVVQQPPVQPQVQQQQT&amp;Dta=/var/www/html/dta/yong/23617.12659.3.dta&amp;Global_Mod=CS57.0215", "12659")</f>
        <v>12659</v>
      </c>
      <c r="N945" s="5">
        <v>59.96</v>
      </c>
      <c r="O945" s="5">
        <v>59.86</v>
      </c>
      <c r="P945" s="5">
        <v>4.4459999999999997</v>
      </c>
      <c r="Q945" s="5">
        <v>4.6849999999999996</v>
      </c>
      <c r="R945" s="5">
        <v>1.8127</v>
      </c>
      <c r="S945" s="5">
        <v>2.0367999999999999</v>
      </c>
      <c r="T945" s="5">
        <v>0.3266</v>
      </c>
      <c r="U945" s="5">
        <v>0.28699999999999998</v>
      </c>
      <c r="V945" s="4">
        <v>1</v>
      </c>
      <c r="W945" s="4">
        <v>2</v>
      </c>
      <c r="X945" s="5">
        <v>3.18</v>
      </c>
      <c r="Y945" s="5">
        <v>3.09</v>
      </c>
      <c r="Z945" s="6">
        <v>1000</v>
      </c>
      <c r="AA945" s="6">
        <v>1000</v>
      </c>
      <c r="AB945" s="4" t="s">
        <v>13</v>
      </c>
    </row>
    <row r="946" spans="1:28" s="12" customFormat="1">
      <c r="A946" s="3" t="s">
        <v>945</v>
      </c>
      <c r="B946" s="3" t="s">
        <v>1696</v>
      </c>
      <c r="C946" s="3" t="s">
        <v>1697</v>
      </c>
      <c r="D946" s="4">
        <v>349</v>
      </c>
      <c r="E946" s="3" t="s">
        <v>990</v>
      </c>
      <c r="F946" s="7" t="s">
        <v>1433</v>
      </c>
      <c r="G946" s="4">
        <v>86.7</v>
      </c>
      <c r="H946" s="3" t="s">
        <v>997</v>
      </c>
      <c r="I946" s="3" t="s">
        <v>1000</v>
      </c>
      <c r="J946" s="4">
        <v>3</v>
      </c>
      <c r="K946" s="4">
        <v>783.423</v>
      </c>
      <c r="L946" s="4" t="str">
        <f>HYPERLINK("http://ms.phosphosite.org:5080/cgi-bin/plot-msms.cgi?MassType=1&amp;NumAxis=1&amp;Mod3=184&amp;Mod6=147&amp;Pep=FVRAPMVVQQPPVQPQVQQQ&amp;Dta=/var/www/html/dta/yong/23616.12556.3.dta&amp;Global_Mod=CS57.0215", "12556")</f>
        <v>12556</v>
      </c>
      <c r="M946" s="4" t="str">
        <f>HYPERLINK("http://ms.phosphosite.org:5080/cgi-bin/plot-msms.cgi?MassType=1&amp;NumAxis=1&amp;Mod3=184&amp;Mod6=147&amp;Pep=FVRAPMVVQQPPVQPQVQQQ&amp;Dta=/var/www/html/dta/yong/23617.12652.3.dta&amp;Global_Mod=CS57.0215", "12652")</f>
        <v>12652</v>
      </c>
      <c r="N946" s="5">
        <v>60</v>
      </c>
      <c r="O946" s="5">
        <v>59.83</v>
      </c>
      <c r="P946" s="5">
        <v>4.9980000000000002</v>
      </c>
      <c r="Q946" s="5">
        <v>4.8559999999999999</v>
      </c>
      <c r="R946" s="5">
        <v>1.4875</v>
      </c>
      <c r="S946" s="5">
        <v>1.0980000000000001</v>
      </c>
      <c r="T946" s="5">
        <v>0.4415</v>
      </c>
      <c r="U946" s="5">
        <v>0.39979999999999999</v>
      </c>
      <c r="V946" s="4">
        <v>1</v>
      </c>
      <c r="W946" s="4">
        <v>1</v>
      </c>
      <c r="X946" s="5">
        <v>4.03</v>
      </c>
      <c r="Y946" s="5">
        <v>3.85</v>
      </c>
      <c r="Z946" s="6">
        <v>1000</v>
      </c>
      <c r="AA946" s="6">
        <v>1000</v>
      </c>
      <c r="AB946" s="4" t="s">
        <v>13</v>
      </c>
    </row>
    <row r="947" spans="1:28" s="12" customFormat="1">
      <c r="A947" s="3" t="s">
        <v>945</v>
      </c>
      <c r="B947" s="3" t="s">
        <v>1696</v>
      </c>
      <c r="C947" s="3" t="s">
        <v>1697</v>
      </c>
      <c r="D947" s="4">
        <v>349</v>
      </c>
      <c r="E947" s="3" t="s">
        <v>990</v>
      </c>
      <c r="F947" s="7" t="s">
        <v>1433</v>
      </c>
      <c r="G947" s="4">
        <v>86.7</v>
      </c>
      <c r="H947" s="3" t="s">
        <v>997</v>
      </c>
      <c r="I947" s="3" t="s">
        <v>1000</v>
      </c>
      <c r="J947" s="4">
        <v>3</v>
      </c>
      <c r="K947" s="4">
        <v>783.423</v>
      </c>
      <c r="L947" s="4" t="str">
        <f>HYPERLINK("http://ms.phosphosite.org:5080/cgi-bin/plot-msms.cgi?MassType=1&amp;NumAxis=1&amp;Mod3=184&amp;Mod6=147&amp;Pep=FVRAPMVVQQPPVQPQVQQQ&amp;Dta=/var/www/html/dta/yong/23616.12601.3.dta&amp;Global_Mod=CS57.0215", "12601")</f>
        <v>12601</v>
      </c>
      <c r="M947" s="4" t="str">
        <f>HYPERLINK("http://ms.phosphosite.org:5080/cgi-bin/plot-msms.cgi?MassType=1&amp;NumAxis=1&amp;Mod3=184&amp;Mod6=147&amp;Pep=FVRAPMVVQQPPVQPQVQQQ&amp;Dta=/var/www/html/dta/yong/23617.12725.3.dta&amp;Global_Mod=CS57.0215", "12725")</f>
        <v>12725</v>
      </c>
      <c r="N947" s="5">
        <v>60.19</v>
      </c>
      <c r="O947" s="5">
        <v>60.15</v>
      </c>
      <c r="P947" s="5">
        <v>3.5920000000000001</v>
      </c>
      <c r="Q947" s="5">
        <v>2.7930000000000001</v>
      </c>
      <c r="R947" s="5">
        <v>1.4875</v>
      </c>
      <c r="S947" s="5">
        <v>0.81220000000000003</v>
      </c>
      <c r="T947" s="5">
        <v>0.30330000000000001</v>
      </c>
      <c r="U947" s="5">
        <v>0.1208</v>
      </c>
      <c r="V947" s="4">
        <v>1</v>
      </c>
      <c r="W947" s="4">
        <v>5</v>
      </c>
      <c r="X947" s="5">
        <v>2.84</v>
      </c>
      <c r="Y947" s="5">
        <v>1.66</v>
      </c>
      <c r="Z947" s="6">
        <v>1000</v>
      </c>
      <c r="AA947" s="6">
        <v>1000</v>
      </c>
      <c r="AB947" s="4" t="s">
        <v>13</v>
      </c>
    </row>
    <row r="948" spans="1:28" s="12" customFormat="1">
      <c r="A948" s="3" t="s">
        <v>945</v>
      </c>
      <c r="B948" s="3" t="s">
        <v>1696</v>
      </c>
      <c r="C948" s="3" t="s">
        <v>1697</v>
      </c>
      <c r="D948" s="4">
        <v>349</v>
      </c>
      <c r="E948" s="3" t="s">
        <v>990</v>
      </c>
      <c r="F948" s="7" t="s">
        <v>1433</v>
      </c>
      <c r="G948" s="4">
        <v>86.7</v>
      </c>
      <c r="H948" s="3" t="s">
        <v>997</v>
      </c>
      <c r="I948" s="3" t="s">
        <v>1003</v>
      </c>
      <c r="J948" s="4">
        <v>3</v>
      </c>
      <c r="K948" s="4">
        <v>1059.2275</v>
      </c>
      <c r="L948" s="4" t="str">
        <f>HYPERLINK("http://ms.phosphosite.org:5080/cgi-bin/plot-msms.cgi?MassType=1&amp;NumAxis=1&amp;Mod3=184&amp;Mod6=147&amp;Pep=FVRAPMVVQQPPVQPQVQQQQTAVQTAQ&amp;Dta=/var/www/html/dta/yong/23616.13286.3.dta&amp;Global_Mod=CS57.0215", "13286")</f>
        <v>13286</v>
      </c>
      <c r="M948" s="4" t="str">
        <f>HYPERLINK("http://ms.phosphosite.org:5080/cgi-bin/plot-msms.cgi?MassType=1&amp;NumAxis=1&amp;Mod3=184&amp;Mod6=147&amp;Pep=FVRAPMVVQQPPVQPQVQQQQTAVQTAQ&amp;Dta=/var/www/html/dta/yong/23617.13416.3.dta&amp;Global_Mod=CS57.0215", "13416")</f>
        <v>13416</v>
      </c>
      <c r="N948" s="5">
        <v>63.21</v>
      </c>
      <c r="O948" s="5">
        <v>63.04</v>
      </c>
      <c r="P948" s="5">
        <v>4.4930000000000003</v>
      </c>
      <c r="Q948" s="5">
        <v>5.3380000000000001</v>
      </c>
      <c r="R948" s="5">
        <v>0.93089999999999995</v>
      </c>
      <c r="S948" s="5">
        <v>1.4478</v>
      </c>
      <c r="T948" s="5">
        <v>0.32919999999999999</v>
      </c>
      <c r="U948" s="5">
        <v>0.35709999999999997</v>
      </c>
      <c r="V948" s="4">
        <v>1</v>
      </c>
      <c r="W948" s="4">
        <v>1</v>
      </c>
      <c r="X948" s="5">
        <v>3.2</v>
      </c>
      <c r="Y948" s="5">
        <v>3.66</v>
      </c>
      <c r="Z948" s="6">
        <v>1000</v>
      </c>
      <c r="AA948" s="6">
        <v>1000</v>
      </c>
      <c r="AB948" s="4" t="s">
        <v>13</v>
      </c>
    </row>
    <row r="949" spans="1:28" s="12" customFormat="1">
      <c r="A949" s="3" t="s">
        <v>945</v>
      </c>
      <c r="B949" s="3" t="s">
        <v>1696</v>
      </c>
      <c r="C949" s="3" t="s">
        <v>1697</v>
      </c>
      <c r="D949" s="4">
        <v>349</v>
      </c>
      <c r="E949" s="3" t="s">
        <v>990</v>
      </c>
      <c r="F949" s="7" t="s">
        <v>1433</v>
      </c>
      <c r="G949" s="4">
        <v>86.7</v>
      </c>
      <c r="H949" s="3" t="s">
        <v>997</v>
      </c>
      <c r="I949" s="3" t="s">
        <v>1003</v>
      </c>
      <c r="J949" s="4">
        <v>3</v>
      </c>
      <c r="K949" s="4">
        <v>1059.2275</v>
      </c>
      <c r="L949" s="4" t="str">
        <f>HYPERLINK("http://ms.phosphosite.org:5080/cgi-bin/plot-msms.cgi?MassType=1&amp;NumAxis=1&amp;Mod3=184&amp;Mod6=147&amp;Pep=FVRAPMVVQQPPVQPQVQQQQTAVQTAQ&amp;Dta=/var/www/html/dta/yong/23616.13301.3.dta&amp;Global_Mod=CS57.0215", "13301")</f>
        <v>13301</v>
      </c>
      <c r="M949" s="4" t="str">
        <f>HYPERLINK("http://ms.phosphosite.org:5080/cgi-bin/plot-msms.cgi?MassType=1&amp;NumAxis=1&amp;Mod3=184&amp;Mod6=147&amp;Pep=FVRAPMVVQQPPVQPQVQQQQTAVQTAQ&amp;Dta=/var/www/html/dta/yong/23617.13510.3.dta&amp;Global_Mod=CS57.0215", "13510")</f>
        <v>13510</v>
      </c>
      <c r="N949" s="5">
        <v>63.27</v>
      </c>
      <c r="O949" s="5">
        <v>63.44</v>
      </c>
      <c r="P949" s="5">
        <v>5.3460000000000001</v>
      </c>
      <c r="Q949" s="5">
        <v>4.0890000000000004</v>
      </c>
      <c r="R949" s="5">
        <v>1.4863</v>
      </c>
      <c r="S949" s="5">
        <v>1.3480000000000001</v>
      </c>
      <c r="T949" s="5">
        <v>0.32150000000000001</v>
      </c>
      <c r="U949" s="5">
        <v>0.35499999999999998</v>
      </c>
      <c r="V949" s="4">
        <v>1</v>
      </c>
      <c r="W949" s="4">
        <v>1</v>
      </c>
      <c r="X949" s="5">
        <v>3.37</v>
      </c>
      <c r="Y949" s="5">
        <v>3.27</v>
      </c>
      <c r="Z949" s="6">
        <v>1000</v>
      </c>
      <c r="AA949" s="6">
        <v>1000</v>
      </c>
      <c r="AB949" s="4" t="s">
        <v>13</v>
      </c>
    </row>
    <row r="950" spans="1:28" s="12" customFormat="1">
      <c r="A950" s="3" t="s">
        <v>945</v>
      </c>
      <c r="B950" s="3" t="s">
        <v>1696</v>
      </c>
      <c r="C950" s="3" t="s">
        <v>1697</v>
      </c>
      <c r="D950" s="4">
        <v>349</v>
      </c>
      <c r="E950" s="3" t="s">
        <v>990</v>
      </c>
      <c r="F950" s="7" t="s">
        <v>1433</v>
      </c>
      <c r="G950" s="4">
        <v>86.7</v>
      </c>
      <c r="H950" s="3" t="s">
        <v>997</v>
      </c>
      <c r="I950" s="3" t="s">
        <v>1003</v>
      </c>
      <c r="J950" s="4">
        <v>4</v>
      </c>
      <c r="K950" s="4">
        <v>794.67250000000001</v>
      </c>
      <c r="L950" s="4" t="str">
        <f>HYPERLINK("http://ms.phosphosite.org:5080/cgi-bin/plot-msms.cgi?MassType=1&amp;NumAxis=1&amp;Mod3=184&amp;Mod6=147&amp;Pep=FVRAPMVVQQPPVQPQVQQQQTAVQTAQ&amp;Dta=/var/www/html/dta/yong/23616.13308.4.dta&amp;Global_Mod=CS57.0215", "13308")</f>
        <v>13308</v>
      </c>
      <c r="M950" s="4" t="str">
        <f>HYPERLINK("http://ms.phosphosite.org:5080/cgi-bin/plot-msms.cgi?MassType=1&amp;NumAxis=1&amp;Mod3=184&amp;Mod6=147&amp;Pep=FVRAPMVVQQPPVQPQVQQQQTAVQTAQ&amp;Dta=/var/www/html/dta/yong/23617.13448.4.dta&amp;Global_Mod=CS57.0215", "13448")</f>
        <v>13448</v>
      </c>
      <c r="N950" s="5">
        <v>63.31</v>
      </c>
      <c r="O950" s="5">
        <v>63.17</v>
      </c>
      <c r="P950" s="5">
        <v>3.59</v>
      </c>
      <c r="Q950" s="5">
        <v>4.4800000000000004</v>
      </c>
      <c r="R950" s="5">
        <v>0.85189999999999999</v>
      </c>
      <c r="S950" s="5">
        <v>0.51119999999999999</v>
      </c>
      <c r="T950" s="5">
        <v>8.2400000000000001E-2</v>
      </c>
      <c r="U950" s="5">
        <v>0.29920000000000002</v>
      </c>
      <c r="V950" s="4">
        <v>6</v>
      </c>
      <c r="W950" s="4">
        <v>1</v>
      </c>
      <c r="X950" s="5">
        <v>1.56</v>
      </c>
      <c r="Y950" s="5">
        <v>3.12</v>
      </c>
      <c r="Z950" s="6">
        <v>1000</v>
      </c>
      <c r="AA950" s="6">
        <v>1000</v>
      </c>
      <c r="AB950" s="4" t="s">
        <v>13</v>
      </c>
    </row>
    <row r="951" spans="1:28" s="12" customFormat="1">
      <c r="A951" s="3" t="s">
        <v>945</v>
      </c>
      <c r="B951" s="3" t="s">
        <v>1696</v>
      </c>
      <c r="C951" s="3" t="s">
        <v>1697</v>
      </c>
      <c r="D951" s="4">
        <v>349</v>
      </c>
      <c r="E951" s="3" t="s">
        <v>990</v>
      </c>
      <c r="F951" s="7" t="s">
        <v>1433</v>
      </c>
      <c r="G951" s="4">
        <v>86.7</v>
      </c>
      <c r="H951" s="3" t="s">
        <v>997</v>
      </c>
      <c r="I951" s="3" t="s">
        <v>1003</v>
      </c>
      <c r="J951" s="4">
        <v>4</v>
      </c>
      <c r="K951" s="4">
        <v>794.67250000000001</v>
      </c>
      <c r="L951" s="4" t="str">
        <f>HYPERLINK("http://ms.phosphosite.org:5080/cgi-bin/plot-msms.cgi?MassType=1&amp;NumAxis=1&amp;Mod3=184&amp;Mod6=147&amp;Pep=FVRAPMVVQQPPVQPQVQQQQTAVQTAQ&amp;Dta=/var/www/html/dta/yong/23616.13321.4.dta&amp;Global_Mod=CS57.0215", "13321")</f>
        <v>13321</v>
      </c>
      <c r="M951" s="4"/>
      <c r="N951" s="5">
        <v>63.36</v>
      </c>
      <c r="O951" s="5"/>
      <c r="P951" s="5">
        <v>3.2719999999999998</v>
      </c>
      <c r="Q951" s="5"/>
      <c r="R951" s="5">
        <v>0.85189999999999999</v>
      </c>
      <c r="S951" s="5"/>
      <c r="T951" s="5">
        <v>7.0999999999999994E-2</v>
      </c>
      <c r="U951" s="5"/>
      <c r="V951" s="4">
        <v>1</v>
      </c>
      <c r="W951" s="4"/>
      <c r="X951" s="5">
        <v>1.4</v>
      </c>
      <c r="Y951" s="5"/>
      <c r="Z951" s="6">
        <v>1000</v>
      </c>
      <c r="AA951" s="6"/>
      <c r="AB951" s="4" t="s">
        <v>13</v>
      </c>
    </row>
    <row r="952" spans="1:28" s="12" customFormat="1">
      <c r="A952" s="3" t="s">
        <v>945</v>
      </c>
      <c r="B952" s="3" t="s">
        <v>1696</v>
      </c>
      <c r="C952" s="3" t="s">
        <v>1697</v>
      </c>
      <c r="D952" s="4">
        <v>349</v>
      </c>
      <c r="E952" s="3" t="s">
        <v>990</v>
      </c>
      <c r="F952" s="7" t="s">
        <v>1433</v>
      </c>
      <c r="G952" s="4">
        <v>86.7</v>
      </c>
      <c r="H952" s="3" t="s">
        <v>997</v>
      </c>
      <c r="I952" s="3" t="s">
        <v>998</v>
      </c>
      <c r="J952" s="4">
        <v>2</v>
      </c>
      <c r="K952" s="4">
        <v>382.70979999999997</v>
      </c>
      <c r="L952" s="4" t="str">
        <f>HYPERLINK("http://ms.phosphosite.org:5080/cgi-bin/plot-msms.cgi?MassType=1&amp;NumAxis=1&amp;Mod3=184&amp;Mod6=147&amp;Pep=FVRAPM&amp;Dta=/var/www/html/dta/yong/23616.3982.2.dta&amp;Global_Mod=CS57.0215", "3982")</f>
        <v>3982</v>
      </c>
      <c r="M952" s="4" t="str">
        <f>HYPERLINK("http://ms.phosphosite.org:5080/cgi-bin/plot-msms.cgi?MassType=1&amp;NumAxis=1&amp;Mod3=184&amp;Mod6=147&amp;Pep=FVRAPM&amp;Dta=/var/www/html/dta/yong/23617.4215.2.dta&amp;Global_Mod=CS57.0215", "4215")</f>
        <v>4215</v>
      </c>
      <c r="N952" s="5">
        <v>23.95</v>
      </c>
      <c r="O952" s="5">
        <v>24.61</v>
      </c>
      <c r="P952" s="5">
        <v>1.98</v>
      </c>
      <c r="Q952" s="5">
        <v>2.0369999999999999</v>
      </c>
      <c r="R952" s="5">
        <v>-8.0199999999999994E-2</v>
      </c>
      <c r="S952" s="5">
        <v>0.13769999999999999</v>
      </c>
      <c r="T952" s="5">
        <v>0.1008</v>
      </c>
      <c r="U952" s="5">
        <v>0.16669999999999999</v>
      </c>
      <c r="V952" s="4">
        <v>1</v>
      </c>
      <c r="W952" s="4">
        <v>1</v>
      </c>
      <c r="X952" s="5">
        <v>1.37</v>
      </c>
      <c r="Y952" s="5">
        <v>1.83</v>
      </c>
      <c r="Z952" s="6">
        <v>1000</v>
      </c>
      <c r="AA952" s="6">
        <v>1000</v>
      </c>
      <c r="AB952" s="4" t="s">
        <v>13</v>
      </c>
    </row>
    <row r="953" spans="1:28" s="12" customFormat="1">
      <c r="A953" s="3" t="s">
        <v>945</v>
      </c>
      <c r="B953" s="3" t="s">
        <v>1696</v>
      </c>
      <c r="C953" s="3" t="s">
        <v>1697</v>
      </c>
      <c r="D953" s="4">
        <v>349</v>
      </c>
      <c r="E953" s="3" t="s">
        <v>990</v>
      </c>
      <c r="F953" s="7" t="s">
        <v>1433</v>
      </c>
      <c r="G953" s="4">
        <v>86.7</v>
      </c>
      <c r="H953" s="3" t="s">
        <v>997</v>
      </c>
      <c r="I953" s="3" t="s">
        <v>998</v>
      </c>
      <c r="J953" s="4">
        <v>2</v>
      </c>
      <c r="K953" s="4">
        <v>382.70979999999997</v>
      </c>
      <c r="L953" s="4" t="str">
        <f>HYPERLINK("http://ms.phosphosite.org:5080/cgi-bin/plot-msms.cgi?MassType=1&amp;NumAxis=1&amp;Mod3=184&amp;Mod6=147&amp;Pep=FVRAPM&amp;Dta=/var/www/html/dta/yong/23616.4210.2.dta&amp;Global_Mod=CS57.0215", "4210")</f>
        <v>4210</v>
      </c>
      <c r="M953" s="4" t="str">
        <f>HYPERLINK("http://ms.phosphosite.org:5080/cgi-bin/plot-msms.cgi?MassType=1&amp;NumAxis=1&amp;Mod3=184&amp;Mod6=147&amp;Pep=FVRAPM&amp;Dta=/var/www/html/dta/yong/23617.4918.2.dta&amp;Global_Mod=CS57.0215", "4918")</f>
        <v>4918</v>
      </c>
      <c r="N953" s="5">
        <v>24.91</v>
      </c>
      <c r="O953" s="5">
        <v>27.6</v>
      </c>
      <c r="P953" s="5">
        <v>1.8120000000000001</v>
      </c>
      <c r="Q953" s="5">
        <v>1.6359999999999999</v>
      </c>
      <c r="R953" s="5">
        <v>0.13039999999999999</v>
      </c>
      <c r="S953" s="5">
        <v>0.38059999999999999</v>
      </c>
      <c r="T953" s="5">
        <v>9.3100000000000002E-2</v>
      </c>
      <c r="U953" s="5">
        <v>8.6499999999999994E-2</v>
      </c>
      <c r="V953" s="4">
        <v>11</v>
      </c>
      <c r="W953" s="4">
        <v>57</v>
      </c>
      <c r="X953" s="5">
        <v>1.28</v>
      </c>
      <c r="Y953" s="5">
        <v>1.24</v>
      </c>
      <c r="Z953" s="6">
        <v>1000</v>
      </c>
      <c r="AA953" s="6">
        <v>1000</v>
      </c>
      <c r="AB953" s="4" t="s">
        <v>13</v>
      </c>
    </row>
    <row r="954" spans="1:28" s="12" customFormat="1">
      <c r="A954" s="3" t="s">
        <v>945</v>
      </c>
      <c r="B954" s="3" t="s">
        <v>1696</v>
      </c>
      <c r="C954" s="3" t="s">
        <v>1697</v>
      </c>
      <c r="D954" s="4">
        <v>349</v>
      </c>
      <c r="E954" s="3" t="s">
        <v>990</v>
      </c>
      <c r="F954" s="7" t="s">
        <v>1433</v>
      </c>
      <c r="G954" s="4">
        <v>86.7</v>
      </c>
      <c r="H954" s="3" t="s">
        <v>997</v>
      </c>
      <c r="I954" s="3" t="s">
        <v>998</v>
      </c>
      <c r="J954" s="4">
        <v>2</v>
      </c>
      <c r="K954" s="4">
        <v>382.70979999999997</v>
      </c>
      <c r="L954" s="4" t="str">
        <f>HYPERLINK("http://ms.phosphosite.org:5080/cgi-bin/plot-msms.cgi?MassType=1&amp;NumAxis=1&amp;Mod3=184&amp;Mod6=147&amp;Pep=FVRAPM&amp;Dta=/var/www/html/dta/yong/23616.4438.2.dta&amp;Global_Mod=CS57.0215", "4438")</f>
        <v>4438</v>
      </c>
      <c r="M954" s="4" t="str">
        <f>HYPERLINK("http://ms.phosphosite.org:5080/cgi-bin/plot-msms.cgi?MassType=1&amp;NumAxis=1&amp;Mod3=184&amp;Mod6=147&amp;Pep=FVRAPM&amp;Dta=/var/www/html/dta/yong/23617.4747.2.dta&amp;Global_Mod=CS57.0215", "4747")</f>
        <v>4747</v>
      </c>
      <c r="N954" s="5">
        <v>25.88</v>
      </c>
      <c r="O954" s="5">
        <v>26.86</v>
      </c>
      <c r="P954" s="5">
        <v>1.893</v>
      </c>
      <c r="Q954" s="5">
        <v>1.859</v>
      </c>
      <c r="R954" s="5">
        <v>0.19439999999999999</v>
      </c>
      <c r="S954" s="5">
        <v>0.50260000000000005</v>
      </c>
      <c r="T954" s="5">
        <v>0.21410000000000001</v>
      </c>
      <c r="U954" s="5">
        <v>0.12239999999999999</v>
      </c>
      <c r="V954" s="4">
        <v>3</v>
      </c>
      <c r="W954" s="4">
        <v>4</v>
      </c>
      <c r="X954" s="5">
        <v>2</v>
      </c>
      <c r="Y954" s="5">
        <v>1.53</v>
      </c>
      <c r="Z954" s="6">
        <v>1000</v>
      </c>
      <c r="AA954" s="6">
        <v>1000</v>
      </c>
      <c r="AB954" s="4" t="s">
        <v>13</v>
      </c>
    </row>
    <row r="955" spans="1:28" s="12" customFormat="1">
      <c r="A955" s="3" t="s">
        <v>945</v>
      </c>
      <c r="B955" s="3" t="s">
        <v>1696</v>
      </c>
      <c r="C955" s="3" t="s">
        <v>1697</v>
      </c>
      <c r="D955" s="4">
        <v>349</v>
      </c>
      <c r="E955" s="3" t="s">
        <v>990</v>
      </c>
      <c r="F955" s="7" t="s">
        <v>1433</v>
      </c>
      <c r="G955" s="4">
        <v>86.7</v>
      </c>
      <c r="H955" s="3" t="s">
        <v>997</v>
      </c>
      <c r="I955" s="3" t="s">
        <v>998</v>
      </c>
      <c r="J955" s="4">
        <v>2</v>
      </c>
      <c r="K955" s="4">
        <v>382.70979999999997</v>
      </c>
      <c r="L955" s="4" t="str">
        <f>HYPERLINK("http://ms.phosphosite.org:5080/cgi-bin/plot-msms.cgi?MassType=1&amp;NumAxis=1&amp;Mod3=184&amp;Mod6=147&amp;Pep=FVRAPM&amp;Dta=/var/www/html/dta/yong/23616.4816.2.dta&amp;Global_Mod=CS57.0215", "4816")</f>
        <v>4816</v>
      </c>
      <c r="M955" s="4" t="str">
        <f>HYPERLINK("http://ms.phosphosite.org:5080/cgi-bin/plot-msms.cgi?MassType=1&amp;NumAxis=1&amp;Mod3=184&amp;Mod6=147&amp;Pep=FVRAPM&amp;Dta=/var/www/html/dta/yong/23617.5579.2.dta&amp;Global_Mod=CS57.0215", "5579")</f>
        <v>5579</v>
      </c>
      <c r="N955" s="5">
        <v>27.55</v>
      </c>
      <c r="O955" s="5">
        <v>30.31</v>
      </c>
      <c r="P955" s="5">
        <v>1.6419999999999999</v>
      </c>
      <c r="Q955" s="5">
        <v>1.452</v>
      </c>
      <c r="R955" s="5">
        <v>0.1416</v>
      </c>
      <c r="S955" s="5">
        <v>0.3795</v>
      </c>
      <c r="T955" s="5">
        <v>0.10879999999999999</v>
      </c>
      <c r="U955" s="5">
        <v>0.1532</v>
      </c>
      <c r="V955" s="4">
        <v>2</v>
      </c>
      <c r="W955" s="4">
        <v>2</v>
      </c>
      <c r="X955" s="5">
        <v>1.33</v>
      </c>
      <c r="Y955" s="5">
        <v>1.59</v>
      </c>
      <c r="Z955" s="6">
        <v>1000</v>
      </c>
      <c r="AA955" s="6">
        <v>1000</v>
      </c>
      <c r="AB955" s="4" t="s">
        <v>13</v>
      </c>
    </row>
    <row r="956" spans="1:28" s="12" customFormat="1">
      <c r="A956" s="3" t="s">
        <v>945</v>
      </c>
      <c r="B956" s="3" t="s">
        <v>1696</v>
      </c>
      <c r="C956" s="3" t="s">
        <v>1697</v>
      </c>
      <c r="D956" s="4">
        <v>349</v>
      </c>
      <c r="E956" s="3" t="s">
        <v>990</v>
      </c>
      <c r="F956" s="7" t="s">
        <v>1433</v>
      </c>
      <c r="G956" s="4">
        <v>86.7</v>
      </c>
      <c r="H956" s="3" t="s">
        <v>997</v>
      </c>
      <c r="I956" s="3" t="s">
        <v>998</v>
      </c>
      <c r="J956" s="4">
        <v>2</v>
      </c>
      <c r="K956" s="4">
        <v>382.70979999999997</v>
      </c>
      <c r="L956" s="4" t="str">
        <f>HYPERLINK("http://ms.phosphosite.org:5080/cgi-bin/plot-msms.cgi?MassType=1&amp;NumAxis=1&amp;Mod3=184&amp;Mod6=147&amp;Pep=FVRAPM&amp;Dta=/var/www/html/dta/yong/23616.4980.2.dta&amp;Global_Mod=CS57.0215", "4980")</f>
        <v>4980</v>
      </c>
      <c r="M956" s="4" t="str">
        <f>HYPERLINK("http://ms.phosphosite.org:5080/cgi-bin/plot-msms.cgi?MassType=1&amp;NumAxis=1&amp;Mod3=184&amp;Mod6=147&amp;Pep=FVRAPM&amp;Dta=/var/www/html/dta/yong/23617.5425.2.dta&amp;Global_Mod=CS57.0215", "5425")</f>
        <v>5425</v>
      </c>
      <c r="N956" s="5">
        <v>28.25</v>
      </c>
      <c r="O956" s="5">
        <v>29.65</v>
      </c>
      <c r="P956" s="5">
        <v>1.5</v>
      </c>
      <c r="Q956" s="5">
        <v>1.4890000000000001</v>
      </c>
      <c r="R956" s="5">
        <v>8.4400000000000003E-2</v>
      </c>
      <c r="S956" s="5">
        <v>0.1142</v>
      </c>
      <c r="T956" s="5">
        <v>0.13239999999999999</v>
      </c>
      <c r="U956" s="5">
        <v>8.5900000000000004E-2</v>
      </c>
      <c r="V956" s="4">
        <v>2</v>
      </c>
      <c r="W956" s="4">
        <v>97</v>
      </c>
      <c r="X956" s="5">
        <v>1.42</v>
      </c>
      <c r="Y956" s="5">
        <v>1.1599999999999999</v>
      </c>
      <c r="Z956" s="6">
        <v>1000</v>
      </c>
      <c r="AA956" s="6">
        <v>1000</v>
      </c>
      <c r="AB956" s="4" t="s">
        <v>13</v>
      </c>
    </row>
    <row r="957" spans="1:28" s="12" customFormat="1">
      <c r="A957" s="3" t="s">
        <v>945</v>
      </c>
      <c r="B957" s="3" t="s">
        <v>1696</v>
      </c>
      <c r="C957" s="3" t="s">
        <v>1697</v>
      </c>
      <c r="D957" s="4">
        <v>349</v>
      </c>
      <c r="E957" s="3" t="s">
        <v>990</v>
      </c>
      <c r="F957" s="7" t="s">
        <v>1433</v>
      </c>
      <c r="G957" s="4">
        <v>86.7</v>
      </c>
      <c r="H957" s="3" t="s">
        <v>997</v>
      </c>
      <c r="I957" s="3" t="s">
        <v>1002</v>
      </c>
      <c r="J957" s="4">
        <v>3</v>
      </c>
      <c r="K957" s="4">
        <v>859.79169999999999</v>
      </c>
      <c r="L957" s="4"/>
      <c r="M957" s="4" t="str">
        <f>HYPERLINK("http://ms.phosphosite.org:5080/cgi-bin/plot-msms.cgi?MassType=1&amp;NumAxis=1&amp;Mod3=184&amp;Mod6=147&amp;Pep=FVRAPMVVQQPPVQPQVQQQQT&amp;Dta=/var/www/html/dta/yong/23617.12684.3.dta&amp;Global_Mod=CS57.0215", "12684")</f>
        <v>12684</v>
      </c>
      <c r="N957" s="5"/>
      <c r="O957" s="5">
        <v>59.97</v>
      </c>
      <c r="P957" s="5"/>
      <c r="Q957" s="5">
        <v>4.0140000000000002</v>
      </c>
      <c r="R957" s="5"/>
      <c r="S957" s="5">
        <v>1.0022</v>
      </c>
      <c r="T957" s="5"/>
      <c r="U957" s="5">
        <v>0.28689999999999999</v>
      </c>
      <c r="V957" s="4"/>
      <c r="W957" s="4">
        <v>1</v>
      </c>
      <c r="X957" s="5"/>
      <c r="Y957" s="5">
        <v>2.94</v>
      </c>
      <c r="Z957" s="6"/>
      <c r="AA957" s="6">
        <v>1000</v>
      </c>
      <c r="AB957" s="4" t="s">
        <v>13</v>
      </c>
    </row>
    <row r="958" spans="1:28" s="13" customFormat="1">
      <c r="A958" s="3" t="s">
        <v>945</v>
      </c>
      <c r="B958" s="3" t="s">
        <v>1696</v>
      </c>
      <c r="C958" s="3" t="s">
        <v>1697</v>
      </c>
      <c r="D958" s="4">
        <v>349</v>
      </c>
      <c r="E958" s="3" t="s">
        <v>990</v>
      </c>
      <c r="F958" s="7" t="s">
        <v>1433</v>
      </c>
      <c r="G958" s="4">
        <v>86.7</v>
      </c>
      <c r="H958" s="3" t="s">
        <v>997</v>
      </c>
      <c r="I958" s="3" t="s">
        <v>1004</v>
      </c>
      <c r="J958" s="4">
        <v>4</v>
      </c>
      <c r="K958" s="4">
        <v>898.96450000000004</v>
      </c>
      <c r="L958" s="4"/>
      <c r="M958" s="4" t="str">
        <f>HYPERLINK("http://ms.phosphosite.org:5080/cgi-bin/plot-msms.cgi?MassType=1&amp;NumAxis=1&amp;Mod3=184&amp;Mod6=147&amp;Mod32=147&amp;Pep=FVRAPMVVQQPPVQPQVQQQQTAVQTAQAAQM&amp;Dta=/var/www/html/dta/yong/23617.14117.4.dta&amp;Global_Mod=CS57.0215", "14117")</f>
        <v>14117</v>
      </c>
      <c r="N958" s="5"/>
      <c r="O958" s="5">
        <v>66.14</v>
      </c>
      <c r="P958" s="5"/>
      <c r="Q958" s="5">
        <v>4.0679999999999996</v>
      </c>
      <c r="R958" s="5"/>
      <c r="S958" s="5">
        <v>-4.1700000000000001E-2</v>
      </c>
      <c r="T958" s="5"/>
      <c r="U958" s="5">
        <v>0.28470000000000001</v>
      </c>
      <c r="V958" s="4"/>
      <c r="W958" s="4">
        <v>6</v>
      </c>
      <c r="X958" s="5"/>
      <c r="Y958" s="5">
        <v>2.86</v>
      </c>
      <c r="Z958" s="6"/>
      <c r="AA958" s="6">
        <v>1000</v>
      </c>
      <c r="AB958" s="4" t="s">
        <v>13</v>
      </c>
    </row>
    <row r="959" spans="1:28" s="13" customFormat="1">
      <c r="A959" s="3" t="s">
        <v>945</v>
      </c>
      <c r="B959" s="3" t="s">
        <v>1696</v>
      </c>
      <c r="C959" s="3" t="s">
        <v>1697</v>
      </c>
      <c r="D959" s="4">
        <v>349</v>
      </c>
      <c r="E959" s="3" t="s">
        <v>990</v>
      </c>
      <c r="F959" s="7" t="s">
        <v>1433</v>
      </c>
      <c r="G959" s="4">
        <v>86.7</v>
      </c>
      <c r="H959" s="3" t="s">
        <v>997</v>
      </c>
      <c r="I959" s="3" t="s">
        <v>998</v>
      </c>
      <c r="J959" s="4">
        <v>2</v>
      </c>
      <c r="K959" s="4">
        <v>382.70979999999997</v>
      </c>
      <c r="L959" s="4"/>
      <c r="M959" s="4" t="str">
        <f>HYPERLINK("http://ms.phosphosite.org:5080/cgi-bin/plot-msms.cgi?MassType=1&amp;NumAxis=1&amp;Mod3=184&amp;Mod6=147&amp;Pep=FVRAPM&amp;Dta=/var/www/html/dta/yong/23617.4061.2.dta&amp;Global_Mod=CS57.0215", "4061")</f>
        <v>4061</v>
      </c>
      <c r="N959" s="5"/>
      <c r="O959" s="5">
        <v>23.92</v>
      </c>
      <c r="P959" s="5"/>
      <c r="Q959" s="5">
        <v>2.0529999999999999</v>
      </c>
      <c r="R959" s="5"/>
      <c r="S959" s="5">
        <v>9.0200000000000002E-2</v>
      </c>
      <c r="T959" s="5"/>
      <c r="U959" s="5">
        <v>0.1613</v>
      </c>
      <c r="V959" s="4"/>
      <c r="W959" s="4">
        <v>2</v>
      </c>
      <c r="X959" s="5"/>
      <c r="Y959" s="5">
        <v>1.81</v>
      </c>
      <c r="Z959" s="6"/>
      <c r="AA959" s="6">
        <v>1000</v>
      </c>
      <c r="AB959" s="4" t="s">
        <v>13</v>
      </c>
    </row>
    <row r="960" spans="1:28" s="13" customFormat="1">
      <c r="A960" s="3" t="s">
        <v>945</v>
      </c>
      <c r="B960" s="3" t="s">
        <v>1696</v>
      </c>
      <c r="C960" s="3" t="s">
        <v>1697</v>
      </c>
      <c r="D960" s="4">
        <v>349</v>
      </c>
      <c r="E960" s="3" t="s">
        <v>990</v>
      </c>
      <c r="F960" s="7" t="s">
        <v>1433</v>
      </c>
      <c r="G960" s="4">
        <v>86.7</v>
      </c>
      <c r="H960" s="3" t="s">
        <v>997</v>
      </c>
      <c r="I960" s="3" t="s">
        <v>998</v>
      </c>
      <c r="J960" s="4">
        <v>2</v>
      </c>
      <c r="K960" s="4">
        <v>382.70979999999997</v>
      </c>
      <c r="L960" s="4"/>
      <c r="M960" s="4" t="str">
        <f>HYPERLINK("http://ms.phosphosite.org:5080/cgi-bin/plot-msms.cgi?MassType=1&amp;NumAxis=1&amp;Mod3=184&amp;Mod6=147&amp;Pep=FVRAPM&amp;Dta=/var/www/html/dta/yong/23617.4435.2.dta&amp;Global_Mod=CS57.0215", "4435")</f>
        <v>4435</v>
      </c>
      <c r="N960" s="5"/>
      <c r="O960" s="5">
        <v>25.52</v>
      </c>
      <c r="P960" s="5"/>
      <c r="Q960" s="5">
        <v>1.708</v>
      </c>
      <c r="R960" s="5"/>
      <c r="S960" s="5">
        <v>0.35539999999999999</v>
      </c>
      <c r="T960" s="5"/>
      <c r="U960" s="5">
        <v>7.3200000000000001E-2</v>
      </c>
      <c r="V960" s="4"/>
      <c r="W960" s="4">
        <v>4</v>
      </c>
      <c r="X960" s="5"/>
      <c r="Y960" s="5">
        <v>1.21</v>
      </c>
      <c r="Z960" s="6"/>
      <c r="AA960" s="6">
        <v>1000</v>
      </c>
      <c r="AB960" s="4" t="s">
        <v>13</v>
      </c>
    </row>
    <row r="961" spans="1:28" s="12" customFormat="1">
      <c r="A961" s="9" t="s">
        <v>945</v>
      </c>
      <c r="B961" s="9" t="s">
        <v>1005</v>
      </c>
      <c r="C961" s="9" t="s">
        <v>1006</v>
      </c>
      <c r="D961" s="7">
        <v>338</v>
      </c>
      <c r="E961" s="9" t="s">
        <v>1007</v>
      </c>
      <c r="F961" s="7" t="s">
        <v>1434</v>
      </c>
      <c r="G961" s="7">
        <v>159.1</v>
      </c>
      <c r="H961" s="9" t="s">
        <v>1017</v>
      </c>
      <c r="I961" s="9" t="s">
        <v>1018</v>
      </c>
      <c r="J961" s="7">
        <v>3</v>
      </c>
      <c r="K961" s="7">
        <v>877.1377</v>
      </c>
      <c r="L961" s="7"/>
      <c r="M961" s="7" t="str">
        <f>HYPERLINK("http://ms.phosphosite.org:5080/cgi-bin/plot-msms.cgi?MassType=1&amp;NumAxis=1&amp;Mod10=184&amp;Pep=QGLAFSQIYRFSLSDGTLVAAQTK&amp;Dta=/var/www/html/dta/yong/23617.25187.3.dta&amp;Global_Mod=CS57.0215", "25187")</f>
        <v>25187</v>
      </c>
      <c r="N961" s="10"/>
      <c r="O961" s="10">
        <v>112.35</v>
      </c>
      <c r="P961" s="10"/>
      <c r="Q961" s="10">
        <v>3.1859999999999999</v>
      </c>
      <c r="R961" s="10"/>
      <c r="S961" s="10">
        <v>1.365</v>
      </c>
      <c r="T961" s="10"/>
      <c r="U961" s="10">
        <v>6.4299999999999996E-2</v>
      </c>
      <c r="V961" s="7"/>
      <c r="W961" s="7">
        <v>1</v>
      </c>
      <c r="X961" s="10"/>
      <c r="Y961" s="10">
        <v>1.19</v>
      </c>
      <c r="Z961" s="11"/>
      <c r="AA961" s="11">
        <v>1000</v>
      </c>
      <c r="AB961" s="7" t="s">
        <v>13</v>
      </c>
    </row>
    <row r="962" spans="1:28" s="12" customFormat="1">
      <c r="A962" s="9" t="s">
        <v>945</v>
      </c>
      <c r="B962" s="9" t="s">
        <v>1005</v>
      </c>
      <c r="C962" s="9" t="s">
        <v>1006</v>
      </c>
      <c r="D962" s="7">
        <v>1203</v>
      </c>
      <c r="E962" s="9" t="s">
        <v>1007</v>
      </c>
      <c r="F962" s="7" t="s">
        <v>1434</v>
      </c>
      <c r="G962" s="7">
        <v>159.1</v>
      </c>
      <c r="H962" s="9" t="s">
        <v>1008</v>
      </c>
      <c r="I962" s="9" t="s">
        <v>1011</v>
      </c>
      <c r="J962" s="7">
        <v>3</v>
      </c>
      <c r="K962" s="7">
        <v>776.0693</v>
      </c>
      <c r="L962" s="7" t="str">
        <f>HYPERLINK("http://ms.phosphosite.org:5080/cgi-bin/plot-msms.cgi?MassType=1&amp;NumAxis=1&amp;Mod7=184&amp;Mod11=147&amp;Pep=LQAQQNRQPLMNQISNVSNV&amp;Dta=/var/www/html/dta/yong/23616.12390.3.dta&amp;Global_Mod=CS57.0215", "12390")</f>
        <v>12390</v>
      </c>
      <c r="M962" s="7" t="str">
        <f>HYPERLINK("http://ms.phosphosite.org:5080/cgi-bin/plot-msms.cgi?MassType=1&amp;NumAxis=1&amp;Mod7=184&amp;Mod11=147&amp;Pep=LQAQQNRQPLMNQISNVSNV&amp;Dta=/var/www/html/dta/yong/23617.12510.3.dta&amp;Global_Mod=CS57.0215", "12510")</f>
        <v>12510</v>
      </c>
      <c r="N962" s="10">
        <v>59.33</v>
      </c>
      <c r="O962" s="10">
        <v>59.28</v>
      </c>
      <c r="P962" s="10">
        <v>3.9020000000000001</v>
      </c>
      <c r="Q962" s="10">
        <v>3.3260000000000001</v>
      </c>
      <c r="R962" s="10">
        <v>1.581</v>
      </c>
      <c r="S962" s="10">
        <v>2.1215999999999999</v>
      </c>
      <c r="T962" s="10">
        <v>0.36399999999999999</v>
      </c>
      <c r="U962" s="10">
        <v>0.24529999999999999</v>
      </c>
      <c r="V962" s="7">
        <v>1</v>
      </c>
      <c r="W962" s="7">
        <v>1</v>
      </c>
      <c r="X962" s="10">
        <v>3.07</v>
      </c>
      <c r="Y962" s="10">
        <v>2.2599999999999998</v>
      </c>
      <c r="Z962" s="11">
        <v>1000</v>
      </c>
      <c r="AA962" s="11">
        <v>1000</v>
      </c>
      <c r="AB962" s="7" t="s">
        <v>13</v>
      </c>
    </row>
    <row r="963" spans="1:28" s="12" customFormat="1">
      <c r="A963" s="9" t="s">
        <v>945</v>
      </c>
      <c r="B963" s="9" t="s">
        <v>1005</v>
      </c>
      <c r="C963" s="9" t="s">
        <v>1006</v>
      </c>
      <c r="D963" s="7">
        <v>1203</v>
      </c>
      <c r="E963" s="9" t="s">
        <v>1007</v>
      </c>
      <c r="F963" s="7" t="s">
        <v>1434</v>
      </c>
      <c r="G963" s="7">
        <v>159.1</v>
      </c>
      <c r="H963" s="9" t="s">
        <v>1008</v>
      </c>
      <c r="I963" s="9" t="s">
        <v>1011</v>
      </c>
      <c r="J963" s="7">
        <v>3</v>
      </c>
      <c r="K963" s="7">
        <v>776.0693</v>
      </c>
      <c r="L963" s="7" t="str">
        <f>HYPERLINK("http://ms.phosphosite.org:5080/cgi-bin/plot-msms.cgi?MassType=1&amp;NumAxis=1&amp;Mod7=184&amp;Mod11=147&amp;Pep=LQAQQNRQPLMNQISNVSNV&amp;Dta=/var/www/html/dta/yong/23616.12420.3.dta&amp;Global_Mod=CS57.0215", "12420")</f>
        <v>12420</v>
      </c>
      <c r="M963" s="7" t="str">
        <f>HYPERLINK("http://ms.phosphosite.org:5080/cgi-bin/plot-msms.cgi?MassType=1&amp;NumAxis=1&amp;Mod7=184&amp;Mod11=147&amp;Pep=LQAQQNRQPLMNQISNVSNV&amp;Dta=/var/www/html/dta/yong/23617.12492.3.dta&amp;Global_Mod=CS57.0215", "12492")</f>
        <v>12492</v>
      </c>
      <c r="N963" s="10">
        <v>59.45</v>
      </c>
      <c r="O963" s="10">
        <v>59.21</v>
      </c>
      <c r="P963" s="10">
        <v>3.5009999999999999</v>
      </c>
      <c r="Q963" s="10">
        <v>3.0859999999999999</v>
      </c>
      <c r="R963" s="10">
        <v>1.581</v>
      </c>
      <c r="S963" s="10">
        <v>2.1215999999999999</v>
      </c>
      <c r="T963" s="10">
        <v>0.2646</v>
      </c>
      <c r="U963" s="10">
        <v>0.2676</v>
      </c>
      <c r="V963" s="7">
        <v>1</v>
      </c>
      <c r="W963" s="7">
        <v>1</v>
      </c>
      <c r="X963" s="10">
        <v>2.39</v>
      </c>
      <c r="Y963" s="10">
        <v>2.31</v>
      </c>
      <c r="Z963" s="11">
        <v>1000</v>
      </c>
      <c r="AA963" s="11">
        <v>1000</v>
      </c>
      <c r="AB963" s="7" t="s">
        <v>13</v>
      </c>
    </row>
    <row r="964" spans="1:28" s="12" customFormat="1">
      <c r="A964" s="9" t="s">
        <v>945</v>
      </c>
      <c r="B964" s="9" t="s">
        <v>1005</v>
      </c>
      <c r="C964" s="9" t="s">
        <v>1006</v>
      </c>
      <c r="D964" s="7">
        <v>1203</v>
      </c>
      <c r="E964" s="9" t="s">
        <v>1007</v>
      </c>
      <c r="F964" s="7" t="s">
        <v>1434</v>
      </c>
      <c r="G964" s="7">
        <v>159.1</v>
      </c>
      <c r="H964" s="9" t="s">
        <v>1008</v>
      </c>
      <c r="I964" s="9" t="s">
        <v>1011</v>
      </c>
      <c r="J964" s="7">
        <v>3</v>
      </c>
      <c r="K964" s="7">
        <v>776.0693</v>
      </c>
      <c r="L964" s="7" t="str">
        <f>HYPERLINK("http://ms.phosphosite.org:5080/cgi-bin/plot-msms.cgi?MassType=1&amp;NumAxis=1&amp;Mod7=184&amp;Mod11=147&amp;Pep=LQAQQNRQPLMNQISNVSNV&amp;Dta=/var/www/html/dta/yong/23616.12578.3.dta&amp;Global_Mod=CS57.0215", "12578")</f>
        <v>12578</v>
      </c>
      <c r="M964" s="7" t="str">
        <f>HYPERLINK("http://ms.phosphosite.org:5080/cgi-bin/plot-msms.cgi?MassType=1&amp;NumAxis=1&amp;Mod7=184&amp;Mod11=147&amp;Pep=LQAQQNRQPLMNQISNVSNV&amp;Dta=/var/www/html/dta/yong/23617.12691.3.dta&amp;Global_Mod=CS57.0215", "12691")</f>
        <v>12691</v>
      </c>
      <c r="N964" s="10">
        <v>60.09</v>
      </c>
      <c r="O964" s="10">
        <v>60</v>
      </c>
      <c r="P964" s="10">
        <v>2.7850000000000001</v>
      </c>
      <c r="Q964" s="10">
        <v>2.778</v>
      </c>
      <c r="R964" s="10">
        <v>1.3261000000000001</v>
      </c>
      <c r="S964" s="10">
        <v>0.46960000000000002</v>
      </c>
      <c r="T964" s="10">
        <v>0.16830000000000001</v>
      </c>
      <c r="U964" s="10">
        <v>0.248</v>
      </c>
      <c r="V964" s="7">
        <v>1</v>
      </c>
      <c r="W964" s="7">
        <v>1</v>
      </c>
      <c r="X964" s="10">
        <v>1.65</v>
      </c>
      <c r="Y964" s="10">
        <v>2.19</v>
      </c>
      <c r="Z964" s="11">
        <v>1000</v>
      </c>
      <c r="AA964" s="11">
        <v>1000</v>
      </c>
      <c r="AB964" s="7" t="s">
        <v>13</v>
      </c>
    </row>
    <row r="965" spans="1:28" s="12" customFormat="1">
      <c r="A965" s="9" t="s">
        <v>945</v>
      </c>
      <c r="B965" s="9" t="s">
        <v>1005</v>
      </c>
      <c r="C965" s="9" t="s">
        <v>1006</v>
      </c>
      <c r="D965" s="7">
        <v>1203</v>
      </c>
      <c r="E965" s="9" t="s">
        <v>1007</v>
      </c>
      <c r="F965" s="7" t="s">
        <v>1434</v>
      </c>
      <c r="G965" s="7">
        <v>159.1</v>
      </c>
      <c r="H965" s="9" t="s">
        <v>1008</v>
      </c>
      <c r="I965" s="9" t="s">
        <v>1010</v>
      </c>
      <c r="J965" s="7">
        <v>2</v>
      </c>
      <c r="K965" s="7">
        <v>863.45690000000002</v>
      </c>
      <c r="L965" s="7" t="str">
        <f>HYPERLINK("http://ms.phosphosite.org:5080/cgi-bin/plot-msms.cgi?MassType=1&amp;NumAxis=1&amp;Mod7=184&amp;Mod11=147&amp;Pep=LQAQQNRQPLMNQI&amp;Dta=/var/www/html/dta/yong/23616.9058.2.dta&amp;Global_Mod=CS57.0215", "9058")</f>
        <v>9058</v>
      </c>
      <c r="M965" s="7" t="str">
        <f>HYPERLINK("http://ms.phosphosite.org:5080/cgi-bin/plot-msms.cgi?MassType=1&amp;NumAxis=1&amp;Mod7=184&amp;Mod11=147&amp;Pep=LQAQQNRQPLMNQI&amp;Dta=/var/www/html/dta/yong/23617.9185.2.dta&amp;Global_Mod=CS57.0215", "9185")</f>
        <v>9185</v>
      </c>
      <c r="N965" s="10">
        <v>45.14</v>
      </c>
      <c r="O965" s="10">
        <v>45.23</v>
      </c>
      <c r="P965" s="10">
        <v>3.6150000000000002</v>
      </c>
      <c r="Q965" s="10">
        <v>3.734</v>
      </c>
      <c r="R965" s="10">
        <v>0.50739999999999996</v>
      </c>
      <c r="S965" s="10">
        <v>0.87609999999999999</v>
      </c>
      <c r="T965" s="10">
        <v>0.39689999999999998</v>
      </c>
      <c r="U965" s="10">
        <v>0.3417</v>
      </c>
      <c r="V965" s="7">
        <v>1</v>
      </c>
      <c r="W965" s="7">
        <v>1</v>
      </c>
      <c r="X965" s="10">
        <v>3.26</v>
      </c>
      <c r="Y965" s="10">
        <v>3.04</v>
      </c>
      <c r="Z965" s="11">
        <v>1000</v>
      </c>
      <c r="AA965" s="11">
        <v>1000</v>
      </c>
      <c r="AB965" s="7" t="s">
        <v>13</v>
      </c>
    </row>
    <row r="966" spans="1:28" s="12" customFormat="1">
      <c r="A966" s="9" t="s">
        <v>945</v>
      </c>
      <c r="B966" s="9" t="s">
        <v>1005</v>
      </c>
      <c r="C966" s="9" t="s">
        <v>1006</v>
      </c>
      <c r="D966" s="7">
        <v>1203</v>
      </c>
      <c r="E966" s="9" t="s">
        <v>1007</v>
      </c>
      <c r="F966" s="7" t="s">
        <v>1434</v>
      </c>
      <c r="G966" s="7">
        <v>159.1</v>
      </c>
      <c r="H966" s="9" t="s">
        <v>1008</v>
      </c>
      <c r="I966" s="9" t="s">
        <v>1010</v>
      </c>
      <c r="J966" s="7">
        <v>2</v>
      </c>
      <c r="K966" s="7">
        <v>863.45690000000002</v>
      </c>
      <c r="L966" s="7" t="str">
        <f>HYPERLINK("http://ms.phosphosite.org:5080/cgi-bin/plot-msms.cgi?MassType=1&amp;NumAxis=1&amp;Mod7=184&amp;Mod11=147&amp;Pep=LQAQQNRQPLMNQI&amp;Dta=/var/www/html/dta/yong/23616.9075.2.dta&amp;Global_Mod=CS57.0215", "9075")</f>
        <v>9075</v>
      </c>
      <c r="M966" s="7"/>
      <c r="N966" s="10">
        <v>45.21</v>
      </c>
      <c r="O966" s="10"/>
      <c r="P966" s="10">
        <v>3.6970000000000001</v>
      </c>
      <c r="Q966" s="10"/>
      <c r="R966" s="10">
        <v>0.50739999999999996</v>
      </c>
      <c r="S966" s="10"/>
      <c r="T966" s="10">
        <v>0.37280000000000002</v>
      </c>
      <c r="U966" s="10"/>
      <c r="V966" s="7">
        <v>1</v>
      </c>
      <c r="W966" s="7"/>
      <c r="X966" s="10">
        <v>3.15</v>
      </c>
      <c r="Y966" s="10"/>
      <c r="Z966" s="11">
        <v>1000</v>
      </c>
      <c r="AA966" s="11"/>
      <c r="AB966" s="7" t="s">
        <v>13</v>
      </c>
    </row>
    <row r="967" spans="1:28" s="12" customFormat="1">
      <c r="A967" s="9" t="s">
        <v>945</v>
      </c>
      <c r="B967" s="9" t="s">
        <v>1005</v>
      </c>
      <c r="C967" s="9" t="s">
        <v>1006</v>
      </c>
      <c r="D967" s="7">
        <v>1203</v>
      </c>
      <c r="E967" s="9" t="s">
        <v>1007</v>
      </c>
      <c r="F967" s="7" t="s">
        <v>1434</v>
      </c>
      <c r="G967" s="7">
        <v>159.1</v>
      </c>
      <c r="H967" s="9" t="s">
        <v>1008</v>
      </c>
      <c r="I967" s="9" t="s">
        <v>1010</v>
      </c>
      <c r="J967" s="7">
        <v>2</v>
      </c>
      <c r="K967" s="7">
        <v>863.45690000000002</v>
      </c>
      <c r="L967" s="7" t="str">
        <f>HYPERLINK("http://ms.phosphosite.org:5080/cgi-bin/plot-msms.cgi?MassType=1&amp;NumAxis=1&amp;Mod7=184&amp;Mod11=147&amp;Pep=LQAQQNRQPLMNQI&amp;Dta=/var/www/html/dta/yong/23616.9146.2.dta&amp;Global_Mod=CS57.0215", "9146")</f>
        <v>9146</v>
      </c>
      <c r="M967" s="7" t="str">
        <f>HYPERLINK("http://ms.phosphosite.org:5080/cgi-bin/plot-msms.cgi?MassType=1&amp;NumAxis=1&amp;Mod7=184&amp;Mod11=147&amp;Pep=LQAQQNRQPLMNQI&amp;Dta=/var/www/html/dta/yong/23617.9201.2.dta&amp;Global_Mod=CS57.0215", "9201")</f>
        <v>9201</v>
      </c>
      <c r="N967" s="10">
        <v>45.51</v>
      </c>
      <c r="O967" s="10">
        <v>45.3</v>
      </c>
      <c r="P967" s="10">
        <v>3.8109999999999999</v>
      </c>
      <c r="Q967" s="10">
        <v>3.4180000000000001</v>
      </c>
      <c r="R967" s="10">
        <v>1.1567000000000001</v>
      </c>
      <c r="S967" s="10">
        <v>0.86539999999999995</v>
      </c>
      <c r="T967" s="10">
        <v>0.38579999999999998</v>
      </c>
      <c r="U967" s="10">
        <v>0.37840000000000001</v>
      </c>
      <c r="V967" s="7">
        <v>1</v>
      </c>
      <c r="W967" s="7">
        <v>1</v>
      </c>
      <c r="X967" s="10">
        <v>3.22</v>
      </c>
      <c r="Y967" s="10">
        <v>3.15</v>
      </c>
      <c r="Z967" s="11">
        <v>1000</v>
      </c>
      <c r="AA967" s="11">
        <v>1000</v>
      </c>
      <c r="AB967" s="7" t="s">
        <v>13</v>
      </c>
    </row>
    <row r="968" spans="1:28" s="12" customFormat="1">
      <c r="A968" s="9" t="s">
        <v>945</v>
      </c>
      <c r="B968" s="9" t="s">
        <v>1005</v>
      </c>
      <c r="C968" s="9" t="s">
        <v>1006</v>
      </c>
      <c r="D968" s="7">
        <v>1203</v>
      </c>
      <c r="E968" s="9" t="s">
        <v>1007</v>
      </c>
      <c r="F968" s="7" t="s">
        <v>1434</v>
      </c>
      <c r="G968" s="7">
        <v>159.1</v>
      </c>
      <c r="H968" s="9" t="s">
        <v>1008</v>
      </c>
      <c r="I968" s="9" t="s">
        <v>1009</v>
      </c>
      <c r="J968" s="7">
        <v>2</v>
      </c>
      <c r="K968" s="7">
        <v>742.88559999999995</v>
      </c>
      <c r="L968" s="7"/>
      <c r="M968" s="7" t="str">
        <f>HYPERLINK("http://ms.phosphosite.org:5080/cgi-bin/plot-msms.cgi?MassType=1&amp;NumAxis=1&amp;Mod7=184&amp;Mod11=147&amp;Pep=LQAQQNRQPLMN&amp;Dta=/var/www/html/dta/yong/23617.4556.2.dta&amp;Global_Mod=CS57.0215", "4556")</f>
        <v>4556</v>
      </c>
      <c r="N968" s="10"/>
      <c r="O968" s="10">
        <v>26.05</v>
      </c>
      <c r="P968" s="10"/>
      <c r="Q968" s="10">
        <v>2.0979999999999999</v>
      </c>
      <c r="R968" s="10"/>
      <c r="S968" s="10">
        <v>0.17050000000000001</v>
      </c>
      <c r="T968" s="10"/>
      <c r="U968" s="10">
        <v>0.27450000000000002</v>
      </c>
      <c r="V968" s="7"/>
      <c r="W968" s="7">
        <v>5</v>
      </c>
      <c r="X968" s="10"/>
      <c r="Y968" s="10">
        <v>2.2000000000000002</v>
      </c>
      <c r="Z968" s="11"/>
      <c r="AA968" s="11">
        <v>1000</v>
      </c>
      <c r="AB968" s="7" t="s">
        <v>13</v>
      </c>
    </row>
    <row r="969" spans="1:28" s="12" customFormat="1">
      <c r="A969" s="9" t="s">
        <v>945</v>
      </c>
      <c r="B969" s="9" t="s">
        <v>1005</v>
      </c>
      <c r="C969" s="9" t="s">
        <v>1006</v>
      </c>
      <c r="D969" s="7">
        <v>1261</v>
      </c>
      <c r="E969" s="9" t="s">
        <v>1007</v>
      </c>
      <c r="F969" s="7" t="s">
        <v>1434</v>
      </c>
      <c r="G969" s="7">
        <v>159.1</v>
      </c>
      <c r="H969" s="9" t="s">
        <v>1012</v>
      </c>
      <c r="I969" s="9" t="s">
        <v>1013</v>
      </c>
      <c r="J969" s="7">
        <v>3</v>
      </c>
      <c r="K969" s="7">
        <v>615.30160000000001</v>
      </c>
      <c r="L969" s="7" t="str">
        <f>HYPERLINK("http://ms.phosphosite.org:5080/cgi-bin/plot-msms.cgi?MassType=1&amp;NumAxis=1&amp;Mod2=147&amp;Mod11=184&amp;Mod14=147&amp;Pep=QMHQQQQVQQRTLM&amp;Dta=/var/www/html/dta/yong/23616.3431.3.dta&amp;Global_Mod=CS57.0215", "3431")</f>
        <v>3431</v>
      </c>
      <c r="M969" s="7" t="str">
        <f>HYPERLINK("http://ms.phosphosite.org:5080/cgi-bin/plot-msms.cgi?MassType=1&amp;NumAxis=1&amp;Mod2=147&amp;Mod11=184&amp;Mod14=147&amp;Pep=QMHQQQQVQQRTLM&amp;Dta=/var/www/html/dta/yong/23617.3493.3.dta&amp;Global_Mod=CS57.0215", "3493")</f>
        <v>3493</v>
      </c>
      <c r="N969" s="10">
        <v>21.5</v>
      </c>
      <c r="O969" s="10">
        <v>21.44</v>
      </c>
      <c r="P969" s="10">
        <v>3.1459999999999999</v>
      </c>
      <c r="Q969" s="10">
        <v>3</v>
      </c>
      <c r="R969" s="10">
        <v>0.46589999999999998</v>
      </c>
      <c r="S969" s="10">
        <v>0.14660000000000001</v>
      </c>
      <c r="T969" s="10">
        <v>0.25059999999999999</v>
      </c>
      <c r="U969" s="10">
        <v>0.30590000000000001</v>
      </c>
      <c r="V969" s="7">
        <v>1</v>
      </c>
      <c r="W969" s="7">
        <v>1</v>
      </c>
      <c r="X969" s="10">
        <v>2.3199999999999998</v>
      </c>
      <c r="Y969" s="10">
        <v>2.64</v>
      </c>
      <c r="Z969" s="11">
        <v>1000</v>
      </c>
      <c r="AA969" s="11">
        <v>1000</v>
      </c>
      <c r="AB969" s="7" t="s">
        <v>13</v>
      </c>
    </row>
    <row r="970" spans="1:28" s="12" customFormat="1">
      <c r="A970" s="9" t="s">
        <v>945</v>
      </c>
      <c r="B970" s="9" t="s">
        <v>1005</v>
      </c>
      <c r="C970" s="9" t="s">
        <v>1006</v>
      </c>
      <c r="D970" s="7">
        <v>1261</v>
      </c>
      <c r="E970" s="9" t="s">
        <v>1007</v>
      </c>
      <c r="F970" s="7" t="s">
        <v>1434</v>
      </c>
      <c r="G970" s="7">
        <v>159.1</v>
      </c>
      <c r="H970" s="9" t="s">
        <v>1012</v>
      </c>
      <c r="I970" s="9" t="s">
        <v>1013</v>
      </c>
      <c r="J970" s="7">
        <v>3</v>
      </c>
      <c r="K970" s="7">
        <v>615.30160000000001</v>
      </c>
      <c r="L970" s="7" t="str">
        <f>HYPERLINK("http://ms.phosphosite.org:5080/cgi-bin/plot-msms.cgi?MassType=1&amp;NumAxis=1&amp;Mod2=147&amp;Mod11=184&amp;Mod14=147&amp;Pep=QMHQQQQVQQRTLM&amp;Dta=/var/www/html/dta/yong/23616.3446.3.dta&amp;Global_Mod=CS57.0215", "3446")</f>
        <v>3446</v>
      </c>
      <c r="M970" s="7" t="str">
        <f>HYPERLINK("http://ms.phosphosite.org:5080/cgi-bin/plot-msms.cgi?MassType=1&amp;NumAxis=1&amp;Mod2=147&amp;Mod11=184&amp;Mod14=147&amp;Pep=QMHQQQQVQQRTLM&amp;Dta=/var/www/html/dta/yong/23617.3508.3.dta&amp;Global_Mod=CS57.0215", "3508")</f>
        <v>3508</v>
      </c>
      <c r="N970" s="10">
        <v>21.56</v>
      </c>
      <c r="O970" s="10">
        <v>21.49</v>
      </c>
      <c r="P970" s="10">
        <v>3.0430000000000001</v>
      </c>
      <c r="Q970" s="10">
        <v>3.2879999999999998</v>
      </c>
      <c r="R970" s="10">
        <v>0.441</v>
      </c>
      <c r="S970" s="10">
        <v>8.6400000000000005E-2</v>
      </c>
      <c r="T970" s="10">
        <v>0.1704</v>
      </c>
      <c r="U970" s="10">
        <v>0.21740000000000001</v>
      </c>
      <c r="V970" s="7">
        <v>3</v>
      </c>
      <c r="W970" s="7">
        <v>1</v>
      </c>
      <c r="X970" s="10">
        <v>1.83</v>
      </c>
      <c r="Y970" s="10">
        <v>2.23</v>
      </c>
      <c r="Z970" s="11">
        <v>1000</v>
      </c>
      <c r="AA970" s="11">
        <v>1000</v>
      </c>
      <c r="AB970" s="7" t="s">
        <v>13</v>
      </c>
    </row>
    <row r="971" spans="1:28" s="12" customFormat="1">
      <c r="A971" s="9" t="s">
        <v>945</v>
      </c>
      <c r="B971" s="9" t="s">
        <v>1005</v>
      </c>
      <c r="C971" s="9" t="s">
        <v>1006</v>
      </c>
      <c r="D971" s="7">
        <v>1261</v>
      </c>
      <c r="E971" s="9" t="s">
        <v>1007</v>
      </c>
      <c r="F971" s="7" t="s">
        <v>1434</v>
      </c>
      <c r="G971" s="7">
        <v>159.1</v>
      </c>
      <c r="H971" s="9" t="s">
        <v>1012</v>
      </c>
      <c r="I971" s="9" t="s">
        <v>1013</v>
      </c>
      <c r="J971" s="7">
        <v>3</v>
      </c>
      <c r="K971" s="7">
        <v>615.30160000000001</v>
      </c>
      <c r="L971" s="7"/>
      <c r="M971" s="7" t="str">
        <f>HYPERLINK("http://ms.phosphosite.org:5080/cgi-bin/plot-msms.cgi?MassType=1&amp;NumAxis=1&amp;Mod2=147&amp;Mod11=184&amp;Mod14=147&amp;Pep=QMHQQQQVQQRTLM&amp;Dta=/var/www/html/dta/yong/23617.3498.3.dta&amp;Global_Mod=CS57.0215", "3498")</f>
        <v>3498</v>
      </c>
      <c r="N971" s="10"/>
      <c r="O971" s="10">
        <v>21.46</v>
      </c>
      <c r="P971" s="10"/>
      <c r="Q971" s="10">
        <v>2.8610000000000002</v>
      </c>
      <c r="R971" s="10"/>
      <c r="S971" s="10">
        <v>0.1424</v>
      </c>
      <c r="T971" s="10"/>
      <c r="U971" s="10">
        <v>0.2722</v>
      </c>
      <c r="V971" s="7"/>
      <c r="W971" s="7">
        <v>1</v>
      </c>
      <c r="X971" s="10"/>
      <c r="Y971" s="10">
        <v>2.41</v>
      </c>
      <c r="Z971" s="11"/>
      <c r="AA971" s="11">
        <v>1000</v>
      </c>
      <c r="AB971" s="7" t="s">
        <v>13</v>
      </c>
    </row>
    <row r="972" spans="1:28" s="12" customFormat="1">
      <c r="A972" s="3" t="s">
        <v>945</v>
      </c>
      <c r="B972" s="3" t="s">
        <v>1005</v>
      </c>
      <c r="C972" s="3" t="s">
        <v>1006</v>
      </c>
      <c r="D972" s="4">
        <v>1266</v>
      </c>
      <c r="E972" s="3" t="s">
        <v>1007</v>
      </c>
      <c r="F972" s="7" t="s">
        <v>1434</v>
      </c>
      <c r="G972" s="4">
        <v>159.1</v>
      </c>
      <c r="H972" s="3" t="s">
        <v>1014</v>
      </c>
      <c r="I972" s="3" t="s">
        <v>1016</v>
      </c>
      <c r="J972" s="4">
        <v>2</v>
      </c>
      <c r="K972" s="4">
        <v>806.87819999999999</v>
      </c>
      <c r="L972" s="4" t="str">
        <f>HYPERLINK("http://ms.phosphosite.org:5080/cgi-bin/plot-msms.cgi?MassType=1&amp;NumAxis=1&amp;Mod3=147&amp;Mod4=147&amp;Mod5=184&amp;Mod11=147&amp;Pep=TLMMRGQGLNMTPS&amp;Dta=/var/www/html/dta/yong/23616.5975.2.dta&amp;Global_Mod=CS57.0215", "5975")</f>
        <v>5975</v>
      </c>
      <c r="M972" s="4" t="str">
        <f>HYPERLINK("http://ms.phosphosite.org:5080/cgi-bin/plot-msms.cgi?MassType=1&amp;NumAxis=1&amp;Mod3=147&amp;Mod4=147&amp;Mod5=184&amp;Mod11=147&amp;Pep=TLMMRGQGLNMTPS&amp;Dta=/var/www/html/dta/yong/23617.6051.2.dta&amp;Global_Mod=CS57.0215", "6051")</f>
        <v>6051</v>
      </c>
      <c r="N972" s="5">
        <v>32.24</v>
      </c>
      <c r="O972" s="5">
        <v>32.28</v>
      </c>
      <c r="P972" s="5">
        <v>2.9609999999999999</v>
      </c>
      <c r="Q972" s="5">
        <v>2.7829999999999999</v>
      </c>
      <c r="R972" s="5">
        <v>1.5751999999999999</v>
      </c>
      <c r="S972" s="5">
        <v>0.84299999999999997</v>
      </c>
      <c r="T972" s="5">
        <v>0.13930000000000001</v>
      </c>
      <c r="U972" s="5">
        <v>7.0900000000000005E-2</v>
      </c>
      <c r="V972" s="4">
        <v>3</v>
      </c>
      <c r="W972" s="4">
        <v>6</v>
      </c>
      <c r="X972" s="5">
        <v>1.56</v>
      </c>
      <c r="Y972" s="5">
        <v>1.22</v>
      </c>
      <c r="Z972" s="6">
        <v>1000</v>
      </c>
      <c r="AA972" s="6">
        <v>1000</v>
      </c>
      <c r="AB972" s="4" t="s">
        <v>13</v>
      </c>
    </row>
    <row r="973" spans="1:28" s="12" customFormat="1">
      <c r="A973" s="3" t="s">
        <v>945</v>
      </c>
      <c r="B973" s="3" t="s">
        <v>1005</v>
      </c>
      <c r="C973" s="3" t="s">
        <v>1006</v>
      </c>
      <c r="D973" s="4">
        <v>1266</v>
      </c>
      <c r="E973" s="3" t="s">
        <v>1007</v>
      </c>
      <c r="F973" s="7" t="s">
        <v>1434</v>
      </c>
      <c r="G973" s="4">
        <v>159.1</v>
      </c>
      <c r="H973" s="3" t="s">
        <v>1014</v>
      </c>
      <c r="I973" s="3" t="s">
        <v>1015</v>
      </c>
      <c r="J973" s="4">
        <v>2</v>
      </c>
      <c r="K973" s="4">
        <v>590.79430000000002</v>
      </c>
      <c r="L973" s="4"/>
      <c r="M973" s="4" t="str">
        <f>HYPERLINK("http://ms.phosphosite.org:5080/cgi-bin/plot-msms.cgi?MassType=1&amp;NumAxis=1&amp;Mod3=147&amp;Mod4=147&amp;Mod5=184&amp;Pep=TLMMRGQGLN&amp;Dta=/var/www/html/dta/yong/23617.4436.2.dta&amp;Global_Mod=CS57.0215", "4436")</f>
        <v>4436</v>
      </c>
      <c r="N973" s="5"/>
      <c r="O973" s="5">
        <v>25.53</v>
      </c>
      <c r="P973" s="5"/>
      <c r="Q973" s="5">
        <v>1.923</v>
      </c>
      <c r="R973" s="5"/>
      <c r="S973" s="5">
        <v>0.70820000000000005</v>
      </c>
      <c r="T973" s="5"/>
      <c r="U973" s="5">
        <v>0.19919999999999999</v>
      </c>
      <c r="V973" s="4"/>
      <c r="W973" s="4">
        <v>150</v>
      </c>
      <c r="X973" s="5"/>
      <c r="Y973" s="5">
        <v>1.66</v>
      </c>
      <c r="Z973" s="6"/>
      <c r="AA973" s="6">
        <v>1000</v>
      </c>
      <c r="AB973" s="4" t="s">
        <v>13</v>
      </c>
    </row>
    <row r="974" spans="1:28" s="12" customFormat="1">
      <c r="A974" s="9" t="s">
        <v>945</v>
      </c>
      <c r="B974" s="9" t="s">
        <v>1698</v>
      </c>
      <c r="C974" s="9" t="s">
        <v>1699</v>
      </c>
      <c r="D974" s="7" t="s">
        <v>1806</v>
      </c>
      <c r="E974" s="9" t="s">
        <v>1019</v>
      </c>
      <c r="F974" s="7" t="s">
        <v>1435</v>
      </c>
      <c r="G974" s="7">
        <v>155.19999999999999</v>
      </c>
      <c r="H974" s="9" t="s">
        <v>1023</v>
      </c>
      <c r="I974" s="9" t="s">
        <v>1026</v>
      </c>
      <c r="J974" s="7">
        <v>4</v>
      </c>
      <c r="K974" s="7">
        <v>643.85270000000003</v>
      </c>
      <c r="L974" s="7" t="str">
        <f>HYPERLINK("http://ms.phosphosite.org:5080/cgi-bin/plot-msms.cgi?MassType=1&amp;NumAxis=1&amp;Mod3=184&amp;Mod4=147&amp;Mod9=184&amp;Pep=QLRMQLQQRLQGQQFLNQSR&amp;Dta=/var/www/html/dta/yong/23616.13028.4.dta&amp;Global_Mod=CS57.0215", "13028")</f>
        <v>13028</v>
      </c>
      <c r="M974" s="7" t="str">
        <f>HYPERLINK("http://ms.phosphosite.org:5080/cgi-bin/plot-msms.cgi?MassType=1&amp;NumAxis=1&amp;Mod3=184&amp;Mod4=147&amp;Mod9=184&amp;Pep=QLRMQLQQRLQGQQFLNQSR&amp;Dta=/var/www/html/dta/yong/23617.13149.4.dta&amp;Global_Mod=CS57.0215", "13149")</f>
        <v>13149</v>
      </c>
      <c r="N974" s="10">
        <v>62.08</v>
      </c>
      <c r="O974" s="10">
        <v>61.92</v>
      </c>
      <c r="P974" s="10">
        <v>4.6870000000000003</v>
      </c>
      <c r="Q974" s="10">
        <v>4.37</v>
      </c>
      <c r="R974" s="10">
        <v>0.28420000000000001</v>
      </c>
      <c r="S974" s="10">
        <v>0.24279999999999999</v>
      </c>
      <c r="T974" s="10">
        <v>0.32900000000000001</v>
      </c>
      <c r="U974" s="10">
        <v>0.37</v>
      </c>
      <c r="V974" s="7">
        <v>1</v>
      </c>
      <c r="W974" s="7">
        <v>1</v>
      </c>
      <c r="X974" s="10">
        <v>3.08</v>
      </c>
      <c r="Y974" s="10">
        <v>3.18</v>
      </c>
      <c r="Z974" s="11" t="s">
        <v>1306</v>
      </c>
      <c r="AA974" s="11" t="s">
        <v>1306</v>
      </c>
      <c r="AB974" s="7" t="s">
        <v>13</v>
      </c>
    </row>
    <row r="975" spans="1:28">
      <c r="A975" s="9" t="s">
        <v>945</v>
      </c>
      <c r="B975" s="9" t="s">
        <v>1698</v>
      </c>
      <c r="C975" s="9" t="s">
        <v>1699</v>
      </c>
      <c r="D975" s="7" t="s">
        <v>1806</v>
      </c>
      <c r="E975" s="9" t="s">
        <v>1019</v>
      </c>
      <c r="F975" s="7" t="s">
        <v>1435</v>
      </c>
      <c r="G975" s="7">
        <v>155.19999999999999</v>
      </c>
      <c r="H975" s="9" t="s">
        <v>1023</v>
      </c>
      <c r="I975" s="9" t="s">
        <v>1024</v>
      </c>
      <c r="J975" s="7">
        <v>3</v>
      </c>
      <c r="K975" s="7">
        <v>658.69489999999996</v>
      </c>
      <c r="L975" s="7" t="str">
        <f>HYPERLINK("http://ms.phosphosite.org:5080/cgi-bin/plot-msms.cgi?MassType=1&amp;NumAxis=1&amp;Mod3=184&amp;Mod4=147&amp;Mod9=184&amp;Pep=QLRMQLQQRLQGQQF&amp;Dta=/var/www/html/dta/yong/23616.13227.3.dta&amp;Global_Mod=CS57.0215", "13227")</f>
        <v>13227</v>
      </c>
      <c r="M975" s="7" t="str">
        <f>HYPERLINK("http://ms.phosphosite.org:5080/cgi-bin/plot-msms.cgi?MassType=1&amp;NumAxis=1&amp;Mod3=184&amp;Mod4=147&amp;Mod9=184&amp;Pep=QLRMQLQQRLQGQQF&amp;Dta=/var/www/html/dta/yong/23617.13379.3.dta&amp;Global_Mod=CS57.0215", "13379")</f>
        <v>13379</v>
      </c>
      <c r="N975" s="10">
        <v>62.94</v>
      </c>
      <c r="O975" s="10">
        <v>62.87</v>
      </c>
      <c r="P975" s="10">
        <v>2.2360000000000002</v>
      </c>
      <c r="Q975" s="10">
        <v>2.67</v>
      </c>
      <c r="R975" s="10">
        <v>0.98089999999999999</v>
      </c>
      <c r="S975" s="10">
        <v>0.62509999999999999</v>
      </c>
      <c r="T975" s="10">
        <v>0.1011</v>
      </c>
      <c r="U975" s="10">
        <v>0.2122</v>
      </c>
      <c r="V975" s="7">
        <v>3</v>
      </c>
      <c r="W975" s="7">
        <v>1</v>
      </c>
      <c r="X975" s="10">
        <v>1.1000000000000001</v>
      </c>
      <c r="Y975" s="10">
        <v>1.8</v>
      </c>
      <c r="Z975" s="11" t="s">
        <v>1306</v>
      </c>
      <c r="AA975" s="11" t="s">
        <v>1306</v>
      </c>
      <c r="AB975" s="7" t="s">
        <v>13</v>
      </c>
    </row>
    <row r="976" spans="1:28">
      <c r="A976" s="9" t="s">
        <v>945</v>
      </c>
      <c r="B976" s="9" t="s">
        <v>1698</v>
      </c>
      <c r="C976" s="9" t="s">
        <v>1699</v>
      </c>
      <c r="D976" s="7" t="s">
        <v>1806</v>
      </c>
      <c r="E976" s="9" t="s">
        <v>1019</v>
      </c>
      <c r="F976" s="7" t="s">
        <v>1435</v>
      </c>
      <c r="G976" s="7">
        <v>155.19999999999999</v>
      </c>
      <c r="H976" s="9" t="s">
        <v>1023</v>
      </c>
      <c r="I976" s="9" t="s">
        <v>1026</v>
      </c>
      <c r="J976" s="7">
        <v>4</v>
      </c>
      <c r="K976" s="7">
        <v>643.85270000000003</v>
      </c>
      <c r="L976" s="7"/>
      <c r="M976" s="7" t="str">
        <f>HYPERLINK("http://ms.phosphosite.org:5080/cgi-bin/plot-msms.cgi?MassType=1&amp;NumAxis=1&amp;Mod3=184&amp;Mod4=147&amp;Mod9=184&amp;Pep=QLRMQLQQRLQGQQFLNQSR&amp;Dta=/var/www/html/dta/yong/23617.13318.4.dta&amp;Global_Mod=CS57.0215", "13318")</f>
        <v>13318</v>
      </c>
      <c r="N976" s="10"/>
      <c r="O976" s="10">
        <v>62.62</v>
      </c>
      <c r="P976" s="10"/>
      <c r="Q976" s="10">
        <v>3.08</v>
      </c>
      <c r="R976" s="10"/>
      <c r="S976" s="10">
        <v>0.45469999999999999</v>
      </c>
      <c r="T976" s="10"/>
      <c r="U976" s="10">
        <v>7.9500000000000001E-2</v>
      </c>
      <c r="V976" s="7"/>
      <c r="W976" s="7">
        <v>2</v>
      </c>
      <c r="X976" s="10"/>
      <c r="Y976" s="10">
        <v>1.1499999999999999</v>
      </c>
      <c r="Z976" s="11"/>
      <c r="AA976" s="11" t="s">
        <v>1306</v>
      </c>
      <c r="AB976" s="7" t="s">
        <v>13</v>
      </c>
    </row>
    <row r="977" spans="1:28">
      <c r="A977" s="13" t="s">
        <v>945</v>
      </c>
      <c r="B977" s="13" t="s">
        <v>1700</v>
      </c>
      <c r="C977" s="13" t="s">
        <v>1701</v>
      </c>
      <c r="D977" s="15" t="s">
        <v>1807</v>
      </c>
      <c r="E977" s="13" t="s">
        <v>1019</v>
      </c>
      <c r="F977" s="15" t="s">
        <v>1435</v>
      </c>
      <c r="G977" s="15">
        <v>155.19999999999999</v>
      </c>
      <c r="H977" s="13" t="s">
        <v>1023</v>
      </c>
      <c r="I977" s="13" t="s">
        <v>1027</v>
      </c>
      <c r="J977" s="15">
        <v>4</v>
      </c>
      <c r="K977" s="15">
        <v>647.35659999999996</v>
      </c>
      <c r="L977" s="15"/>
      <c r="M977" s="15" t="str">
        <f>HYPERLINK("http://ms.phosphosite.org:5080/cgi-bin/plot-msms.cgi?MassType=1&amp;NumAxis=1&amp;Mod3=184&amp;Mod4=147&amp;Mod9=184&amp;Mod20=170&amp;Pep=QLRMQLQQRLQGQQFLNQSR&amp;Dta=/var/www/html/dta/yong/23617.13368.4.dta&amp;Global_Mod=CS57.0215", "13368")</f>
        <v>13368</v>
      </c>
      <c r="N977" s="16"/>
      <c r="O977" s="16">
        <v>62.83</v>
      </c>
      <c r="P977" s="16"/>
      <c r="Q977" s="16">
        <v>3.294</v>
      </c>
      <c r="R977" s="16"/>
      <c r="S977" s="16">
        <v>-0.45979999999999999</v>
      </c>
      <c r="T977" s="16"/>
      <c r="U977" s="16">
        <v>8.0199999999999994E-2</v>
      </c>
      <c r="V977" s="15"/>
      <c r="W977" s="15">
        <v>3</v>
      </c>
      <c r="X977" s="16"/>
      <c r="Y977" s="16">
        <v>1.18</v>
      </c>
      <c r="Z977" s="17"/>
      <c r="AA977" s="17" t="s">
        <v>1307</v>
      </c>
      <c r="AB977" s="15" t="s">
        <v>13</v>
      </c>
    </row>
    <row r="978" spans="1:28">
      <c r="A978" s="9" t="s">
        <v>945</v>
      </c>
      <c r="B978" s="9" t="s">
        <v>1700</v>
      </c>
      <c r="C978" s="9" t="s">
        <v>1701</v>
      </c>
      <c r="D978" s="7" t="s">
        <v>1807</v>
      </c>
      <c r="E978" s="9" t="s">
        <v>1019</v>
      </c>
      <c r="F978" s="7" t="s">
        <v>1435</v>
      </c>
      <c r="G978" s="7">
        <v>155.19999999999999</v>
      </c>
      <c r="H978" s="9" t="s">
        <v>1023</v>
      </c>
      <c r="I978" s="9" t="s">
        <v>1025</v>
      </c>
      <c r="J978" s="7">
        <v>3</v>
      </c>
      <c r="K978" s="7">
        <v>734.40390000000002</v>
      </c>
      <c r="L978" s="7"/>
      <c r="M978" s="7" t="str">
        <f>HYPERLINK("http://ms.phosphosite.org:5080/cgi-bin/plot-msms.cgi?MassType=1&amp;NumAxis=1&amp;Mod3=184&amp;Mod4=147&amp;Mod9=184&amp;Pep=QLRMQLQQRLQGQQFLN&amp;Dta=/var/www/html/dta/yong/23617.14793.3.dta&amp;Global_Mod=CS57.0215", "14793")</f>
        <v>14793</v>
      </c>
      <c r="N978" s="10"/>
      <c r="O978" s="10">
        <v>69.099999999999994</v>
      </c>
      <c r="P978" s="10"/>
      <c r="Q978" s="10">
        <v>2.4020000000000001</v>
      </c>
      <c r="R978" s="10"/>
      <c r="S978" s="10">
        <v>0.43680000000000002</v>
      </c>
      <c r="T978" s="10"/>
      <c r="U978" s="10">
        <v>0.14030000000000001</v>
      </c>
      <c r="V978" s="7"/>
      <c r="W978" s="7">
        <v>2</v>
      </c>
      <c r="X978" s="10"/>
      <c r="Y978" s="10">
        <v>1.3</v>
      </c>
      <c r="Z978" s="11"/>
      <c r="AA978" s="11" t="s">
        <v>1306</v>
      </c>
      <c r="AB978" s="7" t="s">
        <v>13</v>
      </c>
    </row>
    <row r="979" spans="1:28">
      <c r="A979" s="9" t="s">
        <v>945</v>
      </c>
      <c r="B979" s="9" t="s">
        <v>1700</v>
      </c>
      <c r="C979" s="9" t="s">
        <v>1701</v>
      </c>
      <c r="D979" s="7" t="s">
        <v>1808</v>
      </c>
      <c r="E979" s="9" t="s">
        <v>1019</v>
      </c>
      <c r="F979" s="7" t="s">
        <v>1435</v>
      </c>
      <c r="G979" s="7">
        <v>155.19999999999999</v>
      </c>
      <c r="H979" s="9" t="s">
        <v>1030</v>
      </c>
      <c r="I979" s="9" t="s">
        <v>1033</v>
      </c>
      <c r="J979" s="7">
        <v>3</v>
      </c>
      <c r="K979" s="7">
        <v>738.42200000000003</v>
      </c>
      <c r="L979" s="7" t="str">
        <f>HYPERLINK("http://ms.phosphosite.org:5080/cgi-bin/plot-msms.cgi?MassType=1&amp;NumAxis=1&amp;Mod1=184&amp;Mod12=184&amp;Pep=RLQGQQFLNQSRQALELK&amp;Dta=/var/www/html/dta/yong/23616.14788.3.dta&amp;Global_Mod=CS57.0215", "14788")</f>
        <v>14788</v>
      </c>
      <c r="M979" s="7"/>
      <c r="N979" s="10">
        <v>69.81</v>
      </c>
      <c r="O979" s="10"/>
      <c r="P979" s="10">
        <v>3.157</v>
      </c>
      <c r="Q979" s="10"/>
      <c r="R979" s="10">
        <v>1.4685999999999999</v>
      </c>
      <c r="S979" s="10"/>
      <c r="T979" s="10">
        <v>0.10290000000000001</v>
      </c>
      <c r="U979" s="10"/>
      <c r="V979" s="7">
        <v>7</v>
      </c>
      <c r="W979" s="7"/>
      <c r="X979" s="10">
        <v>1.32</v>
      </c>
      <c r="Y979" s="10"/>
      <c r="Z979" s="11" t="s">
        <v>1306</v>
      </c>
      <c r="AA979" s="11"/>
      <c r="AB979" s="7" t="s">
        <v>13</v>
      </c>
    </row>
    <row r="980" spans="1:28">
      <c r="A980" s="9" t="s">
        <v>945</v>
      </c>
      <c r="B980" s="9" t="s">
        <v>1700</v>
      </c>
      <c r="C980" s="9" t="s">
        <v>1701</v>
      </c>
      <c r="D980" s="7" t="s">
        <v>1808</v>
      </c>
      <c r="E980" s="9" t="s">
        <v>1019</v>
      </c>
      <c r="F980" s="7" t="s">
        <v>1435</v>
      </c>
      <c r="G980" s="7">
        <v>155.19999999999999</v>
      </c>
      <c r="H980" s="9" t="s">
        <v>1030</v>
      </c>
      <c r="I980" s="9" t="s">
        <v>1033</v>
      </c>
      <c r="J980" s="7">
        <v>3</v>
      </c>
      <c r="K980" s="7">
        <v>738.42200000000003</v>
      </c>
      <c r="L980" s="7" t="str">
        <f>HYPERLINK("http://ms.phosphosite.org:5080/cgi-bin/plot-msms.cgi?MassType=1&amp;NumAxis=1&amp;Mod1=184&amp;Mod12=184&amp;Pep=RLQGQQFLNQSRQALELK&amp;Dta=/var/www/html/dta/yong/23616.14809.3.dta&amp;Global_Mod=CS57.0215", "14809")</f>
        <v>14809</v>
      </c>
      <c r="M980" s="7" t="str">
        <f>HYPERLINK("http://ms.phosphosite.org:5080/cgi-bin/plot-msms.cgi?MassType=1&amp;NumAxis=1&amp;Mod1=184&amp;Mod12=184&amp;Pep=RLQGQQFLNQSRQALELK&amp;Dta=/var/www/html/dta/yong/23617.14936.3.dta&amp;Global_Mod=CS57.0215", "14936")</f>
        <v>14936</v>
      </c>
      <c r="N980" s="10">
        <v>69.91</v>
      </c>
      <c r="O980" s="10">
        <v>69.709999999999994</v>
      </c>
      <c r="P980" s="10">
        <v>3.4750000000000001</v>
      </c>
      <c r="Q980" s="10">
        <v>3.4369999999999998</v>
      </c>
      <c r="R980" s="10">
        <v>1.4685999999999999</v>
      </c>
      <c r="S980" s="10">
        <v>1.4510000000000001</v>
      </c>
      <c r="T980" s="10">
        <v>0.2535</v>
      </c>
      <c r="U980" s="10">
        <v>0.20300000000000001</v>
      </c>
      <c r="V980" s="7">
        <v>1</v>
      </c>
      <c r="W980" s="7">
        <v>32</v>
      </c>
      <c r="X980" s="10">
        <v>2.2599999999999998</v>
      </c>
      <c r="Y980" s="10">
        <v>1.9</v>
      </c>
      <c r="Z980" s="11" t="s">
        <v>1306</v>
      </c>
      <c r="AA980" s="11" t="s">
        <v>1306</v>
      </c>
      <c r="AB980" s="7" t="s">
        <v>13</v>
      </c>
    </row>
    <row r="981" spans="1:28">
      <c r="A981" s="9" t="s">
        <v>945</v>
      </c>
      <c r="B981" s="9" t="s">
        <v>1700</v>
      </c>
      <c r="C981" s="9" t="s">
        <v>1701</v>
      </c>
      <c r="D981" s="7" t="s">
        <v>1808</v>
      </c>
      <c r="E981" s="9" t="s">
        <v>1019</v>
      </c>
      <c r="F981" s="7" t="s">
        <v>1435</v>
      </c>
      <c r="G981" s="7">
        <v>155.19999999999999</v>
      </c>
      <c r="H981" s="9" t="s">
        <v>1030</v>
      </c>
      <c r="I981" s="9" t="s">
        <v>1032</v>
      </c>
      <c r="J981" s="7">
        <v>4</v>
      </c>
      <c r="K981" s="7">
        <v>586.0829</v>
      </c>
      <c r="L981" s="7" t="str">
        <f>HYPERLINK("http://ms.phosphosite.org:5080/cgi-bin/plot-msms.cgi?MassType=1&amp;NumAxis=1&amp;Mod2=184&amp;Mod13=184&amp;Pep=QRLQGQQFLNQSRQALELK&amp;Dta=/var/www/html/dta/yong/23616.15001.4.dta&amp;Global_Mod=CS57.0215", "15001")</f>
        <v>15001</v>
      </c>
      <c r="M981" s="7"/>
      <c r="N981" s="10">
        <v>70.73</v>
      </c>
      <c r="O981" s="10"/>
      <c r="P981" s="10">
        <v>3.722</v>
      </c>
      <c r="Q981" s="10"/>
      <c r="R981" s="10">
        <v>0.85209999999999997</v>
      </c>
      <c r="S981" s="10"/>
      <c r="T981" s="10">
        <v>0.2656</v>
      </c>
      <c r="U981" s="10"/>
      <c r="V981" s="7">
        <v>1</v>
      </c>
      <c r="W981" s="7"/>
      <c r="X981" s="10">
        <v>2.44</v>
      </c>
      <c r="Y981" s="10"/>
      <c r="Z981" s="11" t="s">
        <v>1306</v>
      </c>
      <c r="AA981" s="11"/>
      <c r="AB981" s="7" t="s">
        <v>13</v>
      </c>
    </row>
    <row r="982" spans="1:28">
      <c r="A982" s="9" t="s">
        <v>945</v>
      </c>
      <c r="B982" s="9" t="s">
        <v>1700</v>
      </c>
      <c r="C982" s="9" t="s">
        <v>1701</v>
      </c>
      <c r="D982" s="7" t="s">
        <v>1808</v>
      </c>
      <c r="E982" s="9" t="s">
        <v>1019</v>
      </c>
      <c r="F982" s="7" t="s">
        <v>1435</v>
      </c>
      <c r="G982" s="7">
        <v>155.19999999999999</v>
      </c>
      <c r="H982" s="9" t="s">
        <v>1030</v>
      </c>
      <c r="I982" s="9" t="s">
        <v>1032</v>
      </c>
      <c r="J982" s="7">
        <v>3</v>
      </c>
      <c r="K982" s="7">
        <v>781.10820000000001</v>
      </c>
      <c r="L982" s="7" t="str">
        <f>HYPERLINK("http://ms.phosphosite.org:5080/cgi-bin/plot-msms.cgi?MassType=1&amp;NumAxis=1&amp;Mod2=184&amp;Mod13=184&amp;Pep=QRLQGQQFLNQSRQALELK&amp;Dta=/var/www/html/dta/yong/23616.15016.3.dta&amp;Global_Mod=CS57.0215", "15016")</f>
        <v>15016</v>
      </c>
      <c r="M982" s="7" t="str">
        <f>HYPERLINK("http://ms.phosphosite.org:5080/cgi-bin/plot-msms.cgi?MassType=1&amp;NumAxis=1&amp;Mod2=184&amp;Mod13=184&amp;Pep=QRLQGQQFLNQSRQALELK&amp;Dta=/var/www/html/dta/yong/23617.15166.3.dta&amp;Global_Mod=CS57.0215", "15166")</f>
        <v>15166</v>
      </c>
      <c r="N982" s="10">
        <v>70.8</v>
      </c>
      <c r="O982" s="10">
        <v>70.67</v>
      </c>
      <c r="P982" s="10">
        <v>4.7430000000000003</v>
      </c>
      <c r="Q982" s="10">
        <v>4.6109999999999998</v>
      </c>
      <c r="R982" s="10">
        <v>1.2316</v>
      </c>
      <c r="S982" s="10">
        <v>0.58830000000000005</v>
      </c>
      <c r="T982" s="10">
        <v>0.32900000000000001</v>
      </c>
      <c r="U982" s="10">
        <v>0.33189999999999997</v>
      </c>
      <c r="V982" s="7">
        <v>1</v>
      </c>
      <c r="W982" s="7">
        <v>1</v>
      </c>
      <c r="X982" s="10">
        <v>3.06</v>
      </c>
      <c r="Y982" s="10">
        <v>3.03</v>
      </c>
      <c r="Z982" s="11" t="s">
        <v>1306</v>
      </c>
      <c r="AA982" s="11" t="s">
        <v>1306</v>
      </c>
      <c r="AB982" s="7" t="s">
        <v>13</v>
      </c>
    </row>
    <row r="983" spans="1:28">
      <c r="A983" s="9" t="s">
        <v>945</v>
      </c>
      <c r="B983" s="9" t="s">
        <v>1700</v>
      </c>
      <c r="C983" s="9" t="s">
        <v>1701</v>
      </c>
      <c r="D983" s="7" t="s">
        <v>1808</v>
      </c>
      <c r="E983" s="9" t="s">
        <v>1019</v>
      </c>
      <c r="F983" s="7" t="s">
        <v>1435</v>
      </c>
      <c r="G983" s="7">
        <v>155.19999999999999</v>
      </c>
      <c r="H983" s="9" t="s">
        <v>1030</v>
      </c>
      <c r="I983" s="9" t="s">
        <v>1031</v>
      </c>
      <c r="J983" s="7">
        <v>4</v>
      </c>
      <c r="K983" s="7">
        <v>646.36860000000001</v>
      </c>
      <c r="L983" s="7" t="str">
        <f>HYPERLINK("http://ms.phosphosite.org:5080/cgi-bin/plot-msms.cgi?MassType=1&amp;NumAxis=1&amp;Mod4=184&amp;Mod15=184&amp;Pep=LQQRLQGQQFLNQSRQALELK&amp;Dta=/var/www/html/dta/yong/23616.16061.4.dta&amp;Global_Mod=CS57.0215", "16061")</f>
        <v>16061</v>
      </c>
      <c r="M983" s="7"/>
      <c r="N983" s="10">
        <v>75.12</v>
      </c>
      <c r="O983" s="10"/>
      <c r="P983" s="10">
        <v>3.3580000000000001</v>
      </c>
      <c r="Q983" s="10"/>
      <c r="R983" s="10">
        <v>0.86339999999999995</v>
      </c>
      <c r="S983" s="10"/>
      <c r="T983" s="10">
        <v>0.13020000000000001</v>
      </c>
      <c r="U983" s="10"/>
      <c r="V983" s="7">
        <v>1</v>
      </c>
      <c r="W983" s="7"/>
      <c r="X983" s="10">
        <v>1.55</v>
      </c>
      <c r="Y983" s="10"/>
      <c r="Z983" s="11" t="s">
        <v>1306</v>
      </c>
      <c r="AA983" s="11"/>
      <c r="AB983" s="7" t="s">
        <v>13</v>
      </c>
    </row>
    <row r="984" spans="1:28">
      <c r="A984" s="9" t="s">
        <v>945</v>
      </c>
      <c r="B984" s="9" t="s">
        <v>1700</v>
      </c>
      <c r="C984" s="9" t="s">
        <v>1701</v>
      </c>
      <c r="D984" s="7" t="s">
        <v>1808</v>
      </c>
      <c r="E984" s="9" t="s">
        <v>1019</v>
      </c>
      <c r="F984" s="7" t="s">
        <v>1435</v>
      </c>
      <c r="G984" s="7">
        <v>155.19999999999999</v>
      </c>
      <c r="H984" s="9" t="s">
        <v>1030</v>
      </c>
      <c r="I984" s="9" t="s">
        <v>1032</v>
      </c>
      <c r="J984" s="7">
        <v>3</v>
      </c>
      <c r="K984" s="7">
        <v>781.10820000000001</v>
      </c>
      <c r="L984" s="7"/>
      <c r="M984" s="7" t="str">
        <f>HYPERLINK("http://ms.phosphosite.org:5080/cgi-bin/plot-msms.cgi?MassType=1&amp;NumAxis=1&amp;Mod2=184&amp;Mod13=184&amp;Pep=QRLQGQQFLNQSRQALELK&amp;Dta=/var/www/html/dta/yong/23617.15191.3.dta&amp;Global_Mod=CS57.0215", "15191")</f>
        <v>15191</v>
      </c>
      <c r="N984" s="10"/>
      <c r="O984" s="10">
        <v>70.77</v>
      </c>
      <c r="P984" s="10"/>
      <c r="Q984" s="10">
        <v>3.8769999999999998</v>
      </c>
      <c r="R984" s="10"/>
      <c r="S984" s="10">
        <v>0.58830000000000005</v>
      </c>
      <c r="T984" s="10"/>
      <c r="U984" s="10">
        <v>0.2029</v>
      </c>
      <c r="V984" s="7"/>
      <c r="W984" s="7">
        <v>1</v>
      </c>
      <c r="X984" s="10"/>
      <c r="Y984" s="10">
        <v>2.08</v>
      </c>
      <c r="Z984" s="11"/>
      <c r="AA984" s="11" t="s">
        <v>1306</v>
      </c>
      <c r="AB984" s="7" t="s">
        <v>13</v>
      </c>
    </row>
    <row r="985" spans="1:28">
      <c r="A985" s="9" t="s">
        <v>945</v>
      </c>
      <c r="B985" s="9" t="s">
        <v>1700</v>
      </c>
      <c r="C985" s="9" t="s">
        <v>1701</v>
      </c>
      <c r="D985" s="7">
        <v>951</v>
      </c>
      <c r="E985" s="9" t="s">
        <v>1019</v>
      </c>
      <c r="F985" s="7" t="s">
        <v>1435</v>
      </c>
      <c r="G985" s="7">
        <v>155.19999999999999</v>
      </c>
      <c r="H985" s="9" t="s">
        <v>1034</v>
      </c>
      <c r="I985" s="9" t="s">
        <v>1035</v>
      </c>
      <c r="J985" s="7">
        <v>3</v>
      </c>
      <c r="K985" s="7">
        <v>826.45519999999999</v>
      </c>
      <c r="L985" s="7"/>
      <c r="M985" s="7" t="str">
        <f>HYPERLINK("http://ms.phosphosite.org:5080/cgi-bin/plot-msms.cgi?MassType=1&amp;NumAxis=1&amp;Mod11=184&amp;Pep=PGGDYNTSLPRPALGGSIPTLPLR&amp;Dta=/var/www/html/dta/yong/23617.21208.3.dta&amp;Global_Mod=CS57.0215", "21208")</f>
        <v>21208</v>
      </c>
      <c r="N985" s="10"/>
      <c r="O985" s="10">
        <v>96.25</v>
      </c>
      <c r="P985" s="10"/>
      <c r="Q985" s="10">
        <v>3.5529999999999999</v>
      </c>
      <c r="R985" s="10"/>
      <c r="S985" s="10">
        <v>1.8748</v>
      </c>
      <c r="T985" s="10"/>
      <c r="U985" s="10">
        <v>0.45069999999999999</v>
      </c>
      <c r="V985" s="7"/>
      <c r="W985" s="7">
        <v>1</v>
      </c>
      <c r="X985" s="10"/>
      <c r="Y985" s="10">
        <v>3.62</v>
      </c>
      <c r="Z985" s="11"/>
      <c r="AA985" s="11">
        <v>1000</v>
      </c>
      <c r="AB985" s="7" t="s">
        <v>13</v>
      </c>
    </row>
    <row r="986" spans="1:28">
      <c r="A986" s="3" t="s">
        <v>945</v>
      </c>
      <c r="B986" s="9" t="s">
        <v>1700</v>
      </c>
      <c r="C986" s="9" t="s">
        <v>1701</v>
      </c>
      <c r="D986" s="4" t="s">
        <v>1809</v>
      </c>
      <c r="E986" s="3" t="s">
        <v>1019</v>
      </c>
      <c r="F986" s="7" t="s">
        <v>1435</v>
      </c>
      <c r="G986" s="4">
        <v>155.19999999999999</v>
      </c>
      <c r="H986" s="3" t="s">
        <v>1020</v>
      </c>
      <c r="I986" s="3" t="s">
        <v>1022</v>
      </c>
      <c r="J986" s="4">
        <v>5</v>
      </c>
      <c r="K986" s="4">
        <v>654.1712</v>
      </c>
      <c r="L986" s="4" t="str">
        <f>HYPERLINK("http://ms.phosphosite.org:5080/cgi-bin/plot-msms.cgi?MassType=1&amp;NumAxis=1&amp;Mod3=184&amp;Mod9=184&amp;Mod20=184&amp;Pep=QLRMQLQQRLQGQQFLNQSRQALELK&amp;Dta=/var/www/html/dta/yong/23616.18412.5.dta&amp;Global_Mod=CS57.0215", "18412")</f>
        <v>18412</v>
      </c>
      <c r="M986" s="4"/>
      <c r="N986" s="5">
        <v>85.1</v>
      </c>
      <c r="O986" s="5"/>
      <c r="P986" s="5">
        <v>3.1829999999999998</v>
      </c>
      <c r="Q986" s="5"/>
      <c r="R986" s="5">
        <v>0.42980000000000002</v>
      </c>
      <c r="S986" s="5"/>
      <c r="T986" s="5">
        <v>0.12540000000000001</v>
      </c>
      <c r="U986" s="5"/>
      <c r="V986" s="4">
        <v>188</v>
      </c>
      <c r="W986" s="4"/>
      <c r="X986" s="5">
        <v>1.21</v>
      </c>
      <c r="Y986" s="5"/>
      <c r="Z986" s="6" t="s">
        <v>1307</v>
      </c>
      <c r="AA986" s="6"/>
      <c r="AB986" s="4" t="s">
        <v>13</v>
      </c>
    </row>
    <row r="987" spans="1:28">
      <c r="A987" s="3" t="s">
        <v>945</v>
      </c>
      <c r="B987" s="9" t="s">
        <v>1700</v>
      </c>
      <c r="C987" s="9" t="s">
        <v>1701</v>
      </c>
      <c r="D987" s="4" t="s">
        <v>1809</v>
      </c>
      <c r="E987" s="3" t="s">
        <v>1019</v>
      </c>
      <c r="F987" s="7" t="s">
        <v>1435</v>
      </c>
      <c r="G987" s="4">
        <v>155.19999999999999</v>
      </c>
      <c r="H987" s="3" t="s">
        <v>1020</v>
      </c>
      <c r="I987" s="3" t="s">
        <v>1022</v>
      </c>
      <c r="J987" s="4">
        <v>5</v>
      </c>
      <c r="K987" s="4">
        <v>654.1712</v>
      </c>
      <c r="L987" s="4" t="str">
        <f>HYPERLINK("http://ms.phosphosite.org:5080/cgi-bin/plot-msms.cgi?MassType=1&amp;NumAxis=1&amp;Mod3=184&amp;Mod9=184&amp;Mod20=184&amp;Pep=QLRMQLQQRLQGQQFLNQSRQALELK&amp;Dta=/var/www/html/dta/yong/23616.18454.5.dta&amp;Global_Mod=CS57.0215", "18454")</f>
        <v>18454</v>
      </c>
      <c r="M987" s="4" t="str">
        <f>HYPERLINK("http://ms.phosphosite.org:5080/cgi-bin/plot-msms.cgi?MassType=1&amp;NumAxis=1&amp;Mod3=184&amp;Mod9=184&amp;Mod20=184&amp;Pep=QLRMQLQQRLQGQQFLNQSRQALELK&amp;Dta=/var/www/html/dta/yong/23617.18602.5.dta&amp;Global_Mod=CS57.0215", "18602")</f>
        <v>18602</v>
      </c>
      <c r="N987" s="5">
        <v>85.28</v>
      </c>
      <c r="O987" s="5">
        <v>85.14</v>
      </c>
      <c r="P987" s="5">
        <v>3.1320000000000001</v>
      </c>
      <c r="Q987" s="5">
        <v>3.5190000000000001</v>
      </c>
      <c r="R987" s="5">
        <v>0.42980000000000002</v>
      </c>
      <c r="S987" s="5">
        <v>0.3362</v>
      </c>
      <c r="T987" s="5">
        <v>0.1535</v>
      </c>
      <c r="U987" s="5">
        <v>0.22409999999999999</v>
      </c>
      <c r="V987" s="4">
        <v>5</v>
      </c>
      <c r="W987" s="4">
        <v>4</v>
      </c>
      <c r="X987" s="5">
        <v>1.43</v>
      </c>
      <c r="Y987" s="5">
        <v>1.87</v>
      </c>
      <c r="Z987" s="6" t="s">
        <v>1307</v>
      </c>
      <c r="AA987" s="6" t="s">
        <v>1307</v>
      </c>
      <c r="AB987" s="4" t="s">
        <v>13</v>
      </c>
    </row>
    <row r="988" spans="1:28">
      <c r="A988" s="3" t="s">
        <v>945</v>
      </c>
      <c r="B988" s="9" t="s">
        <v>1700</v>
      </c>
      <c r="C988" s="9" t="s">
        <v>1701</v>
      </c>
      <c r="D988" s="4" t="s">
        <v>1809</v>
      </c>
      <c r="E988" s="3" t="s">
        <v>1019</v>
      </c>
      <c r="F988" s="7" t="s">
        <v>1435</v>
      </c>
      <c r="G988" s="4">
        <v>155.19999999999999</v>
      </c>
      <c r="H988" s="3" t="s">
        <v>1020</v>
      </c>
      <c r="I988" s="3" t="s">
        <v>1021</v>
      </c>
      <c r="J988" s="4">
        <v>4</v>
      </c>
      <c r="K988" s="4">
        <v>728.90539999999999</v>
      </c>
      <c r="L988" s="4"/>
      <c r="M988" s="4" t="str">
        <f>HYPERLINK("http://ms.phosphosite.org:5080/cgi-bin/plot-msms.cgi?MassType=1&amp;NumAxis=1&amp;Mod3=184&amp;Mod4=147&amp;Mod9=184&amp;Mod20=184&amp;Pep=QLRMQLQQRLQGQQFLNQSRQAL&amp;Dta=/var/www/html/dta/yong/23617.16165.4.dta&amp;Global_Mod=CS57.0215", "16165")</f>
        <v>16165</v>
      </c>
      <c r="N988" s="5"/>
      <c r="O988" s="5">
        <v>74.739999999999995</v>
      </c>
      <c r="P988" s="5"/>
      <c r="Q988" s="5">
        <v>2.7730000000000001</v>
      </c>
      <c r="R988" s="5"/>
      <c r="S988" s="5">
        <v>1.0146999999999999</v>
      </c>
      <c r="T988" s="5"/>
      <c r="U988" s="5">
        <v>0.14729999999999999</v>
      </c>
      <c r="V988" s="4"/>
      <c r="W988" s="4">
        <v>1</v>
      </c>
      <c r="X988" s="5"/>
      <c r="Y988" s="5">
        <v>1.2</v>
      </c>
      <c r="Z988" s="6"/>
      <c r="AA988" s="6" t="s">
        <v>1307</v>
      </c>
      <c r="AB988" s="4" t="s">
        <v>13</v>
      </c>
    </row>
    <row r="989" spans="1:28">
      <c r="A989" s="3" t="s">
        <v>945</v>
      </c>
      <c r="B989" s="9" t="s">
        <v>1700</v>
      </c>
      <c r="C989" s="9" t="s">
        <v>1701</v>
      </c>
      <c r="D989" s="4">
        <v>1171</v>
      </c>
      <c r="E989" s="3" t="s">
        <v>1019</v>
      </c>
      <c r="F989" s="7" t="s">
        <v>1435</v>
      </c>
      <c r="G989" s="4">
        <v>155.19999999999999</v>
      </c>
      <c r="H989" s="3" t="s">
        <v>1028</v>
      </c>
      <c r="I989" s="3" t="s">
        <v>1029</v>
      </c>
      <c r="J989" s="4">
        <v>3</v>
      </c>
      <c r="K989" s="4">
        <v>410.23630000000003</v>
      </c>
      <c r="L989" s="4"/>
      <c r="M989" s="4" t="str">
        <f>HYPERLINK("http://ms.phosphosite.org:5080/cgi-bin/plot-msms.cgi?MassType=1&amp;NumAxis=1&amp;Mod3=184&amp;Pep=QLRMQLQQR&amp;Dta=/var/www/html/dta/yong/23617.6701.3.dta&amp;Global_Mod=CS57.0215", "6701")</f>
        <v>6701</v>
      </c>
      <c r="N989" s="5"/>
      <c r="O989" s="5">
        <v>34.92</v>
      </c>
      <c r="P989" s="5"/>
      <c r="Q989" s="5">
        <v>2.1339999999999999</v>
      </c>
      <c r="R989" s="5"/>
      <c r="S989" s="5">
        <v>0.29780000000000001</v>
      </c>
      <c r="T989" s="5"/>
      <c r="U989" s="5">
        <v>7.6200000000000004E-2</v>
      </c>
      <c r="V989" s="4"/>
      <c r="W989" s="4">
        <v>5</v>
      </c>
      <c r="X989" s="5"/>
      <c r="Y989" s="5">
        <v>1.1200000000000001</v>
      </c>
      <c r="Z989" s="6"/>
      <c r="AA989" s="6">
        <v>1000</v>
      </c>
      <c r="AB989" s="4" t="s">
        <v>13</v>
      </c>
    </row>
    <row r="990" spans="1:28">
      <c r="A990" s="9" t="s">
        <v>945</v>
      </c>
      <c r="B990" s="9" t="s">
        <v>1036</v>
      </c>
      <c r="C990" s="9" t="s">
        <v>1037</v>
      </c>
      <c r="D990" s="7">
        <v>676</v>
      </c>
      <c r="E990" s="9" t="s">
        <v>1038</v>
      </c>
      <c r="F990" s="7" t="s">
        <v>1436</v>
      </c>
      <c r="G990" s="7">
        <v>219</v>
      </c>
      <c r="H990" s="9" t="s">
        <v>1044</v>
      </c>
      <c r="I990" s="9" t="s">
        <v>1045</v>
      </c>
      <c r="J990" s="7">
        <v>3</v>
      </c>
      <c r="K990" s="7">
        <v>795.05709999999999</v>
      </c>
      <c r="L990" s="7" t="str">
        <f>HYPERLINK("http://ms.phosphosite.org:5080/cgi-bin/plot-msms.cgi?MassType=1&amp;NumAxis=1&amp;Mod1=147&amp;Mod2=147&amp;Mod16=184&amp;Mod17=147&amp;Pep=MMVNPPSQNLGPSPQRMTPPK&amp;Dta=/var/www/html/dta/yong/23616.7143.3.dta&amp;Global_Mod=CS57.0215", "7143")</f>
        <v>7143</v>
      </c>
      <c r="M990" s="7"/>
      <c r="N990" s="10">
        <v>37.07</v>
      </c>
      <c r="O990" s="10"/>
      <c r="P990" s="10">
        <v>2.4020000000000001</v>
      </c>
      <c r="Q990" s="10"/>
      <c r="R990" s="10">
        <v>1.3327</v>
      </c>
      <c r="S990" s="10"/>
      <c r="T990" s="10">
        <v>0.16139999999999999</v>
      </c>
      <c r="U990" s="10"/>
      <c r="V990" s="7">
        <v>16</v>
      </c>
      <c r="W990" s="7"/>
      <c r="X990" s="10">
        <v>1.68</v>
      </c>
      <c r="Y990" s="10"/>
      <c r="Z990" s="11">
        <v>1000</v>
      </c>
      <c r="AA990" s="11"/>
      <c r="AB990" s="7" t="s">
        <v>13</v>
      </c>
    </row>
    <row r="991" spans="1:28">
      <c r="A991" s="9" t="s">
        <v>945</v>
      </c>
      <c r="B991" s="9" t="s">
        <v>1036</v>
      </c>
      <c r="C991" s="9" t="s">
        <v>1037</v>
      </c>
      <c r="D991" s="7">
        <v>676</v>
      </c>
      <c r="E991" s="9" t="s">
        <v>1038</v>
      </c>
      <c r="F991" s="7" t="s">
        <v>1436</v>
      </c>
      <c r="G991" s="7">
        <v>219</v>
      </c>
      <c r="H991" s="9" t="s">
        <v>1044</v>
      </c>
      <c r="I991" s="9" t="s">
        <v>1046</v>
      </c>
      <c r="J991" s="7">
        <v>3</v>
      </c>
      <c r="K991" s="7">
        <v>789.72540000000004</v>
      </c>
      <c r="L991" s="7" t="str">
        <f>HYPERLINK("http://ms.phosphosite.org:5080/cgi-bin/plot-msms.cgi?MassType=1&amp;NumAxis=1&amp;Mod2=147&amp;Mod16=184&amp;Mod17=147&amp;Pep=MMVNPPSQNLGPSPQRMTPPK&amp;Dta=/var/www/html/dta/yong/23616.8962.3.dta&amp;Global_Mod=CS57.0215", "8962")</f>
        <v>8962</v>
      </c>
      <c r="M991" s="7"/>
      <c r="N991" s="10">
        <v>44.69</v>
      </c>
      <c r="O991" s="10"/>
      <c r="P991" s="10">
        <v>2.2360000000000002</v>
      </c>
      <c r="Q991" s="10"/>
      <c r="R991" s="10">
        <v>0.6532</v>
      </c>
      <c r="S991" s="10"/>
      <c r="T991" s="10">
        <v>0.1716</v>
      </c>
      <c r="U991" s="10"/>
      <c r="V991" s="7">
        <v>19</v>
      </c>
      <c r="W991" s="7"/>
      <c r="X991" s="10">
        <v>1.72</v>
      </c>
      <c r="Y991" s="10"/>
      <c r="Z991" s="11">
        <v>1000</v>
      </c>
      <c r="AA991" s="11"/>
      <c r="AB991" s="7" t="s">
        <v>13</v>
      </c>
    </row>
    <row r="992" spans="1:28">
      <c r="A992" s="9" t="s">
        <v>945</v>
      </c>
      <c r="B992" s="9" t="s">
        <v>1036</v>
      </c>
      <c r="C992" s="9" t="s">
        <v>1037</v>
      </c>
      <c r="D992" s="7">
        <v>1263</v>
      </c>
      <c r="E992" s="9" t="s">
        <v>1038</v>
      </c>
      <c r="F992" s="7" t="s">
        <v>1436</v>
      </c>
      <c r="G992" s="7">
        <v>219</v>
      </c>
      <c r="H992" s="9" t="s">
        <v>1041</v>
      </c>
      <c r="I992" s="9" t="s">
        <v>1042</v>
      </c>
      <c r="J992" s="7">
        <v>3</v>
      </c>
      <c r="K992" s="7">
        <v>917.53250000000003</v>
      </c>
      <c r="L992" s="7" t="str">
        <f>HYPERLINK("http://ms.phosphosite.org:5080/cgi-bin/plot-msms.cgi?MassType=1&amp;NumAxis=1&amp;Mod20=184&amp;Pep=LNASIAGLFPPQINIPLPPRPNLNR&amp;Dta=/var/www/html/dta/yong/23616.27339.3.dta&amp;Global_Mod=CS57.0215", "27339")</f>
        <v>27339</v>
      </c>
      <c r="M992" s="7" t="str">
        <f>HYPERLINK("http://ms.phosphosite.org:5080/cgi-bin/plot-msms.cgi?MassType=1&amp;NumAxis=1&amp;Mod20=184&amp;Pep=LNASIAGLFPPQINIPLPPRPNLNR&amp;Dta=/var/www/html/dta/yong/23617.28842.3.dta&amp;Global_Mod=CS57.0215", "28842")</f>
        <v>28842</v>
      </c>
      <c r="N992" s="10">
        <v>122.27</v>
      </c>
      <c r="O992" s="10">
        <v>128.93</v>
      </c>
      <c r="P992" s="10">
        <v>3.5230000000000001</v>
      </c>
      <c r="Q992" s="10">
        <v>3.3239999999999998</v>
      </c>
      <c r="R992" s="10">
        <v>1.1669</v>
      </c>
      <c r="S992" s="10">
        <v>1.3837999999999999</v>
      </c>
      <c r="T992" s="10">
        <v>0.24149999999999999</v>
      </c>
      <c r="U992" s="10">
        <v>0.18790000000000001</v>
      </c>
      <c r="V992" s="7">
        <v>3</v>
      </c>
      <c r="W992" s="7">
        <v>14</v>
      </c>
      <c r="X992" s="10">
        <v>2.61</v>
      </c>
      <c r="Y992" s="10">
        <v>2.11</v>
      </c>
      <c r="Z992" s="11">
        <v>1000</v>
      </c>
      <c r="AA992" s="11">
        <v>1000</v>
      </c>
      <c r="AB992" s="7" t="s">
        <v>13</v>
      </c>
    </row>
    <row r="993" spans="1:28">
      <c r="A993" s="9" t="s">
        <v>945</v>
      </c>
      <c r="B993" s="9" t="s">
        <v>1036</v>
      </c>
      <c r="C993" s="9" t="s">
        <v>1037</v>
      </c>
      <c r="D993" s="7">
        <v>1263</v>
      </c>
      <c r="E993" s="9" t="s">
        <v>1038</v>
      </c>
      <c r="F993" s="7" t="s">
        <v>1436</v>
      </c>
      <c r="G993" s="7">
        <v>219</v>
      </c>
      <c r="H993" s="9" t="s">
        <v>1041</v>
      </c>
      <c r="I993" s="9" t="s">
        <v>1042</v>
      </c>
      <c r="J993" s="7">
        <v>3</v>
      </c>
      <c r="K993" s="7">
        <v>917.53250000000003</v>
      </c>
      <c r="L993" s="7" t="str">
        <f>HYPERLINK("http://ms.phosphosite.org:5080/cgi-bin/plot-msms.cgi?MassType=1&amp;NumAxis=1&amp;Mod20=184&amp;Pep=LNASIAGLFPPQINIPLPPRPNLNR&amp;Dta=/var/www/html/dta/yong/23616.27368.3.dta&amp;Global_Mod=CS57.0215", "27368")</f>
        <v>27368</v>
      </c>
      <c r="M993" s="7" t="str">
        <f>HYPERLINK("http://ms.phosphosite.org:5080/cgi-bin/plot-msms.cgi?MassType=1&amp;NumAxis=1&amp;Mod20=184&amp;Pep=LNASIAGLFPPQINIPLPPRPNLNR&amp;Dta=/var/www/html/dta/yong/23617.28247.3.dta&amp;Global_Mod=CS57.0215", "28247")</f>
        <v>28247</v>
      </c>
      <c r="N993" s="10">
        <v>122.41</v>
      </c>
      <c r="O993" s="10">
        <v>126.05</v>
      </c>
      <c r="P993" s="10">
        <v>3.0960000000000001</v>
      </c>
      <c r="Q993" s="10">
        <v>3.508</v>
      </c>
      <c r="R993" s="10">
        <v>1.133</v>
      </c>
      <c r="S993" s="10">
        <v>1.3005</v>
      </c>
      <c r="T993" s="10">
        <v>0.17710000000000001</v>
      </c>
      <c r="U993" s="10">
        <v>0.2863</v>
      </c>
      <c r="V993" s="7">
        <v>1</v>
      </c>
      <c r="W993" s="7">
        <v>6</v>
      </c>
      <c r="X993" s="10">
        <v>2.13</v>
      </c>
      <c r="Y993" s="10">
        <v>2.73</v>
      </c>
      <c r="Z993" s="11">
        <v>1000</v>
      </c>
      <c r="AA993" s="11">
        <v>1000</v>
      </c>
      <c r="AB993" s="7" t="s">
        <v>13</v>
      </c>
    </row>
    <row r="994" spans="1:28">
      <c r="A994" s="9" t="s">
        <v>945</v>
      </c>
      <c r="B994" s="9" t="s">
        <v>1036</v>
      </c>
      <c r="C994" s="9" t="s">
        <v>1037</v>
      </c>
      <c r="D994" s="7">
        <v>1263</v>
      </c>
      <c r="E994" s="9" t="s">
        <v>1038</v>
      </c>
      <c r="F994" s="7" t="s">
        <v>1436</v>
      </c>
      <c r="G994" s="7">
        <v>219</v>
      </c>
      <c r="H994" s="9" t="s">
        <v>1041</v>
      </c>
      <c r="I994" s="9" t="s">
        <v>1042</v>
      </c>
      <c r="J994" s="7">
        <v>3</v>
      </c>
      <c r="K994" s="7">
        <v>917.53250000000003</v>
      </c>
      <c r="L994" s="7" t="str">
        <f>HYPERLINK("http://ms.phosphosite.org:5080/cgi-bin/plot-msms.cgi?MassType=1&amp;NumAxis=1&amp;Mod20=184&amp;Pep=LNASIAGLFPPQINIPLPPRPNLNR&amp;Dta=/var/www/html/dta/yong/23616.27992.3.dta&amp;Global_Mod=CS57.0215", "27992")</f>
        <v>27992</v>
      </c>
      <c r="M994" s="7" t="str">
        <f>HYPERLINK("http://ms.phosphosite.org:5080/cgi-bin/plot-msms.cgi?MassType=1&amp;NumAxis=1&amp;Mod20=184&amp;Pep=LNASIAGLFPPQINIPLPPRPNLNR&amp;Dta=/var/www/html/dta/yong/23617.28581.3.dta&amp;Global_Mod=CS57.0215", "28581")</f>
        <v>28581</v>
      </c>
      <c r="N994" s="10">
        <v>125.28</v>
      </c>
      <c r="O994" s="10">
        <v>127.66</v>
      </c>
      <c r="P994" s="10">
        <v>3.7930000000000001</v>
      </c>
      <c r="Q994" s="10">
        <v>3.6339999999999999</v>
      </c>
      <c r="R994" s="10">
        <v>0.98460000000000003</v>
      </c>
      <c r="S994" s="10">
        <v>1.0394000000000001</v>
      </c>
      <c r="T994" s="10">
        <v>0.1769</v>
      </c>
      <c r="U994" s="10">
        <v>0.29630000000000001</v>
      </c>
      <c r="V994" s="7">
        <v>47</v>
      </c>
      <c r="W994" s="7">
        <v>5</v>
      </c>
      <c r="X994" s="10">
        <v>2.3199999999999998</v>
      </c>
      <c r="Y994" s="10">
        <v>2.84</v>
      </c>
      <c r="Z994" s="11">
        <v>1000</v>
      </c>
      <c r="AA994" s="11">
        <v>1000</v>
      </c>
      <c r="AB994" s="7" t="s">
        <v>13</v>
      </c>
    </row>
    <row r="995" spans="1:28">
      <c r="A995" s="9" t="s">
        <v>945</v>
      </c>
      <c r="B995" s="9" t="s">
        <v>1036</v>
      </c>
      <c r="C995" s="9" t="s">
        <v>1037</v>
      </c>
      <c r="D995" s="7">
        <v>1263</v>
      </c>
      <c r="E995" s="9" t="s">
        <v>1038</v>
      </c>
      <c r="F995" s="7" t="s">
        <v>1436</v>
      </c>
      <c r="G995" s="7">
        <v>219</v>
      </c>
      <c r="H995" s="9" t="s">
        <v>1041</v>
      </c>
      <c r="I995" s="9" t="s">
        <v>1042</v>
      </c>
      <c r="J995" s="7">
        <v>3</v>
      </c>
      <c r="K995" s="7">
        <v>917.53250000000003</v>
      </c>
      <c r="L995" s="7" t="str">
        <f>HYPERLINK("http://ms.phosphosite.org:5080/cgi-bin/plot-msms.cgi?MassType=1&amp;NumAxis=1&amp;Mod20=184&amp;Pep=LNASIAGLFPPQINIPLPPRPNLNR&amp;Dta=/var/www/html/dta/yong/23616.28144.3.dta&amp;Global_Mod=CS57.0215", "28144")</f>
        <v>28144</v>
      </c>
      <c r="M995" s="7" t="str">
        <f>HYPERLINK("http://ms.phosphosite.org:5080/cgi-bin/plot-msms.cgi?MassType=1&amp;NumAxis=1&amp;Mod20=184&amp;Pep=LNASIAGLFPPQINIPLPPRPNLNR&amp;Dta=/var/www/html/dta/yong/23617.28989.3.dta&amp;Global_Mod=CS57.0215", "28989")</f>
        <v>28989</v>
      </c>
      <c r="N995" s="10">
        <v>125.96</v>
      </c>
      <c r="O995" s="10">
        <v>129.63999999999999</v>
      </c>
      <c r="P995" s="10">
        <v>4.09</v>
      </c>
      <c r="Q995" s="10">
        <v>3.391</v>
      </c>
      <c r="R995" s="10">
        <v>1.1657999999999999</v>
      </c>
      <c r="S995" s="10">
        <v>1.9696</v>
      </c>
      <c r="T995" s="10">
        <v>0.31059999999999999</v>
      </c>
      <c r="U995" s="10">
        <v>0.2797</v>
      </c>
      <c r="V995" s="7">
        <v>4</v>
      </c>
      <c r="W995" s="7">
        <v>3</v>
      </c>
      <c r="X995" s="10">
        <v>3.17</v>
      </c>
      <c r="Y995" s="10">
        <v>2.62</v>
      </c>
      <c r="Z995" s="11">
        <v>1000</v>
      </c>
      <c r="AA995" s="11">
        <v>1000</v>
      </c>
      <c r="AB995" s="7" t="s">
        <v>13</v>
      </c>
    </row>
    <row r="996" spans="1:28">
      <c r="A996" s="9" t="s">
        <v>945</v>
      </c>
      <c r="B996" s="9" t="s">
        <v>1036</v>
      </c>
      <c r="C996" s="9" t="s">
        <v>1037</v>
      </c>
      <c r="D996" s="7">
        <v>1263</v>
      </c>
      <c r="E996" s="9" t="s">
        <v>1038</v>
      </c>
      <c r="F996" s="7" t="s">
        <v>1436</v>
      </c>
      <c r="G996" s="7">
        <v>219</v>
      </c>
      <c r="H996" s="9" t="s">
        <v>1041</v>
      </c>
      <c r="I996" s="9" t="s">
        <v>1042</v>
      </c>
      <c r="J996" s="7">
        <v>3</v>
      </c>
      <c r="K996" s="7">
        <v>917.53250000000003</v>
      </c>
      <c r="L996" s="7" t="str">
        <f>HYPERLINK("http://ms.phosphosite.org:5080/cgi-bin/plot-msms.cgi?MassType=1&amp;NumAxis=1&amp;Mod20=184&amp;Pep=LNASIAGLFPPQINIPLPPRPNLNR&amp;Dta=/var/www/html/dta/yong/23616.28599.3.dta&amp;Global_Mod=CS57.0215", "28599")</f>
        <v>28599</v>
      </c>
      <c r="M996" s="7" t="str">
        <f>HYPERLINK("http://ms.phosphosite.org:5080/cgi-bin/plot-msms.cgi?MassType=1&amp;NumAxis=1&amp;Mod20=184&amp;Pep=LNASIAGLFPPQINIPLPPRPNLNR&amp;Dta=/var/www/html/dta/yong/23617.27460.3.dta&amp;Global_Mod=CS57.0215", "27460")</f>
        <v>27460</v>
      </c>
      <c r="N996" s="10">
        <v>128.12</v>
      </c>
      <c r="O996" s="10">
        <v>122.39</v>
      </c>
      <c r="P996" s="10">
        <v>3.5649999999999999</v>
      </c>
      <c r="Q996" s="10">
        <v>3.9630000000000001</v>
      </c>
      <c r="R996" s="10">
        <v>1.3162</v>
      </c>
      <c r="S996" s="10">
        <v>1.1903999999999999</v>
      </c>
      <c r="T996" s="10">
        <v>0.2802</v>
      </c>
      <c r="U996" s="10">
        <v>0.38219999999999998</v>
      </c>
      <c r="V996" s="7">
        <v>2</v>
      </c>
      <c r="W996" s="7">
        <v>2</v>
      </c>
      <c r="X996" s="10">
        <v>2.84</v>
      </c>
      <c r="Y996" s="10">
        <v>3.41</v>
      </c>
      <c r="Z996" s="11">
        <v>1000</v>
      </c>
      <c r="AA996" s="11">
        <v>1000</v>
      </c>
      <c r="AB996" s="7" t="s">
        <v>13</v>
      </c>
    </row>
    <row r="997" spans="1:28">
      <c r="A997" s="9" t="s">
        <v>945</v>
      </c>
      <c r="B997" s="9" t="s">
        <v>1036</v>
      </c>
      <c r="C997" s="9" t="s">
        <v>1037</v>
      </c>
      <c r="D997" s="7">
        <v>1263</v>
      </c>
      <c r="E997" s="9" t="s">
        <v>1038</v>
      </c>
      <c r="F997" s="7" t="s">
        <v>1436</v>
      </c>
      <c r="G997" s="7">
        <v>219</v>
      </c>
      <c r="H997" s="9" t="s">
        <v>1041</v>
      </c>
      <c r="I997" s="9" t="s">
        <v>1042</v>
      </c>
      <c r="J997" s="7">
        <v>3</v>
      </c>
      <c r="K997" s="7">
        <v>917.53250000000003</v>
      </c>
      <c r="L997" s="7" t="str">
        <f>HYPERLINK("http://ms.phosphosite.org:5080/cgi-bin/plot-msms.cgi?MassType=1&amp;NumAxis=1&amp;Mod20=184&amp;Pep=LNASIAGLFPPQINIPLPPRPNLNR&amp;Dta=/var/www/html/dta/yong/23616.28834.3.dta&amp;Global_Mod=CS57.0215", "28834")</f>
        <v>28834</v>
      </c>
      <c r="M997" s="7"/>
      <c r="N997" s="10">
        <v>129.25</v>
      </c>
      <c r="O997" s="10"/>
      <c r="P997" s="10">
        <v>3.0710000000000002</v>
      </c>
      <c r="Q997" s="10"/>
      <c r="R997" s="10">
        <v>1.1841999999999999</v>
      </c>
      <c r="S997" s="10"/>
      <c r="T997" s="10">
        <v>4.2599999999999999E-2</v>
      </c>
      <c r="U997" s="10"/>
      <c r="V997" s="7">
        <v>4</v>
      </c>
      <c r="W997" s="7"/>
      <c r="X997" s="10">
        <v>1.36</v>
      </c>
      <c r="Y997" s="10"/>
      <c r="Z997" s="11">
        <v>1000</v>
      </c>
      <c r="AA997" s="11"/>
      <c r="AB997" s="7" t="s">
        <v>13</v>
      </c>
    </row>
    <row r="998" spans="1:28">
      <c r="A998" s="9" t="s">
        <v>945</v>
      </c>
      <c r="B998" s="9" t="s">
        <v>1036</v>
      </c>
      <c r="C998" s="9" t="s">
        <v>1037</v>
      </c>
      <c r="D998" s="7">
        <v>1263</v>
      </c>
      <c r="E998" s="9" t="s">
        <v>1038</v>
      </c>
      <c r="F998" s="7" t="s">
        <v>1436</v>
      </c>
      <c r="G998" s="7">
        <v>219</v>
      </c>
      <c r="H998" s="9" t="s">
        <v>1041</v>
      </c>
      <c r="I998" s="9" t="s">
        <v>1042</v>
      </c>
      <c r="J998" s="7">
        <v>3</v>
      </c>
      <c r="K998" s="7">
        <v>917.53250000000003</v>
      </c>
      <c r="L998" s="7" t="str">
        <f>HYPERLINK("http://ms.phosphosite.org:5080/cgi-bin/plot-msms.cgi?MassType=1&amp;NumAxis=1&amp;Mod20=184&amp;Pep=LNASIAGLFPPQINIPLPPRPNLNR&amp;Dta=/var/www/html/dta/yong/23616.28848.3.dta&amp;Global_Mod=CS57.0215", "28848")</f>
        <v>28848</v>
      </c>
      <c r="M998" s="7"/>
      <c r="N998" s="10">
        <v>129.32</v>
      </c>
      <c r="O998" s="10"/>
      <c r="P998" s="10">
        <v>2.5379999999999998</v>
      </c>
      <c r="Q998" s="10"/>
      <c r="R998" s="10">
        <v>1.3743000000000001</v>
      </c>
      <c r="S998" s="10"/>
      <c r="T998" s="10">
        <v>8.6099999999999996E-2</v>
      </c>
      <c r="U998" s="10"/>
      <c r="V998" s="7">
        <v>15</v>
      </c>
      <c r="W998" s="7"/>
      <c r="X998" s="10">
        <v>1.43</v>
      </c>
      <c r="Y998" s="10"/>
      <c r="Z998" s="11">
        <v>1000</v>
      </c>
      <c r="AA998" s="11"/>
      <c r="AB998" s="7" t="s">
        <v>13</v>
      </c>
    </row>
    <row r="999" spans="1:28">
      <c r="A999" s="9" t="s">
        <v>945</v>
      </c>
      <c r="B999" s="9" t="s">
        <v>1036</v>
      </c>
      <c r="C999" s="9" t="s">
        <v>1037</v>
      </c>
      <c r="D999" s="7">
        <v>1263</v>
      </c>
      <c r="E999" s="9" t="s">
        <v>1038</v>
      </c>
      <c r="F999" s="7" t="s">
        <v>1436</v>
      </c>
      <c r="G999" s="7">
        <v>219</v>
      </c>
      <c r="H999" s="9" t="s">
        <v>1041</v>
      </c>
      <c r="I999" s="9" t="s">
        <v>1042</v>
      </c>
      <c r="J999" s="7">
        <v>3</v>
      </c>
      <c r="K999" s="7">
        <v>917.53250000000003</v>
      </c>
      <c r="L999" s="7" t="str">
        <f>HYPERLINK("http://ms.phosphosite.org:5080/cgi-bin/plot-msms.cgi?MassType=1&amp;NumAxis=1&amp;Mod20=184&amp;Pep=LNASIAGLFPPQINIPLPPRPNLNR&amp;Dta=/var/www/html/dta/yong/23616.28860.3.dta&amp;Global_Mod=CS57.0215", "28860")</f>
        <v>28860</v>
      </c>
      <c r="M999" s="7" t="str">
        <f>HYPERLINK("http://ms.phosphosite.org:5080/cgi-bin/plot-msms.cgi?MassType=1&amp;NumAxis=1&amp;Mod20=184&amp;Pep=LNASIAGLFPPQINIPLPPRPNLNR&amp;Dta=/var/www/html/dta/yong/23617.27616.3.dta&amp;Global_Mod=CS57.0215", "27616")</f>
        <v>27616</v>
      </c>
      <c r="N999" s="10">
        <v>129.38</v>
      </c>
      <c r="O999" s="10">
        <v>123.12</v>
      </c>
      <c r="P999" s="10">
        <v>3.7650000000000001</v>
      </c>
      <c r="Q999" s="10">
        <v>4.2720000000000002</v>
      </c>
      <c r="R999" s="10">
        <v>1.3150999999999999</v>
      </c>
      <c r="S999" s="10">
        <v>1.4784999999999999</v>
      </c>
      <c r="T999" s="10">
        <v>0.30609999999999998</v>
      </c>
      <c r="U999" s="10">
        <v>0.39829999999999999</v>
      </c>
      <c r="V999" s="7">
        <v>3</v>
      </c>
      <c r="W999" s="7">
        <v>2</v>
      </c>
      <c r="X999" s="10">
        <v>3.04</v>
      </c>
      <c r="Y999" s="10">
        <v>3.59</v>
      </c>
      <c r="Z999" s="11">
        <v>1000</v>
      </c>
      <c r="AA999" s="11">
        <v>1000</v>
      </c>
      <c r="AB999" s="7" t="s">
        <v>13</v>
      </c>
    </row>
    <row r="1000" spans="1:28">
      <c r="A1000" s="13" t="s">
        <v>945</v>
      </c>
      <c r="B1000" s="13" t="s">
        <v>1036</v>
      </c>
      <c r="C1000" s="13" t="s">
        <v>1037</v>
      </c>
      <c r="D1000" s="15"/>
      <c r="E1000" s="13" t="s">
        <v>1038</v>
      </c>
      <c r="F1000" s="15" t="s">
        <v>1436</v>
      </c>
      <c r="G1000" s="15">
        <v>219</v>
      </c>
      <c r="H1000" s="13"/>
      <c r="I1000" s="13" t="s">
        <v>1049</v>
      </c>
      <c r="J1000" s="15">
        <v>3</v>
      </c>
      <c r="K1000" s="15">
        <v>917.53250000000003</v>
      </c>
      <c r="L1000" s="15" t="str">
        <f>HYPERLINK("http://ms.phosphosite.org:5080/cgi-bin/plot-msms.cgi?MassType=1&amp;NumAxis=1&amp;Mod20=170&amp;Mod25=170&amp;Pep=LNASIAGLFPPQINIPLPPRPNLNR&amp;Dta=/var/www/html/dta/yong/23616.27526.3.dta&amp;Global_Mod=CS57.0215", "27526")</f>
        <v>27526</v>
      </c>
      <c r="M1000" s="15" t="str">
        <f>HYPERLINK("http://ms.phosphosite.org:5080/cgi-bin/plot-msms.cgi?MassType=1&amp;NumAxis=1&amp;Mod20=170&amp;Mod25=170&amp;Pep=LNASIAGLFPPQINIPLPPRPNLNR&amp;Dta=/var/www/html/dta/yong/23617.27764.3.dta&amp;Global_Mod=CS57.0215", "27764")</f>
        <v>27764</v>
      </c>
      <c r="N1000" s="16">
        <v>123.15</v>
      </c>
      <c r="O1000" s="16">
        <v>123.83</v>
      </c>
      <c r="P1000" s="16">
        <v>4.3639999999999999</v>
      </c>
      <c r="Q1000" s="16">
        <v>3.1549999999999998</v>
      </c>
      <c r="R1000" s="16">
        <v>1.4338</v>
      </c>
      <c r="S1000" s="16">
        <v>1.204</v>
      </c>
      <c r="T1000" s="16">
        <v>0.47510000000000002</v>
      </c>
      <c r="U1000" s="16">
        <v>0.19059999999999999</v>
      </c>
      <c r="V1000" s="15">
        <v>1</v>
      </c>
      <c r="W1000" s="15">
        <v>5</v>
      </c>
      <c r="X1000" s="16">
        <v>4.17</v>
      </c>
      <c r="Y1000" s="16">
        <v>2.09</v>
      </c>
      <c r="Z1000" s="17" t="s">
        <v>1306</v>
      </c>
      <c r="AA1000" s="17" t="s">
        <v>1306</v>
      </c>
      <c r="AB1000" s="15" t="s">
        <v>13</v>
      </c>
    </row>
    <row r="1001" spans="1:28">
      <c r="A1001" s="13" t="s">
        <v>945</v>
      </c>
      <c r="B1001" s="13" t="s">
        <v>1036</v>
      </c>
      <c r="C1001" s="13" t="s">
        <v>1037</v>
      </c>
      <c r="D1001" s="15"/>
      <c r="E1001" s="13" t="s">
        <v>1038</v>
      </c>
      <c r="F1001" s="15" t="s">
        <v>1436</v>
      </c>
      <c r="G1001" s="15">
        <v>219</v>
      </c>
      <c r="H1001" s="13"/>
      <c r="I1001" s="13" t="s">
        <v>1049</v>
      </c>
      <c r="J1001" s="15">
        <v>3</v>
      </c>
      <c r="K1001" s="15">
        <v>917.53250000000003</v>
      </c>
      <c r="L1001" s="15" t="str">
        <f>HYPERLINK("http://ms.phosphosite.org:5080/cgi-bin/plot-msms.cgi?MassType=1&amp;NumAxis=1&amp;Mod20=170&amp;Mod25=170&amp;Pep=LNASIAGLFPPQINIPLPPRPNLNR&amp;Dta=/var/www/html/dta/yong/23616.27824.3.dta&amp;Global_Mod=CS57.0215", "27824")</f>
        <v>27824</v>
      </c>
      <c r="M1001" s="15"/>
      <c r="N1001" s="16">
        <v>124.54</v>
      </c>
      <c r="O1001" s="16"/>
      <c r="P1001" s="16">
        <v>4.0679999999999996</v>
      </c>
      <c r="Q1001" s="16"/>
      <c r="R1001" s="16">
        <v>1.0501</v>
      </c>
      <c r="S1001" s="16"/>
      <c r="T1001" s="16">
        <v>0.34399999999999997</v>
      </c>
      <c r="U1001" s="16"/>
      <c r="V1001" s="15">
        <v>4</v>
      </c>
      <c r="W1001" s="15"/>
      <c r="X1001" s="16">
        <v>3.36</v>
      </c>
      <c r="Y1001" s="16"/>
      <c r="Z1001" s="17" t="s">
        <v>1306</v>
      </c>
      <c r="AA1001" s="17"/>
      <c r="AB1001" s="15" t="s">
        <v>13</v>
      </c>
    </row>
    <row r="1002" spans="1:28">
      <c r="A1002" s="13" t="s">
        <v>945</v>
      </c>
      <c r="B1002" s="13" t="s">
        <v>1036</v>
      </c>
      <c r="C1002" s="13" t="s">
        <v>1037</v>
      </c>
      <c r="D1002" s="15"/>
      <c r="E1002" s="13" t="s">
        <v>1038</v>
      </c>
      <c r="F1002" s="15" t="s">
        <v>1436</v>
      </c>
      <c r="G1002" s="15">
        <v>219</v>
      </c>
      <c r="H1002" s="13"/>
      <c r="I1002" s="13" t="s">
        <v>1049</v>
      </c>
      <c r="J1002" s="15">
        <v>3</v>
      </c>
      <c r="K1002" s="15">
        <v>917.53250000000003</v>
      </c>
      <c r="L1002" s="15" t="str">
        <f>HYPERLINK("http://ms.phosphosite.org:5080/cgi-bin/plot-msms.cgi?MassType=1&amp;NumAxis=1&amp;Mod20=170&amp;Mod25=170&amp;Pep=LNASIAGLFPPQINIPLPPRPNLNR&amp;Dta=/var/www/html/dta/yong/23616.28298.3.dta&amp;Global_Mod=CS57.0215", "28298")</f>
        <v>28298</v>
      </c>
      <c r="M1002" s="15" t="str">
        <f>HYPERLINK("http://ms.phosphosite.org:5080/cgi-bin/plot-msms.cgi?MassType=1&amp;NumAxis=1&amp;Mod20=170&amp;Mod25=170&amp;Pep=LNASIAGLFPPQINIPLPPRPNLNR&amp;Dta=/var/www/html/dta/yong/23617.28416.3.dta&amp;Global_Mod=CS57.0215", "28416")</f>
        <v>28416</v>
      </c>
      <c r="N1002" s="16">
        <v>126.68</v>
      </c>
      <c r="O1002" s="16">
        <v>126.86</v>
      </c>
      <c r="P1002" s="16">
        <v>3.681</v>
      </c>
      <c r="Q1002" s="16">
        <v>4.0209999999999999</v>
      </c>
      <c r="R1002" s="16">
        <v>1.1362000000000001</v>
      </c>
      <c r="S1002" s="16">
        <v>1.1959</v>
      </c>
      <c r="T1002" s="16">
        <v>0.21790000000000001</v>
      </c>
      <c r="U1002" s="16">
        <v>0.433</v>
      </c>
      <c r="V1002" s="15">
        <v>1</v>
      </c>
      <c r="W1002" s="15">
        <v>3</v>
      </c>
      <c r="X1002" s="16">
        <v>2.5299999999999998</v>
      </c>
      <c r="Y1002" s="16">
        <v>3.72</v>
      </c>
      <c r="Z1002" s="17" t="s">
        <v>1306</v>
      </c>
      <c r="AA1002" s="17" t="s">
        <v>1306</v>
      </c>
      <c r="AB1002" s="15" t="s">
        <v>13</v>
      </c>
    </row>
    <row r="1003" spans="1:28">
      <c r="A1003" s="3" t="s">
        <v>945</v>
      </c>
      <c r="B1003" s="3" t="s">
        <v>1036</v>
      </c>
      <c r="C1003" s="3" t="s">
        <v>1037</v>
      </c>
      <c r="D1003" s="4">
        <v>95</v>
      </c>
      <c r="E1003" s="3" t="s">
        <v>1038</v>
      </c>
      <c r="F1003" s="7" t="s">
        <v>1436</v>
      </c>
      <c r="G1003" s="4">
        <v>219</v>
      </c>
      <c r="H1003" s="3" t="s">
        <v>1047</v>
      </c>
      <c r="I1003" s="3" t="s">
        <v>1048</v>
      </c>
      <c r="J1003" s="4">
        <v>3</v>
      </c>
      <c r="K1003" s="4">
        <v>406.24349999999998</v>
      </c>
      <c r="L1003" s="4" t="str">
        <f>HYPERLINK("http://ms.phosphosite.org:5080/cgi-bin/plot-msms.cgi?MassType=1&amp;NumAxis=1&amp;Mod3=184&amp;Pep=SVRVTFNIPR&amp;Dta=/var/www/html/dta/yong/23616.13096.3.dta&amp;Global_Mod=CS57.0215", "13096")</f>
        <v>13096</v>
      </c>
      <c r="M1003" s="4" t="str">
        <f>HYPERLINK("http://ms.phosphosite.org:5080/cgi-bin/plot-msms.cgi?MassType=1&amp;NumAxis=1&amp;Mod3=184&amp;Pep=SVRVTFNIPR&amp;Dta=/var/www/html/dta/yong/23617.13245.3.dta&amp;Global_Mod=CS57.0215", "13245")</f>
        <v>13245</v>
      </c>
      <c r="N1003" s="5">
        <v>62.37</v>
      </c>
      <c r="O1003" s="5">
        <v>62.33</v>
      </c>
      <c r="P1003" s="5">
        <v>3.3109999999999999</v>
      </c>
      <c r="Q1003" s="5">
        <v>3.5430000000000001</v>
      </c>
      <c r="R1003" s="5">
        <v>7.1499999999999994E-2</v>
      </c>
      <c r="S1003" s="5">
        <v>0.70609999999999995</v>
      </c>
      <c r="T1003" s="5">
        <v>7.6700000000000004E-2</v>
      </c>
      <c r="U1003" s="5">
        <v>0.1004</v>
      </c>
      <c r="V1003" s="4">
        <v>22</v>
      </c>
      <c r="W1003" s="4">
        <v>31</v>
      </c>
      <c r="X1003" s="5">
        <v>1.6</v>
      </c>
      <c r="Y1003" s="5">
        <v>1.68</v>
      </c>
      <c r="Z1003" s="6">
        <v>1000</v>
      </c>
      <c r="AA1003" s="6">
        <v>1000</v>
      </c>
      <c r="AB1003" s="4" t="s">
        <v>13</v>
      </c>
    </row>
    <row r="1004" spans="1:28">
      <c r="A1004" s="3" t="s">
        <v>945</v>
      </c>
      <c r="B1004" s="3" t="s">
        <v>1036</v>
      </c>
      <c r="C1004" s="3" t="s">
        <v>1037</v>
      </c>
      <c r="D1004" s="4">
        <v>95</v>
      </c>
      <c r="E1004" s="3" t="s">
        <v>1038</v>
      </c>
      <c r="F1004" s="7" t="s">
        <v>1436</v>
      </c>
      <c r="G1004" s="4">
        <v>219</v>
      </c>
      <c r="H1004" s="3" t="s">
        <v>1047</v>
      </c>
      <c r="I1004" s="3" t="s">
        <v>1048</v>
      </c>
      <c r="J1004" s="4">
        <v>3</v>
      </c>
      <c r="K1004" s="4">
        <v>406.24349999999998</v>
      </c>
      <c r="L1004" s="4" t="str">
        <f>HYPERLINK("http://ms.phosphosite.org:5080/cgi-bin/plot-msms.cgi?MassType=1&amp;NumAxis=1&amp;Mod3=184&amp;Pep=SVRVTFNIPR&amp;Dta=/var/www/html/dta/yong/23616.13132.3.dta&amp;Global_Mod=CS57.0215", "13132")</f>
        <v>13132</v>
      </c>
      <c r="M1004" s="4"/>
      <c r="N1004" s="5">
        <v>62.52</v>
      </c>
      <c r="O1004" s="5"/>
      <c r="P1004" s="5">
        <v>3.1560000000000001</v>
      </c>
      <c r="Q1004" s="5"/>
      <c r="R1004" s="5">
        <v>3.0099999999999998E-2</v>
      </c>
      <c r="S1004" s="5"/>
      <c r="T1004" s="5">
        <v>0.1613</v>
      </c>
      <c r="U1004" s="5"/>
      <c r="V1004" s="4">
        <v>8</v>
      </c>
      <c r="W1004" s="4"/>
      <c r="X1004" s="5">
        <v>2.0299999999999998</v>
      </c>
      <c r="Y1004" s="5"/>
      <c r="Z1004" s="6">
        <v>1000</v>
      </c>
      <c r="AA1004" s="6"/>
      <c r="AB1004" s="4" t="s">
        <v>13</v>
      </c>
    </row>
    <row r="1005" spans="1:28">
      <c r="A1005" s="3" t="s">
        <v>945</v>
      </c>
      <c r="B1005" s="3" t="s">
        <v>1036</v>
      </c>
      <c r="C1005" s="3" t="s">
        <v>1037</v>
      </c>
      <c r="D1005" s="4">
        <v>1268</v>
      </c>
      <c r="E1005" s="3" t="s">
        <v>1038</v>
      </c>
      <c r="F1005" s="7" t="s">
        <v>1436</v>
      </c>
      <c r="G1005" s="4">
        <v>219</v>
      </c>
      <c r="H1005" s="3" t="s">
        <v>1041</v>
      </c>
      <c r="I1005" s="3" t="s">
        <v>1043</v>
      </c>
      <c r="J1005" s="4">
        <v>3</v>
      </c>
      <c r="K1005" s="4">
        <v>917.53250000000003</v>
      </c>
      <c r="L1005" s="4" t="str">
        <f>HYPERLINK("http://ms.phosphosite.org:5080/cgi-bin/plot-msms.cgi?MassType=1&amp;NumAxis=1&amp;Mod25=184&amp;Pep=LNASIAGLFPPQINIPLPPRPNLNR&amp;Dta=/var/www/html/dta/yong/23616.27675.3.dta&amp;Global_Mod=CS57.0215", "27675")</f>
        <v>27675</v>
      </c>
      <c r="M1005" s="4" t="str">
        <f>HYPERLINK("http://ms.phosphosite.org:5080/cgi-bin/plot-msms.cgi?MassType=1&amp;NumAxis=1&amp;Mod25=184&amp;Pep=LNASIAGLFPPQINIPLPPRPNLNR&amp;Dta=/var/www/html/dta/yong/23617.27927.3.dta&amp;Global_Mod=CS57.0215", "27927")</f>
        <v>27927</v>
      </c>
      <c r="N1005" s="5">
        <v>123.86</v>
      </c>
      <c r="O1005" s="5">
        <v>124.59</v>
      </c>
      <c r="P1005" s="5">
        <v>3.2959999999999998</v>
      </c>
      <c r="Q1005" s="5">
        <v>3.9159999999999999</v>
      </c>
      <c r="R1005" s="5">
        <v>1.2715000000000001</v>
      </c>
      <c r="S1005" s="5">
        <v>0.83169999999999999</v>
      </c>
      <c r="T1005" s="5">
        <v>0.34470000000000001</v>
      </c>
      <c r="U1005" s="5">
        <v>0.27429999999999999</v>
      </c>
      <c r="V1005" s="4">
        <v>2</v>
      </c>
      <c r="W1005" s="4">
        <v>3</v>
      </c>
      <c r="X1005" s="5">
        <v>3.13</v>
      </c>
      <c r="Y1005" s="5">
        <v>2.81</v>
      </c>
      <c r="Z1005" s="6">
        <v>1000</v>
      </c>
      <c r="AA1005" s="6">
        <v>1000</v>
      </c>
      <c r="AB1005" s="4" t="s">
        <v>13</v>
      </c>
    </row>
    <row r="1006" spans="1:28">
      <c r="A1006" s="3" t="s">
        <v>945</v>
      </c>
      <c r="B1006" s="3" t="s">
        <v>1036</v>
      </c>
      <c r="C1006" s="3" t="s">
        <v>1037</v>
      </c>
      <c r="D1006" s="4">
        <v>1268</v>
      </c>
      <c r="E1006" s="3" t="s">
        <v>1038</v>
      </c>
      <c r="F1006" s="7" t="s">
        <v>1436</v>
      </c>
      <c r="G1006" s="4">
        <v>219</v>
      </c>
      <c r="H1006" s="3" t="s">
        <v>1041</v>
      </c>
      <c r="I1006" s="3" t="s">
        <v>1043</v>
      </c>
      <c r="J1006" s="4">
        <v>3</v>
      </c>
      <c r="K1006" s="4">
        <v>917.53250000000003</v>
      </c>
      <c r="L1006" s="4" t="str">
        <f>HYPERLINK("http://ms.phosphosite.org:5080/cgi-bin/plot-msms.cgi?MassType=1&amp;NumAxis=1&amp;Mod25=184&amp;Pep=LNASIAGLFPPQINIPLPPRPNLNR&amp;Dta=/var/www/html/dta/yong/23616.28453.3.dta&amp;Global_Mod=CS57.0215", "28453")</f>
        <v>28453</v>
      </c>
      <c r="M1006" s="4" t="str">
        <f>HYPERLINK("http://ms.phosphosite.org:5080/cgi-bin/plot-msms.cgi?MassType=1&amp;NumAxis=1&amp;Mod25=184&amp;Pep=LNASIAGLFPPQINIPLPPRPNLNR&amp;Dta=/var/www/html/dta/yong/23617.28719.3.dta&amp;Global_Mod=CS57.0215", "28719")</f>
        <v>28719</v>
      </c>
      <c r="N1006" s="5">
        <v>127.42</v>
      </c>
      <c r="O1006" s="5">
        <v>128.34</v>
      </c>
      <c r="P1006" s="5">
        <v>3.3820000000000001</v>
      </c>
      <c r="Q1006" s="5">
        <v>3.48</v>
      </c>
      <c r="R1006" s="5">
        <v>1.5429999999999999</v>
      </c>
      <c r="S1006" s="5">
        <v>1.2734000000000001</v>
      </c>
      <c r="T1006" s="5">
        <v>0.2747</v>
      </c>
      <c r="U1006" s="5">
        <v>0.26590000000000003</v>
      </c>
      <c r="V1006" s="4">
        <v>17</v>
      </c>
      <c r="W1006" s="4">
        <v>7</v>
      </c>
      <c r="X1006" s="5">
        <v>2.74</v>
      </c>
      <c r="Y1006" s="5">
        <v>2.6</v>
      </c>
      <c r="Z1006" s="6">
        <v>1000</v>
      </c>
      <c r="AA1006" s="6">
        <v>1000</v>
      </c>
      <c r="AB1006" s="4" t="s">
        <v>13</v>
      </c>
    </row>
    <row r="1007" spans="1:28">
      <c r="A1007" s="3" t="s">
        <v>945</v>
      </c>
      <c r="B1007" s="3" t="s">
        <v>1036</v>
      </c>
      <c r="C1007" s="3" t="s">
        <v>1037</v>
      </c>
      <c r="D1007" s="4">
        <v>1268</v>
      </c>
      <c r="E1007" s="3" t="s">
        <v>1038</v>
      </c>
      <c r="F1007" s="7" t="s">
        <v>1436</v>
      </c>
      <c r="G1007" s="4">
        <v>219</v>
      </c>
      <c r="H1007" s="3" t="s">
        <v>1041</v>
      </c>
      <c r="I1007" s="3" t="s">
        <v>1043</v>
      </c>
      <c r="J1007" s="4">
        <v>3</v>
      </c>
      <c r="K1007" s="4">
        <v>917.53250000000003</v>
      </c>
      <c r="L1007" s="4" t="str">
        <f>HYPERLINK("http://ms.phosphosite.org:5080/cgi-bin/plot-msms.cgi?MassType=1&amp;NumAxis=1&amp;Mod25=184&amp;Pep=LNASIAGLFPPQINIPLPPRPNLNR&amp;Dta=/var/www/html/dta/yong/23616.28715.3.dta&amp;Global_Mod=CS57.0215", "28715")</f>
        <v>28715</v>
      </c>
      <c r="M1007" s="4" t="str">
        <f>HYPERLINK("http://ms.phosphosite.org:5080/cgi-bin/plot-msms.cgi?MassType=1&amp;NumAxis=1&amp;Mod25=184&amp;Pep=LNASIAGLFPPQINIPLPPRPNLNR&amp;Dta=/var/www/html/dta/yong/23617.28092.3.dta&amp;Global_Mod=CS57.0215", "28092")</f>
        <v>28092</v>
      </c>
      <c r="N1007" s="5">
        <v>128.68</v>
      </c>
      <c r="O1007" s="5">
        <v>125.33</v>
      </c>
      <c r="P1007" s="5">
        <v>3.3690000000000002</v>
      </c>
      <c r="Q1007" s="5">
        <v>2.7959999999999998</v>
      </c>
      <c r="R1007" s="5">
        <v>1.1035999999999999</v>
      </c>
      <c r="S1007" s="5">
        <v>0.89900000000000002</v>
      </c>
      <c r="T1007" s="5">
        <v>0.3634</v>
      </c>
      <c r="U1007" s="5">
        <v>6.8599999999999994E-2</v>
      </c>
      <c r="V1007" s="4">
        <v>7</v>
      </c>
      <c r="W1007" s="4">
        <v>1</v>
      </c>
      <c r="X1007" s="5">
        <v>3.26</v>
      </c>
      <c r="Y1007" s="5">
        <v>1.3</v>
      </c>
      <c r="Z1007" s="6">
        <v>1000</v>
      </c>
      <c r="AA1007" s="6">
        <v>1000</v>
      </c>
      <c r="AB1007" s="4" t="s">
        <v>13</v>
      </c>
    </row>
    <row r="1008" spans="1:28">
      <c r="A1008" s="3" t="s">
        <v>945</v>
      </c>
      <c r="B1008" s="3" t="s">
        <v>1036</v>
      </c>
      <c r="C1008" s="3" t="s">
        <v>1037</v>
      </c>
      <c r="D1008" s="4">
        <v>1268</v>
      </c>
      <c r="E1008" s="3" t="s">
        <v>1038</v>
      </c>
      <c r="F1008" s="7" t="s">
        <v>1436</v>
      </c>
      <c r="G1008" s="4">
        <v>219</v>
      </c>
      <c r="H1008" s="3" t="s">
        <v>1041</v>
      </c>
      <c r="I1008" s="3" t="s">
        <v>1043</v>
      </c>
      <c r="J1008" s="4">
        <v>3</v>
      </c>
      <c r="K1008" s="4">
        <v>917.53250000000003</v>
      </c>
      <c r="L1008" s="4" t="str">
        <f>HYPERLINK("http://ms.phosphosite.org:5080/cgi-bin/plot-msms.cgi?MassType=1&amp;NumAxis=1&amp;Mod25=184&amp;Pep=LNASIAGLFPPQINIPLPPRPNLNR&amp;Dta=/var/www/html/dta/yong/23616.28746.3.dta&amp;Global_Mod=CS57.0215", "28746")</f>
        <v>28746</v>
      </c>
      <c r="M1008" s="4" t="str">
        <f>HYPERLINK("http://ms.phosphosite.org:5080/cgi-bin/plot-msms.cgi?MassType=1&amp;NumAxis=1&amp;Mod25=184&amp;Pep=LNASIAGLFPPQINIPLPPRPNLNR&amp;Dta=/var/www/html/dta/yong/23617.27399.3.dta&amp;Global_Mod=CS57.0215", "27399")</f>
        <v>27399</v>
      </c>
      <c r="N1008" s="5">
        <v>128.83000000000001</v>
      </c>
      <c r="O1008" s="5">
        <v>122.11</v>
      </c>
      <c r="P1008" s="5">
        <v>3.6859999999999999</v>
      </c>
      <c r="Q1008" s="5">
        <v>2.9319999999999999</v>
      </c>
      <c r="R1008" s="5">
        <v>1.0265</v>
      </c>
      <c r="S1008" s="5">
        <v>1.1033999999999999</v>
      </c>
      <c r="T1008" s="5">
        <v>0.31719999999999998</v>
      </c>
      <c r="U1008" s="5">
        <v>9.3600000000000003E-2</v>
      </c>
      <c r="V1008" s="4">
        <v>11</v>
      </c>
      <c r="W1008" s="4">
        <v>4</v>
      </c>
      <c r="X1008" s="5">
        <v>3.09</v>
      </c>
      <c r="Y1008" s="5">
        <v>1.48</v>
      </c>
      <c r="Z1008" s="6">
        <v>1000</v>
      </c>
      <c r="AA1008" s="6">
        <v>1000</v>
      </c>
      <c r="AB1008" s="4" t="s">
        <v>13</v>
      </c>
    </row>
    <row r="1009" spans="1:28">
      <c r="A1009" s="3" t="s">
        <v>945</v>
      </c>
      <c r="B1009" s="3" t="s">
        <v>1036</v>
      </c>
      <c r="C1009" s="3" t="s">
        <v>1037</v>
      </c>
      <c r="D1009" s="4">
        <v>413</v>
      </c>
      <c r="E1009" s="3" t="s">
        <v>1038</v>
      </c>
      <c r="F1009" s="7" t="s">
        <v>1436</v>
      </c>
      <c r="G1009" s="4">
        <v>219</v>
      </c>
      <c r="H1009" s="3" t="s">
        <v>1039</v>
      </c>
      <c r="I1009" s="3" t="s">
        <v>1040</v>
      </c>
      <c r="J1009" s="4">
        <v>2</v>
      </c>
      <c r="K1009" s="4">
        <v>668.88279999999997</v>
      </c>
      <c r="L1009" s="4"/>
      <c r="M1009" s="4" t="str">
        <f>HYPERLINK("http://ms.phosphosite.org:5080/cgi-bin/plot-msms.cgi?MassType=1&amp;NumAxis=1&amp;Mod8=184&amp;Pep=SLQGGPSRVPTPL&amp;Dta=/var/www/html/dta/yong/23617.12918.2.dta&amp;Global_Mod=CS57.0215", "12918")</f>
        <v>12918</v>
      </c>
      <c r="N1009" s="5"/>
      <c r="O1009" s="5">
        <v>60.96</v>
      </c>
      <c r="P1009" s="5"/>
      <c r="Q1009" s="5">
        <v>2.823</v>
      </c>
      <c r="R1009" s="5"/>
      <c r="S1009" s="5">
        <v>0.44419999999999998</v>
      </c>
      <c r="T1009" s="5"/>
      <c r="U1009" s="5">
        <v>7.9799999999999996E-2</v>
      </c>
      <c r="V1009" s="4"/>
      <c r="W1009" s="4">
        <v>3</v>
      </c>
      <c r="X1009" s="5"/>
      <c r="Y1009" s="5">
        <v>1.33</v>
      </c>
      <c r="Z1009" s="6"/>
      <c r="AA1009" s="6">
        <v>1000</v>
      </c>
      <c r="AB1009" s="4" t="s">
        <v>13</v>
      </c>
    </row>
    <row r="1010" spans="1:28">
      <c r="A1010" s="3" t="s">
        <v>945</v>
      </c>
      <c r="B1010" s="3" t="s">
        <v>1050</v>
      </c>
      <c r="C1010" s="3" t="s">
        <v>1051</v>
      </c>
      <c r="D1010" s="4">
        <v>1395</v>
      </c>
      <c r="E1010" s="3" t="s">
        <v>1052</v>
      </c>
      <c r="F1010" s="7" t="s">
        <v>1437</v>
      </c>
      <c r="G1010" s="4">
        <v>162.69999999999999</v>
      </c>
      <c r="H1010" s="3" t="s">
        <v>1053</v>
      </c>
      <c r="I1010" s="3" t="s">
        <v>1054</v>
      </c>
      <c r="J1010" s="4">
        <v>3</v>
      </c>
      <c r="K1010" s="4">
        <v>796.09109999999998</v>
      </c>
      <c r="L1010" s="4" t="str">
        <f>HYPERLINK("http://ms.phosphosite.org:5080/cgi-bin/plot-msms.cgi?MassType=1&amp;NumAxis=1&amp;Mod5=184&amp;Mod6=147&amp;Pep=LSEPRMFAPFPSPVLPSNLSR&amp;Dta=/var/www/html/dta/yong/23616.20820.3.dta&amp;Global_Mod=CS57.0215", "20820")</f>
        <v>20820</v>
      </c>
      <c r="M1010" s="4" t="str">
        <f>HYPERLINK("http://ms.phosphosite.org:5080/cgi-bin/plot-msms.cgi?MassType=1&amp;NumAxis=1&amp;Mod5=184&amp;Mod6=147&amp;Pep=LSEPRMFAPFPSPVLPSNLSR&amp;Dta=/var/www/html/dta/yong/23617.20972.3.dta&amp;Global_Mod=CS57.0215", "20972")</f>
        <v>20972</v>
      </c>
      <c r="N1010" s="5">
        <v>95.29</v>
      </c>
      <c r="O1010" s="5">
        <v>95.24</v>
      </c>
      <c r="P1010" s="5">
        <v>4.7240000000000002</v>
      </c>
      <c r="Q1010" s="5">
        <v>4.298</v>
      </c>
      <c r="R1010" s="5">
        <v>0.21129999999999999</v>
      </c>
      <c r="S1010" s="5">
        <v>1.1995</v>
      </c>
      <c r="T1010" s="5">
        <v>0.33910000000000001</v>
      </c>
      <c r="U1010" s="5">
        <v>0.21560000000000001</v>
      </c>
      <c r="V1010" s="4">
        <v>1</v>
      </c>
      <c r="W1010" s="4">
        <v>1</v>
      </c>
      <c r="X1010" s="5">
        <v>3.01</v>
      </c>
      <c r="Y1010" s="5">
        <v>2.19</v>
      </c>
      <c r="Z1010" s="6">
        <v>1000</v>
      </c>
      <c r="AA1010" s="6">
        <v>1000</v>
      </c>
      <c r="AB1010" s="4" t="s">
        <v>13</v>
      </c>
    </row>
    <row r="1011" spans="1:28">
      <c r="A1011" s="3" t="s">
        <v>945</v>
      </c>
      <c r="B1011" s="3" t="s">
        <v>1050</v>
      </c>
      <c r="C1011" s="3" t="s">
        <v>1051</v>
      </c>
      <c r="D1011" s="4">
        <v>1395</v>
      </c>
      <c r="E1011" s="3" t="s">
        <v>1052</v>
      </c>
      <c r="F1011" s="7" t="s">
        <v>1437</v>
      </c>
      <c r="G1011" s="4">
        <v>162.69999999999999</v>
      </c>
      <c r="H1011" s="3" t="s">
        <v>1053</v>
      </c>
      <c r="I1011" s="3" t="s">
        <v>1056</v>
      </c>
      <c r="J1011" s="4">
        <v>3</v>
      </c>
      <c r="K1011" s="4">
        <v>937.83360000000005</v>
      </c>
      <c r="L1011" s="4" t="str">
        <f>HYPERLINK("http://ms.phosphosite.org:5080/cgi-bin/plot-msms.cgi?MassType=1&amp;NumAxis=1&amp;Mod9=184&amp;Mod10=147&amp;Pep=SQPLLSEPRMFAPFPSPVLPSNLSR&amp;Dta=/var/www/html/dta/yong/23616.23436.3.dta&amp;Global_Mod=CS57.0215", "23436")</f>
        <v>23436</v>
      </c>
      <c r="M1011" s="4" t="str">
        <f>HYPERLINK("http://ms.phosphosite.org:5080/cgi-bin/plot-msms.cgi?MassType=1&amp;NumAxis=1&amp;Mod9=184&amp;Mod10=147&amp;Pep=SQPLLSEPRMFAPFPSPVLPSNLSR&amp;Dta=/var/www/html/dta/yong/23617.23542.3.dta&amp;Global_Mod=CS57.0215", "23542")</f>
        <v>23542</v>
      </c>
      <c r="N1011" s="5">
        <v>105.89</v>
      </c>
      <c r="O1011" s="5">
        <v>105.72</v>
      </c>
      <c r="P1011" s="5">
        <v>3.9550000000000001</v>
      </c>
      <c r="Q1011" s="5">
        <v>4.0570000000000004</v>
      </c>
      <c r="R1011" s="5">
        <v>1.1944999999999999</v>
      </c>
      <c r="S1011" s="5">
        <v>0.84379999999999999</v>
      </c>
      <c r="T1011" s="5">
        <v>0.33479999999999999</v>
      </c>
      <c r="U1011" s="5">
        <v>0.2586</v>
      </c>
      <c r="V1011" s="4">
        <v>2</v>
      </c>
      <c r="W1011" s="4">
        <v>1</v>
      </c>
      <c r="X1011" s="5">
        <v>2.7</v>
      </c>
      <c r="Y1011" s="5">
        <v>2.34</v>
      </c>
      <c r="Z1011" s="6">
        <v>1000</v>
      </c>
      <c r="AA1011" s="6">
        <v>1000</v>
      </c>
      <c r="AB1011" s="4" t="s">
        <v>13</v>
      </c>
    </row>
    <row r="1012" spans="1:28">
      <c r="A1012" s="3" t="s">
        <v>945</v>
      </c>
      <c r="B1012" s="3" t="s">
        <v>1050</v>
      </c>
      <c r="C1012" s="3" t="s">
        <v>1051</v>
      </c>
      <c r="D1012" s="4">
        <v>1395</v>
      </c>
      <c r="E1012" s="3" t="s">
        <v>1052</v>
      </c>
      <c r="F1012" s="7" t="s">
        <v>1437</v>
      </c>
      <c r="G1012" s="4">
        <v>162.69999999999999</v>
      </c>
      <c r="H1012" s="3" t="s">
        <v>1053</v>
      </c>
      <c r="I1012" s="3" t="s">
        <v>1055</v>
      </c>
      <c r="J1012" s="4">
        <v>3</v>
      </c>
      <c r="K1012" s="4">
        <v>1085.9127000000001</v>
      </c>
      <c r="L1012" s="4" t="str">
        <f>HYPERLINK("http://ms.phosphosite.org:5080/cgi-bin/plot-msms.cgi?MassType=1&amp;NumAxis=1&amp;Mod13=184&amp;Mod14=147&amp;Pep=SLPFSQPLLSEPRMFAPFPSPVLPSNLSR&amp;Dta=/var/www/html/dta/yong/23616.27920.3.dta&amp;Global_Mod=CS57.0215", "27920")</f>
        <v>27920</v>
      </c>
      <c r="M1012" s="4" t="str">
        <f>HYPERLINK("http://ms.phosphosite.org:5080/cgi-bin/plot-msms.cgi?MassType=1&amp;NumAxis=1&amp;Mod13=184&amp;Mod14=147&amp;Pep=SLPFSQPLLSEPRMFAPFPSPVLPSNLSR&amp;Dta=/var/www/html/dta/yong/23617.27941.3.dta&amp;Global_Mod=CS57.0215", "27941")</f>
        <v>27941</v>
      </c>
      <c r="N1012" s="5">
        <v>124.96</v>
      </c>
      <c r="O1012" s="5">
        <v>124.64</v>
      </c>
      <c r="P1012" s="5">
        <v>3.6739999999999999</v>
      </c>
      <c r="Q1012" s="5">
        <v>4.46</v>
      </c>
      <c r="R1012" s="5">
        <v>-0.21659999999999999</v>
      </c>
      <c r="S1012" s="5">
        <v>-0.1368</v>
      </c>
      <c r="T1012" s="5">
        <v>0.18459999999999999</v>
      </c>
      <c r="U1012" s="5">
        <v>0.32119999999999999</v>
      </c>
      <c r="V1012" s="4">
        <v>1</v>
      </c>
      <c r="W1012" s="4">
        <v>1</v>
      </c>
      <c r="X1012" s="5">
        <v>1.74</v>
      </c>
      <c r="Y1012" s="5">
        <v>2.78</v>
      </c>
      <c r="Z1012" s="6">
        <v>1000</v>
      </c>
      <c r="AA1012" s="6">
        <v>1000</v>
      </c>
      <c r="AB1012" s="4" t="s">
        <v>13</v>
      </c>
    </row>
    <row r="1013" spans="1:28">
      <c r="A1013" s="3" t="s">
        <v>945</v>
      </c>
      <c r="B1013" s="3" t="s">
        <v>1050</v>
      </c>
      <c r="C1013" s="3" t="s">
        <v>1051</v>
      </c>
      <c r="D1013" s="4">
        <v>1395</v>
      </c>
      <c r="E1013" s="3" t="s">
        <v>1052</v>
      </c>
      <c r="F1013" s="7" t="s">
        <v>1437</v>
      </c>
      <c r="G1013" s="4">
        <v>162.69999999999999</v>
      </c>
      <c r="H1013" s="3" t="s">
        <v>1053</v>
      </c>
      <c r="I1013" s="3" t="s">
        <v>1057</v>
      </c>
      <c r="J1013" s="4">
        <v>3</v>
      </c>
      <c r="K1013" s="4">
        <v>1140.2671</v>
      </c>
      <c r="L1013" s="4" t="str">
        <f>HYPERLINK("http://ms.phosphosite.org:5080/cgi-bin/plot-msms.cgi?MassType=1&amp;NumAxis=1&amp;Mod14=184&amp;Mod15=147&amp;Pep=YSLPFSQPLLSEPRMFAPFPSPVLPSNLSR&amp;Dta=/var/www/html/dta/yong/23616.28984.3.dta&amp;Global_Mod=CS57.0215", "28984")</f>
        <v>28984</v>
      </c>
      <c r="M1013" s="4"/>
      <c r="N1013" s="5">
        <v>129.97999999999999</v>
      </c>
      <c r="O1013" s="5"/>
      <c r="P1013" s="5">
        <v>3.2069999999999999</v>
      </c>
      <c r="Q1013" s="5"/>
      <c r="R1013" s="5">
        <v>2.9230999999999998</v>
      </c>
      <c r="S1013" s="5"/>
      <c r="T1013" s="5">
        <v>0.17219999999999999</v>
      </c>
      <c r="U1013" s="5"/>
      <c r="V1013" s="4">
        <v>6</v>
      </c>
      <c r="W1013" s="4"/>
      <c r="X1013" s="5">
        <v>1.43</v>
      </c>
      <c r="Y1013" s="5"/>
      <c r="Z1013" s="6">
        <v>1000</v>
      </c>
      <c r="AA1013" s="6"/>
      <c r="AB1013" s="4" t="s">
        <v>13</v>
      </c>
    </row>
    <row r="1014" spans="1:28">
      <c r="A1014" s="3" t="s">
        <v>945</v>
      </c>
      <c r="B1014" s="3" t="s">
        <v>1050</v>
      </c>
      <c r="C1014" s="3" t="s">
        <v>1051</v>
      </c>
      <c r="D1014" s="4">
        <v>1395</v>
      </c>
      <c r="E1014" s="3" t="s">
        <v>1052</v>
      </c>
      <c r="F1014" s="7" t="s">
        <v>1437</v>
      </c>
      <c r="G1014" s="4">
        <v>162.69999999999999</v>
      </c>
      <c r="H1014" s="3" t="s">
        <v>1053</v>
      </c>
      <c r="I1014" s="3" t="s">
        <v>1056</v>
      </c>
      <c r="J1014" s="4">
        <v>3</v>
      </c>
      <c r="K1014" s="4">
        <v>937.83360000000005</v>
      </c>
      <c r="L1014" s="4"/>
      <c r="M1014" s="4" t="str">
        <f>HYPERLINK("http://ms.phosphosite.org:5080/cgi-bin/plot-msms.cgi?MassType=1&amp;NumAxis=1&amp;Mod9=184&amp;Mod10=147&amp;Pep=SQPLLSEPRMFAPFPSPVLPSNLSR&amp;Dta=/var/www/html/dta/yong/23617.23572.3.dta&amp;Global_Mod=CS57.0215", "23572")</f>
        <v>23572</v>
      </c>
      <c r="N1014" s="5"/>
      <c r="O1014" s="5">
        <v>105.85</v>
      </c>
      <c r="P1014" s="5"/>
      <c r="Q1014" s="5">
        <v>4.3730000000000002</v>
      </c>
      <c r="R1014" s="5"/>
      <c r="S1014" s="5">
        <v>1.014</v>
      </c>
      <c r="T1014" s="5"/>
      <c r="U1014" s="5">
        <v>0.31580000000000003</v>
      </c>
      <c r="V1014" s="4"/>
      <c r="W1014" s="4">
        <v>1</v>
      </c>
      <c r="X1014" s="5"/>
      <c r="Y1014" s="5">
        <v>2.75</v>
      </c>
      <c r="Z1014" s="6"/>
      <c r="AA1014" s="6">
        <v>1000</v>
      </c>
      <c r="AB1014" s="4" t="s">
        <v>13</v>
      </c>
    </row>
    <row r="1015" spans="1:28">
      <c r="A1015" s="9" t="s">
        <v>945</v>
      </c>
      <c r="B1015" s="9" t="s">
        <v>1058</v>
      </c>
      <c r="C1015" s="9" t="s">
        <v>1058</v>
      </c>
      <c r="D1015" s="7" t="s">
        <v>1059</v>
      </c>
      <c r="E1015" s="9" t="s">
        <v>1060</v>
      </c>
      <c r="F1015" s="7" t="s">
        <v>1438</v>
      </c>
      <c r="G1015" s="7">
        <v>58</v>
      </c>
      <c r="H1015" s="9" t="s">
        <v>1061</v>
      </c>
      <c r="I1015" s="9" t="s">
        <v>1062</v>
      </c>
      <c r="J1015" s="7">
        <v>3</v>
      </c>
      <c r="K1015" s="7">
        <v>726.76850000000002</v>
      </c>
      <c r="L1015" s="7" t="str">
        <f>HYPERLINK("http://ms.phosphosite.org:5080/cgi-bin/plot-msms.cgi?MassType=1&amp;NumAxis=1&amp;Mod5=184&amp;Mod17=184&amp;Pep=FLQPRLAPNQPPPPLIRPA&amp;Dta=/var/www/html/dta/yong/23616.17196.3.dta&amp;Global_Mod=CS57.0215", "17196")</f>
        <v>17196</v>
      </c>
      <c r="M1015" s="7" t="str">
        <f>HYPERLINK("http://ms.phosphosite.org:5080/cgi-bin/plot-msms.cgi?MassType=1&amp;NumAxis=1&amp;Mod5=184&amp;Mod17=184&amp;Pep=FLQPRLAPNQPPPPLIRPA&amp;Dta=/var/www/html/dta/yong/23617.17344.3.dta&amp;Global_Mod=CS57.0215", "17344")</f>
        <v>17344</v>
      </c>
      <c r="N1015" s="10">
        <v>80.02</v>
      </c>
      <c r="O1015" s="10">
        <v>79.88</v>
      </c>
      <c r="P1015" s="10">
        <v>3.4180000000000001</v>
      </c>
      <c r="Q1015" s="10">
        <v>3.5</v>
      </c>
      <c r="R1015" s="10">
        <v>7.1900000000000006E-2</v>
      </c>
      <c r="S1015" s="10">
        <v>0.69930000000000003</v>
      </c>
      <c r="T1015" s="10">
        <v>0.27450000000000002</v>
      </c>
      <c r="U1015" s="10">
        <v>0.249</v>
      </c>
      <c r="V1015" s="7">
        <v>1</v>
      </c>
      <c r="W1015" s="7">
        <v>2</v>
      </c>
      <c r="X1015" s="10">
        <v>2.33</v>
      </c>
      <c r="Y1015" s="10">
        <v>2.21</v>
      </c>
      <c r="Z1015" s="11" t="s">
        <v>1306</v>
      </c>
      <c r="AA1015" s="11" t="s">
        <v>1306</v>
      </c>
      <c r="AB1015" s="7" t="s">
        <v>13</v>
      </c>
    </row>
    <row r="1016" spans="1:28">
      <c r="A1016" s="9" t="s">
        <v>945</v>
      </c>
      <c r="B1016" s="9" t="s">
        <v>1058</v>
      </c>
      <c r="C1016" s="9" t="s">
        <v>1058</v>
      </c>
      <c r="D1016" s="7" t="s">
        <v>1059</v>
      </c>
      <c r="E1016" s="9" t="s">
        <v>1060</v>
      </c>
      <c r="F1016" s="7" t="s">
        <v>1438</v>
      </c>
      <c r="G1016" s="7">
        <v>58</v>
      </c>
      <c r="H1016" s="9" t="s">
        <v>1061</v>
      </c>
      <c r="I1016" s="9" t="s">
        <v>1062</v>
      </c>
      <c r="J1016" s="7">
        <v>3</v>
      </c>
      <c r="K1016" s="7">
        <v>726.76850000000002</v>
      </c>
      <c r="L1016" s="7" t="str">
        <f>HYPERLINK("http://ms.phosphosite.org:5080/cgi-bin/plot-msms.cgi?MassType=1&amp;NumAxis=1&amp;Mod5=184&amp;Mod17=184&amp;Pep=FLQPRLAPNQPPPPLIRPA&amp;Dta=/var/www/html/dta/yong/23616.17272.3.dta&amp;Global_Mod=CS57.0215", "17272")</f>
        <v>17272</v>
      </c>
      <c r="M1016" s="7"/>
      <c r="N1016" s="10">
        <v>80.3</v>
      </c>
      <c r="O1016" s="10"/>
      <c r="P1016" s="10">
        <v>3.04</v>
      </c>
      <c r="Q1016" s="10"/>
      <c r="R1016" s="10">
        <v>6.1899999999999997E-2</v>
      </c>
      <c r="S1016" s="10"/>
      <c r="T1016" s="10">
        <v>8.2600000000000007E-2</v>
      </c>
      <c r="U1016" s="10"/>
      <c r="V1016" s="7">
        <v>6</v>
      </c>
      <c r="W1016" s="7"/>
      <c r="X1016" s="10">
        <v>1.1299999999999999</v>
      </c>
      <c r="Y1016" s="10"/>
      <c r="Z1016" s="11" t="s">
        <v>1306</v>
      </c>
      <c r="AA1016" s="11"/>
      <c r="AB1016" s="7" t="s">
        <v>13</v>
      </c>
    </row>
    <row r="1017" spans="1:28">
      <c r="A1017" s="9" t="s">
        <v>945</v>
      </c>
      <c r="B1017" s="9" t="s">
        <v>1058</v>
      </c>
      <c r="C1017" s="9" t="s">
        <v>1058</v>
      </c>
      <c r="D1017" s="7" t="s">
        <v>1059</v>
      </c>
      <c r="E1017" s="9" t="s">
        <v>1060</v>
      </c>
      <c r="F1017" s="7" t="s">
        <v>1438</v>
      </c>
      <c r="G1017" s="7">
        <v>58</v>
      </c>
      <c r="H1017" s="9" t="s">
        <v>1061</v>
      </c>
      <c r="I1017" s="9" t="s">
        <v>1063</v>
      </c>
      <c r="J1017" s="7">
        <v>3</v>
      </c>
      <c r="K1017" s="7">
        <v>788.1422</v>
      </c>
      <c r="L1017" s="7" t="str">
        <f>HYPERLINK("http://ms.phosphosite.org:5080/cgi-bin/plot-msms.cgi?MassType=1&amp;NumAxis=1&amp;Mod5=184&amp;Mod17=184&amp;Pep=FLQPRLAPNQPPPPLIRPALA&amp;Dta=/var/www/html/dta/yong/23616.19837.3.dta&amp;Global_Mod=CS57.0215", "19837")</f>
        <v>19837</v>
      </c>
      <c r="M1017" s="7" t="str">
        <f>HYPERLINK("http://ms.phosphosite.org:5080/cgi-bin/plot-msms.cgi?MassType=1&amp;NumAxis=1&amp;Mod5=184&amp;Mod17=184&amp;Pep=FLQPRLAPNQPPPPLIRPALA&amp;Dta=/var/www/html/dta/yong/23617.20000.3.dta&amp;Global_Mod=CS57.0215", "20000")</f>
        <v>20000</v>
      </c>
      <c r="N1017" s="10">
        <v>91.17</v>
      </c>
      <c r="O1017" s="10">
        <v>91.12</v>
      </c>
      <c r="P1017" s="10">
        <v>3.214</v>
      </c>
      <c r="Q1017" s="10">
        <v>2.597</v>
      </c>
      <c r="R1017" s="10">
        <v>0.58460000000000001</v>
      </c>
      <c r="S1017" s="10">
        <v>0.1326</v>
      </c>
      <c r="T1017" s="10">
        <v>0.24429999999999999</v>
      </c>
      <c r="U1017" s="10">
        <v>0.17860000000000001</v>
      </c>
      <c r="V1017" s="7">
        <v>1</v>
      </c>
      <c r="W1017" s="7">
        <v>3</v>
      </c>
      <c r="X1017" s="10">
        <v>2.09</v>
      </c>
      <c r="Y1017" s="10">
        <v>1.53</v>
      </c>
      <c r="Z1017" s="11" t="s">
        <v>1306</v>
      </c>
      <c r="AA1017" s="11" t="s">
        <v>1306</v>
      </c>
      <c r="AB1017" s="7" t="s">
        <v>13</v>
      </c>
    </row>
    <row r="1018" spans="1:28">
      <c r="A1018" s="9" t="s">
        <v>945</v>
      </c>
      <c r="B1018" s="9" t="s">
        <v>1058</v>
      </c>
      <c r="C1018" s="9" t="s">
        <v>1058</v>
      </c>
      <c r="D1018" s="7" t="s">
        <v>1059</v>
      </c>
      <c r="E1018" s="9" t="s">
        <v>1060</v>
      </c>
      <c r="F1018" s="7" t="s">
        <v>1438</v>
      </c>
      <c r="G1018" s="7">
        <v>58</v>
      </c>
      <c r="H1018" s="9" t="s">
        <v>1061</v>
      </c>
      <c r="I1018" s="9" t="s">
        <v>1064</v>
      </c>
      <c r="J1018" s="7">
        <v>4</v>
      </c>
      <c r="K1018" s="7">
        <v>672.40629999999999</v>
      </c>
      <c r="L1018" s="7"/>
      <c r="M1018" s="7" t="str">
        <f>HYPERLINK("http://ms.phosphosite.org:5080/cgi-bin/plot-msms.cgi?MassType=1&amp;NumAxis=1&amp;Mod5=184&amp;Mod17=184&amp;Pep=FLQPRLAPNQPPPPLIRPALAAPR&amp;Dta=/var/www/html/dta/yong/23617.17940.4.dta&amp;Global_Mod=CS57.0215", "17940")</f>
        <v>17940</v>
      </c>
      <c r="N1018" s="10"/>
      <c r="O1018" s="10">
        <v>82.24</v>
      </c>
      <c r="P1018" s="10"/>
      <c r="Q1018" s="10">
        <v>2.754</v>
      </c>
      <c r="R1018" s="10"/>
      <c r="S1018" s="10">
        <v>1.0379</v>
      </c>
      <c r="T1018" s="10"/>
      <c r="U1018" s="10">
        <v>0.17299999999999999</v>
      </c>
      <c r="V1018" s="7"/>
      <c r="W1018" s="7">
        <v>39</v>
      </c>
      <c r="X1018" s="10"/>
      <c r="Y1018" s="10">
        <v>1.48</v>
      </c>
      <c r="Z1018" s="11"/>
      <c r="AA1018" s="11" t="s">
        <v>1306</v>
      </c>
      <c r="AB1018" s="7" t="s">
        <v>13</v>
      </c>
    </row>
    <row r="1019" spans="1:28">
      <c r="A1019" s="9" t="s">
        <v>945</v>
      </c>
      <c r="B1019" s="9" t="s">
        <v>1058</v>
      </c>
      <c r="C1019" s="9" t="s">
        <v>1058</v>
      </c>
      <c r="D1019" s="7" t="s">
        <v>1065</v>
      </c>
      <c r="E1019" s="9" t="s">
        <v>1060</v>
      </c>
      <c r="F1019" s="7" t="s">
        <v>1438</v>
      </c>
      <c r="G1019" s="7">
        <v>58</v>
      </c>
      <c r="H1019" s="9" t="s">
        <v>1061</v>
      </c>
      <c r="I1019" s="9" t="s">
        <v>1066</v>
      </c>
      <c r="J1019" s="7">
        <v>4</v>
      </c>
      <c r="K1019" s="7">
        <v>672.40629999999999</v>
      </c>
      <c r="L1019" s="7" t="str">
        <f>HYPERLINK("http://ms.phosphosite.org:5080/cgi-bin/plot-msms.cgi?MassType=1&amp;NumAxis=1&amp;Mod5=184&amp;Mod24=184&amp;Pep=FLQPRLAPNQPPPPLIRPALAAPR&amp;Dta=/var/www/html/dta/yong/23616.17754.4.dta&amp;Global_Mod=CS57.0215", "17754")</f>
        <v>17754</v>
      </c>
      <c r="M1019" s="7"/>
      <c r="N1019" s="10">
        <v>82.24</v>
      </c>
      <c r="O1019" s="10"/>
      <c r="P1019" s="10">
        <v>2.7410000000000001</v>
      </c>
      <c r="Q1019" s="10"/>
      <c r="R1019" s="10">
        <v>0.76359999999999995</v>
      </c>
      <c r="S1019" s="10"/>
      <c r="T1019" s="10">
        <v>0.14649999999999999</v>
      </c>
      <c r="U1019" s="10"/>
      <c r="V1019" s="7">
        <v>6</v>
      </c>
      <c r="W1019" s="7"/>
      <c r="X1019" s="10">
        <v>1.38</v>
      </c>
      <c r="Y1019" s="10"/>
      <c r="Z1019" s="11" t="s">
        <v>1306</v>
      </c>
      <c r="AA1019" s="11"/>
      <c r="AB1019" s="7" t="s">
        <v>13</v>
      </c>
    </row>
    <row r="1020" spans="1:28">
      <c r="A1020" s="9" t="s">
        <v>945</v>
      </c>
      <c r="B1020" s="9" t="s">
        <v>1702</v>
      </c>
      <c r="C1020" s="9" t="s">
        <v>1703</v>
      </c>
      <c r="D1020" s="7" t="s">
        <v>1810</v>
      </c>
      <c r="E1020" s="9" t="s">
        <v>1067</v>
      </c>
      <c r="F1020" s="7" t="s">
        <v>1440</v>
      </c>
      <c r="G1020" s="7">
        <v>55.5</v>
      </c>
      <c r="H1020" s="9" t="s">
        <v>1068</v>
      </c>
      <c r="I1020" s="9" t="s">
        <v>1072</v>
      </c>
      <c r="J1020" s="7">
        <v>4</v>
      </c>
      <c r="K1020" s="7">
        <v>727.41010000000006</v>
      </c>
      <c r="L1020" s="7"/>
      <c r="M1020" s="7" t="str">
        <f>HYPERLINK("http://ms.phosphosite.org:5080/cgi-bin/plot-msms.cgi?MassType=1&amp;NumAxis=1&amp;Mod5=184&amp;Mod22=147&amp;Mod25=184&amp;Pep=FIQPRPTLNQPPPPLIRPANSMPPR&amp;Dta=/var/www/html/dta/yong/23617.14438.4.dta&amp;Global_Mod=CS57.0215", "14438")</f>
        <v>14438</v>
      </c>
      <c r="N1020" s="10"/>
      <c r="O1020" s="10">
        <v>67.569999999999993</v>
      </c>
      <c r="P1020" s="10"/>
      <c r="Q1020" s="10">
        <v>2.9820000000000002</v>
      </c>
      <c r="R1020" s="10"/>
      <c r="S1020" s="10">
        <v>0.82650000000000001</v>
      </c>
      <c r="T1020" s="10"/>
      <c r="U1020" s="10">
        <v>9.0700000000000003E-2</v>
      </c>
      <c r="V1020" s="7"/>
      <c r="W1020" s="7">
        <v>44</v>
      </c>
      <c r="X1020" s="10"/>
      <c r="Y1020" s="10">
        <v>1.36</v>
      </c>
      <c r="Z1020" s="11"/>
      <c r="AA1020" s="11" t="s">
        <v>1306</v>
      </c>
      <c r="AB1020" s="7" t="s">
        <v>13</v>
      </c>
    </row>
    <row r="1021" spans="1:28">
      <c r="A1021" s="9" t="s">
        <v>945</v>
      </c>
      <c r="B1021" s="9" t="s">
        <v>1702</v>
      </c>
      <c r="C1021" s="9" t="s">
        <v>1703</v>
      </c>
      <c r="D1021" s="7">
        <v>469</v>
      </c>
      <c r="E1021" s="9" t="s">
        <v>1067</v>
      </c>
      <c r="F1021" s="7" t="s">
        <v>1440</v>
      </c>
      <c r="G1021" s="7">
        <v>55.5</v>
      </c>
      <c r="H1021" s="9" t="s">
        <v>1075</v>
      </c>
      <c r="I1021" s="9" t="s">
        <v>1076</v>
      </c>
      <c r="J1021" s="7">
        <v>3</v>
      </c>
      <c r="K1021" s="7">
        <v>839.13409999999999</v>
      </c>
      <c r="L1021" s="7" t="str">
        <f>HYPERLINK("http://ms.phosphosite.org:5080/cgi-bin/plot-msms.cgi?MassType=1&amp;NumAxis=1&amp;Mod4=184&amp;Pep=LNPRPVLSTVGGQQPPSLIGIQTD&amp;Dta=/var/www/html/dta/yong/23616.20638.3.dta&amp;Global_Mod=CS57.0215", "20638")</f>
        <v>20638</v>
      </c>
      <c r="M1021" s="7" t="str">
        <f>HYPERLINK("http://ms.phosphosite.org:5080/cgi-bin/plot-msms.cgi?MassType=1&amp;NumAxis=1&amp;Mod4=184&amp;Pep=LNPRPVLSTVGGQQPPSLIGIQTD&amp;Dta=/var/www/html/dta/yong/23617.20782.3.dta&amp;Global_Mod=CS57.0215", "20782")</f>
        <v>20782</v>
      </c>
      <c r="N1021" s="10">
        <v>94.52</v>
      </c>
      <c r="O1021" s="10">
        <v>94.44</v>
      </c>
      <c r="P1021" s="10">
        <v>3.4249999999999998</v>
      </c>
      <c r="Q1021" s="10">
        <v>3.2330000000000001</v>
      </c>
      <c r="R1021" s="10">
        <v>0.48</v>
      </c>
      <c r="S1021" s="10">
        <v>0.65869999999999995</v>
      </c>
      <c r="T1021" s="10">
        <v>0.2586</v>
      </c>
      <c r="U1021" s="10">
        <v>0.23180000000000001</v>
      </c>
      <c r="V1021" s="7">
        <v>9</v>
      </c>
      <c r="W1021" s="7">
        <v>1</v>
      </c>
      <c r="X1021" s="10">
        <v>2.42</v>
      </c>
      <c r="Y1021" s="10">
        <v>2.2599999999999998</v>
      </c>
      <c r="Z1021" s="11">
        <v>1000</v>
      </c>
      <c r="AA1021" s="11">
        <v>1000</v>
      </c>
      <c r="AB1021" s="7" t="s">
        <v>13</v>
      </c>
    </row>
    <row r="1022" spans="1:28">
      <c r="A1022" s="9" t="s">
        <v>945</v>
      </c>
      <c r="B1022" s="9" t="s">
        <v>1702</v>
      </c>
      <c r="C1022" s="9" t="s">
        <v>1703</v>
      </c>
      <c r="D1022" s="7">
        <v>469</v>
      </c>
      <c r="E1022" s="9" t="s">
        <v>1067</v>
      </c>
      <c r="F1022" s="7" t="s">
        <v>1440</v>
      </c>
      <c r="G1022" s="7">
        <v>55.5</v>
      </c>
      <c r="H1022" s="9" t="s">
        <v>1075</v>
      </c>
      <c r="I1022" s="9" t="s">
        <v>1077</v>
      </c>
      <c r="J1022" s="7">
        <v>3</v>
      </c>
      <c r="K1022" s="7">
        <v>1052.2334000000001</v>
      </c>
      <c r="L1022" s="7"/>
      <c r="M1022" s="7" t="str">
        <f>HYPERLINK("http://ms.phosphosite.org:5080/cgi-bin/plot-msms.cgi?MassType=1&amp;NumAxis=1&amp;Mod4=184&amp;Pep=LNPRPVLSTVGGQQPPSLIGIQTDSQSSLH&amp;Dta=/var/www/html/dta/yong/23617.19391.3.dta&amp;Global_Mod=CS57.0215", "19391")</f>
        <v>19391</v>
      </c>
      <c r="N1022" s="10"/>
      <c r="O1022" s="10">
        <v>88.63</v>
      </c>
      <c r="P1022" s="10"/>
      <c r="Q1022" s="10">
        <v>4.7290000000000001</v>
      </c>
      <c r="R1022" s="10"/>
      <c r="S1022" s="10">
        <v>1.6060000000000001</v>
      </c>
      <c r="T1022" s="10"/>
      <c r="U1022" s="10">
        <v>0.32169999999999999</v>
      </c>
      <c r="V1022" s="7"/>
      <c r="W1022" s="7">
        <v>1</v>
      </c>
      <c r="X1022" s="10"/>
      <c r="Y1022" s="10">
        <v>3.12</v>
      </c>
      <c r="Z1022" s="11"/>
      <c r="AA1022" s="11">
        <v>1000</v>
      </c>
      <c r="AB1022" s="7" t="s">
        <v>13</v>
      </c>
    </row>
    <row r="1023" spans="1:28">
      <c r="A1023" s="9" t="s">
        <v>945</v>
      </c>
      <c r="B1023" s="9" t="s">
        <v>1702</v>
      </c>
      <c r="C1023" s="9" t="s">
        <v>1703</v>
      </c>
      <c r="D1023" s="7">
        <v>469</v>
      </c>
      <c r="E1023" s="9" t="s">
        <v>1067</v>
      </c>
      <c r="F1023" s="7" t="s">
        <v>1440</v>
      </c>
      <c r="G1023" s="7">
        <v>55.5</v>
      </c>
      <c r="H1023" s="9" t="s">
        <v>1075</v>
      </c>
      <c r="I1023" s="9" t="s">
        <v>1077</v>
      </c>
      <c r="J1023" s="7">
        <v>3</v>
      </c>
      <c r="K1023" s="7">
        <v>1052.2334000000001</v>
      </c>
      <c r="L1023" s="7"/>
      <c r="M1023" s="7" t="str">
        <f>HYPERLINK("http://ms.phosphosite.org:5080/cgi-bin/plot-msms.cgi?MassType=1&amp;NumAxis=1&amp;Mod4=184&amp;Pep=LNPRPVLSTVGGQQPPSLIGIQTDSQSSLH&amp;Dta=/var/www/html/dta/yong/23617.19402.3.dta&amp;Global_Mod=CS57.0215", "19402")</f>
        <v>19402</v>
      </c>
      <c r="N1023" s="10"/>
      <c r="O1023" s="10">
        <v>88.68</v>
      </c>
      <c r="P1023" s="10"/>
      <c r="Q1023" s="10">
        <v>5.6029999999999998</v>
      </c>
      <c r="R1023" s="10"/>
      <c r="S1023" s="10">
        <v>1.6060000000000001</v>
      </c>
      <c r="T1023" s="10"/>
      <c r="U1023" s="10">
        <v>0.32929999999999998</v>
      </c>
      <c r="V1023" s="7"/>
      <c r="W1023" s="7">
        <v>1</v>
      </c>
      <c r="X1023" s="10"/>
      <c r="Y1023" s="10">
        <v>3.43</v>
      </c>
      <c r="Z1023" s="11"/>
      <c r="AA1023" s="11">
        <v>1000</v>
      </c>
      <c r="AB1023" s="7" t="s">
        <v>13</v>
      </c>
    </row>
    <row r="1024" spans="1:28">
      <c r="A1024" s="3" t="s">
        <v>945</v>
      </c>
      <c r="B1024" s="9" t="s">
        <v>1702</v>
      </c>
      <c r="C1024" s="9" t="s">
        <v>1703</v>
      </c>
      <c r="D1024" s="4" t="s">
        <v>1811</v>
      </c>
      <c r="E1024" s="3" t="s">
        <v>1067</v>
      </c>
      <c r="F1024" s="7" t="s">
        <v>1439</v>
      </c>
      <c r="G1024" s="4">
        <v>55.5</v>
      </c>
      <c r="H1024" s="3" t="s">
        <v>1068</v>
      </c>
      <c r="I1024" s="3" t="s">
        <v>1071</v>
      </c>
      <c r="J1024" s="4">
        <v>4</v>
      </c>
      <c r="K1024" s="4">
        <v>727.41010000000006</v>
      </c>
      <c r="L1024" s="4" t="str">
        <f>HYPERLINK("http://ms.phosphosite.org:5080/cgi-bin/plot-msms.cgi?MassType=1&amp;NumAxis=1&amp;Mod5=184&amp;Mod17=184&amp;Mod22=147&amp;Pep=FIQPRPTLNQPPPPLIRPANSMPPR&amp;Dta=/var/www/html/dta/yong/23616.14149.4.dta&amp;Global_Mod=CS57.0215", "14149")</f>
        <v>14149</v>
      </c>
      <c r="M1024" s="4"/>
      <c r="N1024" s="5">
        <v>67</v>
      </c>
      <c r="O1024" s="5"/>
      <c r="P1024" s="5">
        <v>3.581</v>
      </c>
      <c r="Q1024" s="5"/>
      <c r="R1024" s="5">
        <v>1.1531</v>
      </c>
      <c r="S1024" s="5"/>
      <c r="T1024" s="5">
        <v>0.19420000000000001</v>
      </c>
      <c r="U1024" s="5"/>
      <c r="V1024" s="4">
        <v>2</v>
      </c>
      <c r="W1024" s="4"/>
      <c r="X1024" s="5">
        <v>2.08</v>
      </c>
      <c r="Y1024" s="5"/>
      <c r="Z1024" s="6" t="s">
        <v>1306</v>
      </c>
      <c r="AA1024" s="6"/>
      <c r="AB1024" s="4" t="s">
        <v>13</v>
      </c>
    </row>
    <row r="1025" spans="1:28">
      <c r="A1025" s="3" t="s">
        <v>945</v>
      </c>
      <c r="B1025" s="9" t="s">
        <v>1702</v>
      </c>
      <c r="C1025" s="9" t="s">
        <v>1703</v>
      </c>
      <c r="D1025" s="4" t="s">
        <v>1811</v>
      </c>
      <c r="E1025" s="3" t="s">
        <v>1067</v>
      </c>
      <c r="F1025" s="7" t="s">
        <v>1439</v>
      </c>
      <c r="G1025" s="4">
        <v>55.5</v>
      </c>
      <c r="H1025" s="3" t="s">
        <v>1068</v>
      </c>
      <c r="I1025" s="3" t="s">
        <v>1071</v>
      </c>
      <c r="J1025" s="4">
        <v>4</v>
      </c>
      <c r="K1025" s="4">
        <v>727.41010000000006</v>
      </c>
      <c r="L1025" s="4" t="str">
        <f>HYPERLINK("http://ms.phosphosite.org:5080/cgi-bin/plot-msms.cgi?MassType=1&amp;NumAxis=1&amp;Mod5=184&amp;Mod17=184&amp;Mod22=147&amp;Pep=FIQPRPTLNQPPPPLIRPANSMPPR&amp;Dta=/var/www/html/dta/yong/23616.14326.4.dta&amp;Global_Mod=CS57.0215", "14326")</f>
        <v>14326</v>
      </c>
      <c r="M1025" s="4"/>
      <c r="N1025" s="5">
        <v>67.819999999999993</v>
      </c>
      <c r="O1025" s="5"/>
      <c r="P1025" s="5">
        <v>2.9079999999999999</v>
      </c>
      <c r="Q1025" s="5"/>
      <c r="R1025" s="5">
        <v>1.2516</v>
      </c>
      <c r="S1025" s="5"/>
      <c r="T1025" s="5">
        <v>5.8299999999999998E-2</v>
      </c>
      <c r="U1025" s="5"/>
      <c r="V1025" s="4">
        <v>1</v>
      </c>
      <c r="W1025" s="4"/>
      <c r="X1025" s="5">
        <v>1.1100000000000001</v>
      </c>
      <c r="Y1025" s="5"/>
      <c r="Z1025" s="6" t="s">
        <v>1306</v>
      </c>
      <c r="AA1025" s="6"/>
      <c r="AB1025" s="4" t="s">
        <v>13</v>
      </c>
    </row>
    <row r="1026" spans="1:28">
      <c r="A1026" s="3" t="s">
        <v>945</v>
      </c>
      <c r="B1026" s="9" t="s">
        <v>1702</v>
      </c>
      <c r="C1026" s="9" t="s">
        <v>1703</v>
      </c>
      <c r="D1026" s="4" t="s">
        <v>1811</v>
      </c>
      <c r="E1026" s="3" t="s">
        <v>1067</v>
      </c>
      <c r="F1026" s="7" t="s">
        <v>1439</v>
      </c>
      <c r="G1026" s="4">
        <v>55.5</v>
      </c>
      <c r="H1026" s="3" t="s">
        <v>1068</v>
      </c>
      <c r="I1026" s="3" t="s">
        <v>1070</v>
      </c>
      <c r="J1026" s="4">
        <v>3</v>
      </c>
      <c r="K1026" s="4">
        <v>774.78629999999998</v>
      </c>
      <c r="L1026" s="4" t="str">
        <f>HYPERLINK("http://ms.phosphosite.org:5080/cgi-bin/plot-msms.cgi?MassType=1&amp;NumAxis=1&amp;Mod5=184&amp;Mod17=184&amp;Pep=FIQPRPTLNQPPPPLIRPAN&amp;Dta=/var/www/html/dta/yong/23616.15730.3.dta&amp;Global_Mod=CS57.0215", "15730")</f>
        <v>15730</v>
      </c>
      <c r="M1026" s="4" t="str">
        <f>HYPERLINK("http://ms.phosphosite.org:5080/cgi-bin/plot-msms.cgi?MassType=1&amp;NumAxis=1&amp;Mod5=184&amp;Mod17=184&amp;Pep=FIQPRPTLNQPPPPLIRPAN&amp;Dta=/var/www/html/dta/yong/23617.15898.3.dta&amp;Global_Mod=CS57.0215", "15898")</f>
        <v>15898</v>
      </c>
      <c r="N1026" s="5">
        <v>73.75</v>
      </c>
      <c r="O1026" s="5">
        <v>73.650000000000006</v>
      </c>
      <c r="P1026" s="5">
        <v>3.6709999999999998</v>
      </c>
      <c r="Q1026" s="5">
        <v>3.4529999999999998</v>
      </c>
      <c r="R1026" s="5">
        <v>0.51070000000000004</v>
      </c>
      <c r="S1026" s="5">
        <v>0.22550000000000001</v>
      </c>
      <c r="T1026" s="5">
        <v>0.1598</v>
      </c>
      <c r="U1026" s="5">
        <v>0.25319999999999998</v>
      </c>
      <c r="V1026" s="4">
        <v>1</v>
      </c>
      <c r="W1026" s="4">
        <v>1</v>
      </c>
      <c r="X1026" s="5">
        <v>1.97</v>
      </c>
      <c r="Y1026" s="5">
        <v>2.5</v>
      </c>
      <c r="Z1026" s="6" t="s">
        <v>1306</v>
      </c>
      <c r="AA1026" s="6" t="s">
        <v>1306</v>
      </c>
      <c r="AB1026" s="4" t="s">
        <v>13</v>
      </c>
    </row>
    <row r="1027" spans="1:28">
      <c r="A1027" s="3" t="s">
        <v>945</v>
      </c>
      <c r="B1027" s="9" t="s">
        <v>1702</v>
      </c>
      <c r="C1027" s="9" t="s">
        <v>1703</v>
      </c>
      <c r="D1027" s="4" t="s">
        <v>1811</v>
      </c>
      <c r="E1027" s="3" t="s">
        <v>1067</v>
      </c>
      <c r="F1027" s="7" t="s">
        <v>1439</v>
      </c>
      <c r="G1027" s="4">
        <v>55.5</v>
      </c>
      <c r="H1027" s="3" t="s">
        <v>1068</v>
      </c>
      <c r="I1027" s="3" t="s">
        <v>1070</v>
      </c>
      <c r="J1027" s="4">
        <v>3</v>
      </c>
      <c r="K1027" s="4">
        <v>774.78629999999998</v>
      </c>
      <c r="L1027" s="4" t="str">
        <f>HYPERLINK("http://ms.phosphosite.org:5080/cgi-bin/plot-msms.cgi?MassType=1&amp;NumAxis=1&amp;Mod5=184&amp;Mod17=184&amp;Pep=FIQPRPTLNQPPPPLIRPAN&amp;Dta=/var/www/html/dta/yong/23616.15749.3.dta&amp;Global_Mod=CS57.0215", "15749")</f>
        <v>15749</v>
      </c>
      <c r="M1027" s="4" t="str">
        <f>HYPERLINK("http://ms.phosphosite.org:5080/cgi-bin/plot-msms.cgi?MassType=1&amp;NumAxis=1&amp;Mod5=184&amp;Mod17=184&amp;Pep=FIQPRPTLNQPPPPLIRPAN&amp;Dta=/var/www/html/dta/yong/23617.15911.3.dta&amp;Global_Mod=CS57.0215", "15911")</f>
        <v>15911</v>
      </c>
      <c r="N1027" s="5">
        <v>73.819999999999993</v>
      </c>
      <c r="O1027" s="5">
        <v>73.7</v>
      </c>
      <c r="P1027" s="5">
        <v>4.1310000000000002</v>
      </c>
      <c r="Q1027" s="5">
        <v>3.7730000000000001</v>
      </c>
      <c r="R1027" s="5">
        <v>0.53979999999999995</v>
      </c>
      <c r="S1027" s="5">
        <v>0.24279999999999999</v>
      </c>
      <c r="T1027" s="5">
        <v>0.27660000000000001</v>
      </c>
      <c r="U1027" s="5">
        <v>0.23219999999999999</v>
      </c>
      <c r="V1027" s="4">
        <v>1</v>
      </c>
      <c r="W1027" s="4">
        <v>1</v>
      </c>
      <c r="X1027" s="5">
        <v>2.77</v>
      </c>
      <c r="Y1027" s="5">
        <v>2.48</v>
      </c>
      <c r="Z1027" s="6" t="s">
        <v>1306</v>
      </c>
      <c r="AA1027" s="6" t="s">
        <v>1306</v>
      </c>
      <c r="AB1027" s="4" t="s">
        <v>13</v>
      </c>
    </row>
    <row r="1028" spans="1:28">
      <c r="A1028" s="3" t="s">
        <v>945</v>
      </c>
      <c r="B1028" s="9" t="s">
        <v>1702</v>
      </c>
      <c r="C1028" s="9" t="s">
        <v>1703</v>
      </c>
      <c r="D1028" s="4" t="s">
        <v>1811</v>
      </c>
      <c r="E1028" s="3" t="s">
        <v>1067</v>
      </c>
      <c r="F1028" s="7" t="s">
        <v>1439</v>
      </c>
      <c r="G1028" s="4">
        <v>55.5</v>
      </c>
      <c r="H1028" s="3" t="s">
        <v>1068</v>
      </c>
      <c r="I1028" s="3" t="s">
        <v>1069</v>
      </c>
      <c r="J1028" s="4">
        <v>3</v>
      </c>
      <c r="K1028" s="4">
        <v>736.77200000000005</v>
      </c>
      <c r="L1028" s="4" t="str">
        <f>HYPERLINK("http://ms.phosphosite.org:5080/cgi-bin/plot-msms.cgi?MassType=1&amp;NumAxis=1&amp;Mod5=184&amp;Mod17=184&amp;Pep=FIQPRPTLNQPPPPLIRPA&amp;Dta=/var/www/html/dta/yong/23616.16419.3.dta&amp;Global_Mod=CS57.0215", "16419")</f>
        <v>16419</v>
      </c>
      <c r="M1028" s="4" t="str">
        <f>HYPERLINK("http://ms.phosphosite.org:5080/cgi-bin/plot-msms.cgi?MassType=1&amp;NumAxis=1&amp;Mod5=184&amp;Mod17=184&amp;Pep=FIQPRPTLNQPPPPLIRPA&amp;Dta=/var/www/html/dta/yong/23617.16603.3.dta&amp;Global_Mod=CS57.0215", "16603")</f>
        <v>16603</v>
      </c>
      <c r="N1028" s="5">
        <v>76.61</v>
      </c>
      <c r="O1028" s="5">
        <v>76.59</v>
      </c>
      <c r="P1028" s="5">
        <v>3.87</v>
      </c>
      <c r="Q1028" s="5">
        <v>3.6709999999999998</v>
      </c>
      <c r="R1028" s="5">
        <v>0.98860000000000003</v>
      </c>
      <c r="S1028" s="5">
        <v>0.83350000000000002</v>
      </c>
      <c r="T1028" s="5">
        <v>0.27789999999999998</v>
      </c>
      <c r="U1028" s="5">
        <v>0.24579999999999999</v>
      </c>
      <c r="V1028" s="4">
        <v>1</v>
      </c>
      <c r="W1028" s="4">
        <v>1</v>
      </c>
      <c r="X1028" s="5">
        <v>2.68</v>
      </c>
      <c r="Y1028" s="5">
        <v>2.52</v>
      </c>
      <c r="Z1028" s="6" t="s">
        <v>1306</v>
      </c>
      <c r="AA1028" s="6" t="s">
        <v>1306</v>
      </c>
      <c r="AB1028" s="4" t="s">
        <v>13</v>
      </c>
    </row>
    <row r="1029" spans="1:28">
      <c r="A1029" s="3" t="s">
        <v>945</v>
      </c>
      <c r="B1029" s="9" t="s">
        <v>1702</v>
      </c>
      <c r="C1029" s="9" t="s">
        <v>1703</v>
      </c>
      <c r="D1029" s="4" t="s">
        <v>1811</v>
      </c>
      <c r="E1029" s="3" t="s">
        <v>1067</v>
      </c>
      <c r="F1029" s="7" t="s">
        <v>1439</v>
      </c>
      <c r="G1029" s="4">
        <v>55.5</v>
      </c>
      <c r="H1029" s="3" t="s">
        <v>1068</v>
      </c>
      <c r="I1029" s="3" t="s">
        <v>1069</v>
      </c>
      <c r="J1029" s="4">
        <v>3</v>
      </c>
      <c r="K1029" s="4">
        <v>736.77200000000005</v>
      </c>
      <c r="L1029" s="4" t="str">
        <f>HYPERLINK("http://ms.phosphosite.org:5080/cgi-bin/plot-msms.cgi?MassType=1&amp;NumAxis=1&amp;Mod5=184&amp;Mod17=184&amp;Pep=FIQPRPTLNQPPPPLIRPA&amp;Dta=/var/www/html/dta/yong/23616.16562.3.dta&amp;Global_Mod=CS57.0215", "16562")</f>
        <v>16562</v>
      </c>
      <c r="M1029" s="4" t="str">
        <f>HYPERLINK("http://ms.phosphosite.org:5080/cgi-bin/plot-msms.cgi?MassType=1&amp;NumAxis=1&amp;Mod5=184&amp;Mod17=184&amp;Pep=FIQPRPTLNQPPPPLIRPA&amp;Dta=/var/www/html/dta/yong/23617.16772.3.dta&amp;Global_Mod=CS57.0215", "16772")</f>
        <v>16772</v>
      </c>
      <c r="N1029" s="5">
        <v>77.25</v>
      </c>
      <c r="O1029" s="5">
        <v>77.33</v>
      </c>
      <c r="P1029" s="5">
        <v>3.9350000000000001</v>
      </c>
      <c r="Q1029" s="5">
        <v>3.7410000000000001</v>
      </c>
      <c r="R1029" s="5">
        <v>1.0054000000000001</v>
      </c>
      <c r="S1029" s="5">
        <v>0.81479999999999997</v>
      </c>
      <c r="T1029" s="5">
        <v>0.14610000000000001</v>
      </c>
      <c r="U1029" s="5">
        <v>0.255</v>
      </c>
      <c r="V1029" s="4">
        <v>1</v>
      </c>
      <c r="W1029" s="4">
        <v>1</v>
      </c>
      <c r="X1029" s="5">
        <v>1.96</v>
      </c>
      <c r="Y1029" s="5">
        <v>2.59</v>
      </c>
      <c r="Z1029" s="6" t="s">
        <v>1306</v>
      </c>
      <c r="AA1029" s="6" t="s">
        <v>1306</v>
      </c>
      <c r="AB1029" s="4" t="s">
        <v>13</v>
      </c>
    </row>
    <row r="1030" spans="1:28">
      <c r="A1030" s="3" t="s">
        <v>945</v>
      </c>
      <c r="B1030" s="9" t="s">
        <v>1702</v>
      </c>
      <c r="C1030" s="9" t="s">
        <v>1703</v>
      </c>
      <c r="D1030" s="4" t="s">
        <v>1811</v>
      </c>
      <c r="E1030" s="3" t="s">
        <v>1067</v>
      </c>
      <c r="F1030" s="7" t="s">
        <v>1439</v>
      </c>
      <c r="G1030" s="4">
        <v>55.5</v>
      </c>
      <c r="H1030" s="3" t="s">
        <v>1068</v>
      </c>
      <c r="I1030" s="3" t="s">
        <v>1070</v>
      </c>
      <c r="J1030" s="4">
        <v>3</v>
      </c>
      <c r="K1030" s="4">
        <v>774.78629999999998</v>
      </c>
      <c r="L1030" s="4"/>
      <c r="M1030" s="4" t="str">
        <f>HYPERLINK("http://ms.phosphosite.org:5080/cgi-bin/plot-msms.cgi?MassType=1&amp;NumAxis=1&amp;Mod5=184&amp;Mod17=184&amp;Pep=FIQPRPTLNQPPPPLIRPAN&amp;Dta=/var/www/html/dta/yong/23617.15920.3.dta&amp;Global_Mod=CS57.0215", "15920")</f>
        <v>15920</v>
      </c>
      <c r="N1030" s="5"/>
      <c r="O1030" s="5">
        <v>73.739999999999995</v>
      </c>
      <c r="P1030" s="5"/>
      <c r="Q1030" s="5">
        <v>3.7120000000000002</v>
      </c>
      <c r="R1030" s="5"/>
      <c r="S1030" s="5">
        <v>0.2445</v>
      </c>
      <c r="T1030" s="5"/>
      <c r="U1030" s="5">
        <v>0.2316</v>
      </c>
      <c r="V1030" s="4"/>
      <c r="W1030" s="4">
        <v>1</v>
      </c>
      <c r="X1030" s="5"/>
      <c r="Y1030" s="5">
        <v>2.46</v>
      </c>
      <c r="Z1030" s="6"/>
      <c r="AA1030" s="6" t="s">
        <v>1306</v>
      </c>
      <c r="AB1030" s="4" t="s">
        <v>13</v>
      </c>
    </row>
    <row r="1031" spans="1:28">
      <c r="A1031" s="3" t="s">
        <v>945</v>
      </c>
      <c r="B1031" s="9" t="s">
        <v>1702</v>
      </c>
      <c r="C1031" s="9" t="s">
        <v>1703</v>
      </c>
      <c r="D1031" s="4" t="s">
        <v>1811</v>
      </c>
      <c r="E1031" s="3" t="s">
        <v>1067</v>
      </c>
      <c r="F1031" s="7" t="s">
        <v>1440</v>
      </c>
      <c r="G1031" s="4">
        <v>55.5</v>
      </c>
      <c r="H1031" s="3" t="s">
        <v>1068</v>
      </c>
      <c r="I1031" s="3" t="s">
        <v>1069</v>
      </c>
      <c r="J1031" s="4">
        <v>3</v>
      </c>
      <c r="K1031" s="4">
        <v>736.77200000000005</v>
      </c>
      <c r="L1031" s="4"/>
      <c r="M1031" s="4" t="str">
        <f>HYPERLINK("http://ms.phosphosite.org:5080/cgi-bin/plot-msms.cgi?MassType=1&amp;NumAxis=1&amp;Mod5=184&amp;Mod17=184&amp;Pep=FIQPRPTLNQPPPPLIRPA&amp;Dta=/var/www/html/dta/yong/23617.16594.3.dta&amp;Global_Mod=CS57.0215", "16594")</f>
        <v>16594</v>
      </c>
      <c r="N1031" s="5"/>
      <c r="O1031" s="5">
        <v>76.55</v>
      </c>
      <c r="P1031" s="5"/>
      <c r="Q1031" s="5">
        <v>3.8940000000000001</v>
      </c>
      <c r="R1031" s="5"/>
      <c r="S1031" s="5">
        <v>0.8407</v>
      </c>
      <c r="T1031" s="5"/>
      <c r="U1031" s="5">
        <v>0.25900000000000001</v>
      </c>
      <c r="V1031" s="4"/>
      <c r="W1031" s="4">
        <v>1</v>
      </c>
      <c r="X1031" s="5"/>
      <c r="Y1031" s="5">
        <v>2.66</v>
      </c>
      <c r="Z1031" s="6"/>
      <c r="AA1031" s="6" t="s">
        <v>1306</v>
      </c>
      <c r="AB1031" s="4" t="s">
        <v>13</v>
      </c>
    </row>
    <row r="1032" spans="1:28">
      <c r="A1032" s="18" t="s">
        <v>945</v>
      </c>
      <c r="B1032" s="18" t="s">
        <v>1704</v>
      </c>
      <c r="C1032" s="18" t="s">
        <v>1705</v>
      </c>
      <c r="D1032" s="19">
        <v>4452</v>
      </c>
      <c r="E1032" s="18" t="s">
        <v>1067</v>
      </c>
      <c r="F1032" s="15" t="s">
        <v>1440</v>
      </c>
      <c r="G1032" s="19">
        <v>55.5</v>
      </c>
      <c r="H1032" s="18" t="s">
        <v>1073</v>
      </c>
      <c r="I1032" s="18" t="s">
        <v>1074</v>
      </c>
      <c r="J1032" s="19">
        <v>4</v>
      </c>
      <c r="K1032" s="19">
        <v>727.41010000000006</v>
      </c>
      <c r="L1032" s="19"/>
      <c r="M1032" s="19" t="str">
        <f>HYPERLINK("http://ms.phosphosite.org:5080/cgi-bin/plot-msms.cgi?MassType=1&amp;NumAxis=1&amp;Mod5=184&amp;Mod17=170&amp;Mod22=147&amp;Mod25=170&amp;Pep=FIQPRPTLNQPPPPLIRPANSMPPR&amp;Dta=/var/www/html/dta/yong/23617.14314.4.dta&amp;Global_Mod=CS57.0215", "14314")</f>
        <v>14314</v>
      </c>
      <c r="N1032" s="20"/>
      <c r="O1032" s="20">
        <v>67</v>
      </c>
      <c r="P1032" s="20"/>
      <c r="Q1032" s="20">
        <v>3.2890000000000001</v>
      </c>
      <c r="R1032" s="20"/>
      <c r="S1032" s="20">
        <v>0.77890000000000004</v>
      </c>
      <c r="T1032" s="20"/>
      <c r="U1032" s="20">
        <v>0.21010000000000001</v>
      </c>
      <c r="V1032" s="19"/>
      <c r="W1032" s="19">
        <v>1</v>
      </c>
      <c r="X1032" s="20"/>
      <c r="Y1032" s="20">
        <v>2.15</v>
      </c>
      <c r="Z1032" s="21"/>
      <c r="AA1032" s="21" t="s">
        <v>1307</v>
      </c>
      <c r="AB1032" s="19" t="s">
        <v>13</v>
      </c>
    </row>
    <row r="1033" spans="1:28">
      <c r="A1033" s="3" t="s">
        <v>945</v>
      </c>
      <c r="B1033" s="3" t="s">
        <v>1706</v>
      </c>
      <c r="C1033" s="3" t="s">
        <v>1707</v>
      </c>
      <c r="D1033" s="4">
        <v>104</v>
      </c>
      <c r="E1033" s="3" t="s">
        <v>1078</v>
      </c>
      <c r="F1033" s="7" t="s">
        <v>1440</v>
      </c>
      <c r="G1033" s="4">
        <v>58.9</v>
      </c>
      <c r="H1033" s="3" t="s">
        <v>1079</v>
      </c>
      <c r="I1033" s="3" t="s">
        <v>1081</v>
      </c>
      <c r="J1033" s="4">
        <v>3</v>
      </c>
      <c r="K1033" s="4">
        <v>697.00580000000002</v>
      </c>
      <c r="L1033" s="4" t="str">
        <f>HYPERLINK("http://ms.phosphosite.org:5080/cgi-bin/plot-msms.cgi?MassType=1&amp;NumAxis=1&amp;Mod7=184&amp;Mod10=147&amp;Mod14=147&amp;Mod15=147&amp;Pep=GAAAPLRPGMPPTMMDPFR&amp;Dta=/var/www/html/dta/yong/23616.11524.3.dta&amp;Global_Mod=CS57.0215", "11524")</f>
        <v>11524</v>
      </c>
      <c r="M1033" s="4" t="str">
        <f>HYPERLINK("http://ms.phosphosite.org:5080/cgi-bin/plot-msms.cgi?MassType=1&amp;NumAxis=1&amp;Mod7=184&amp;Mod10=147&amp;Mod14=147&amp;Mod15=147&amp;Pep=GAAAPLRPGMPPTMMDPFR&amp;Dta=/var/www/html/dta/yong/23617.11645.3.dta&amp;Global_Mod=CS57.0215", "11645")</f>
        <v>11645</v>
      </c>
      <c r="N1033" s="5">
        <v>55.53</v>
      </c>
      <c r="O1033" s="5">
        <v>55.51</v>
      </c>
      <c r="P1033" s="5">
        <v>2.6760000000000002</v>
      </c>
      <c r="Q1033" s="5">
        <v>2.484</v>
      </c>
      <c r="R1033" s="5">
        <v>0.89159999999999995</v>
      </c>
      <c r="S1033" s="5">
        <v>0.36059999999999998</v>
      </c>
      <c r="T1033" s="5">
        <v>0.28149999999999997</v>
      </c>
      <c r="U1033" s="5">
        <v>0.11609999999999999</v>
      </c>
      <c r="V1033" s="4">
        <v>10</v>
      </c>
      <c r="W1033" s="4">
        <v>51</v>
      </c>
      <c r="X1033" s="5">
        <v>2.33</v>
      </c>
      <c r="Y1033" s="5">
        <v>1.32</v>
      </c>
      <c r="Z1033" s="6">
        <v>1000</v>
      </c>
      <c r="AA1033" s="6">
        <v>1000</v>
      </c>
      <c r="AB1033" s="4" t="s">
        <v>13</v>
      </c>
    </row>
    <row r="1034" spans="1:28">
      <c r="A1034" s="3" t="s">
        <v>945</v>
      </c>
      <c r="B1034" s="3" t="s">
        <v>1706</v>
      </c>
      <c r="C1034" s="3" t="s">
        <v>1707</v>
      </c>
      <c r="D1034" s="4">
        <v>104</v>
      </c>
      <c r="E1034" s="3" t="s">
        <v>1078</v>
      </c>
      <c r="F1034" s="7" t="s">
        <v>1440</v>
      </c>
      <c r="G1034" s="4">
        <v>58.9</v>
      </c>
      <c r="H1034" s="3" t="s">
        <v>1079</v>
      </c>
      <c r="I1034" s="3" t="s">
        <v>1080</v>
      </c>
      <c r="J1034" s="4">
        <v>3</v>
      </c>
      <c r="K1034" s="4">
        <v>1089.8751999999999</v>
      </c>
      <c r="L1034" s="4" t="str">
        <f>HYPERLINK("http://ms.phosphosite.org:5080/cgi-bin/plot-msms.cgi?MassType=1&amp;NumAxis=1&amp;Mod20=184&amp;Mod23=147&amp;Mod27=147&amp;Mod28=147&amp;Pep=AGLQVGPPAGSPFGAAAPLRPGMPPTMMDPFR&amp;Dta=/var/www/html/dta/yong/23616.20409.3.dta&amp;Global_Mod=CS57.0215", "20409")</f>
        <v>20409</v>
      </c>
      <c r="M1034" s="4" t="str">
        <f>HYPERLINK("http://ms.phosphosite.org:5080/cgi-bin/plot-msms.cgi?MassType=1&amp;NumAxis=1&amp;Mod20=184&amp;Mod23=147&amp;Mod27=147&amp;Mod28=147&amp;Pep=AGLQVGPPAGSPFGAAAPLRPGMPPTMMDPFR&amp;Dta=/var/www/html/dta/yong/23617.20570.3.dta&amp;Global_Mod=CS57.0215", "20570")</f>
        <v>20570</v>
      </c>
      <c r="N1034" s="5">
        <v>93.54</v>
      </c>
      <c r="O1034" s="5">
        <v>93.53</v>
      </c>
      <c r="P1034" s="5">
        <v>2.8889999999999998</v>
      </c>
      <c r="Q1034" s="5">
        <v>3.0939999999999999</v>
      </c>
      <c r="R1034" s="5">
        <v>1.4862</v>
      </c>
      <c r="S1034" s="5">
        <v>1.1363000000000001</v>
      </c>
      <c r="T1034" s="5">
        <v>0.28299999999999997</v>
      </c>
      <c r="U1034" s="5">
        <v>0.1711</v>
      </c>
      <c r="V1034" s="4">
        <v>1</v>
      </c>
      <c r="W1034" s="4">
        <v>1</v>
      </c>
      <c r="X1034" s="5">
        <v>2.25</v>
      </c>
      <c r="Y1034" s="5">
        <v>1.67</v>
      </c>
      <c r="Z1034" s="6">
        <v>1000</v>
      </c>
      <c r="AA1034" s="6">
        <v>1000</v>
      </c>
      <c r="AB1034" s="4" t="s">
        <v>13</v>
      </c>
    </row>
    <row r="1035" spans="1:28">
      <c r="A1035" s="3" t="s">
        <v>945</v>
      </c>
      <c r="B1035" s="3" t="s">
        <v>1706</v>
      </c>
      <c r="C1035" s="3" t="s">
        <v>1707</v>
      </c>
      <c r="D1035" s="4">
        <v>104</v>
      </c>
      <c r="E1035" s="3" t="s">
        <v>1078</v>
      </c>
      <c r="F1035" s="7" t="s">
        <v>1440</v>
      </c>
      <c r="G1035" s="4">
        <v>58.9</v>
      </c>
      <c r="H1035" s="3" t="s">
        <v>1079</v>
      </c>
      <c r="I1035" s="3" t="s">
        <v>1080</v>
      </c>
      <c r="J1035" s="4">
        <v>4</v>
      </c>
      <c r="K1035" s="4">
        <v>817.65830000000005</v>
      </c>
      <c r="L1035" s="4" t="str">
        <f>HYPERLINK("http://ms.phosphosite.org:5080/cgi-bin/plot-msms.cgi?MassType=1&amp;NumAxis=1&amp;Mod20=184&amp;Mod23=147&amp;Mod27=147&amp;Mod28=147&amp;Pep=AGLQVGPPAGSPFGAAAPLRPGMPPTMMDPFR&amp;Dta=/var/www/html/dta/yong/23616.20442.4.dta&amp;Global_Mod=CS57.0215", "20442")</f>
        <v>20442</v>
      </c>
      <c r="M1035" s="4"/>
      <c r="N1035" s="5">
        <v>93.69</v>
      </c>
      <c r="O1035" s="5"/>
      <c r="P1035" s="5">
        <v>4.4409999999999998</v>
      </c>
      <c r="Q1035" s="5"/>
      <c r="R1035" s="5">
        <v>1.0164</v>
      </c>
      <c r="S1035" s="5"/>
      <c r="T1035" s="5">
        <v>0.3261</v>
      </c>
      <c r="U1035" s="5"/>
      <c r="V1035" s="4">
        <v>1</v>
      </c>
      <c r="W1035" s="4"/>
      <c r="X1035" s="5">
        <v>2.98</v>
      </c>
      <c r="Y1035" s="5"/>
      <c r="Z1035" s="6">
        <v>1000</v>
      </c>
      <c r="AA1035" s="6"/>
      <c r="AB1035" s="4" t="s">
        <v>13</v>
      </c>
    </row>
    <row r="1036" spans="1:28">
      <c r="A1036" s="3" t="s">
        <v>945</v>
      </c>
      <c r="B1036" s="3" t="s">
        <v>1706</v>
      </c>
      <c r="C1036" s="3" t="s">
        <v>1707</v>
      </c>
      <c r="D1036" s="4">
        <v>104</v>
      </c>
      <c r="E1036" s="3" t="s">
        <v>1078</v>
      </c>
      <c r="F1036" s="7" t="s">
        <v>1440</v>
      </c>
      <c r="G1036" s="4">
        <v>58.9</v>
      </c>
      <c r="H1036" s="3" t="s">
        <v>1079</v>
      </c>
      <c r="I1036" s="3" t="s">
        <v>1080</v>
      </c>
      <c r="J1036" s="4">
        <v>3</v>
      </c>
      <c r="K1036" s="4">
        <v>1089.8751999999999</v>
      </c>
      <c r="L1036" s="4" t="str">
        <f>HYPERLINK("http://ms.phosphosite.org:5080/cgi-bin/plot-msms.cgi?MassType=1&amp;NumAxis=1&amp;Mod20=184&amp;Mod23=147&amp;Mod27=147&amp;Mod28=147&amp;Pep=AGLQVGPPAGSPFGAAAPLRPGMPPTMMDPFR&amp;Dta=/var/www/html/dta/yong/23616.20619.3.dta&amp;Global_Mod=CS57.0215", "20619")</f>
        <v>20619</v>
      </c>
      <c r="M1036" s="4" t="str">
        <f>HYPERLINK("http://ms.phosphosite.org:5080/cgi-bin/plot-msms.cgi?MassType=1&amp;NumAxis=1&amp;Mod20=184&amp;Mod23=147&amp;Mod27=147&amp;Mod28=147&amp;Pep=AGLQVGPPAGSPFGAAAPLRPGMPPTMMDPFR&amp;Dta=/var/www/html/dta/yong/23617.20555.3.dta&amp;Global_Mod=CS57.0215", "20555")</f>
        <v>20555</v>
      </c>
      <c r="N1036" s="5">
        <v>94.45</v>
      </c>
      <c r="O1036" s="5">
        <v>93.47</v>
      </c>
      <c r="P1036" s="5">
        <v>3.0510000000000002</v>
      </c>
      <c r="Q1036" s="5">
        <v>3.044</v>
      </c>
      <c r="R1036" s="5">
        <v>1.6068</v>
      </c>
      <c r="S1036" s="5">
        <v>1.147</v>
      </c>
      <c r="T1036" s="5">
        <v>0.14499999999999999</v>
      </c>
      <c r="U1036" s="5">
        <v>0.25019999999999998</v>
      </c>
      <c r="V1036" s="4">
        <v>3</v>
      </c>
      <c r="W1036" s="4">
        <v>2</v>
      </c>
      <c r="X1036" s="5">
        <v>1.51</v>
      </c>
      <c r="Y1036" s="5">
        <v>2.1</v>
      </c>
      <c r="Z1036" s="6">
        <v>1000</v>
      </c>
      <c r="AA1036" s="6">
        <v>1000</v>
      </c>
      <c r="AB1036" s="4" t="s">
        <v>13</v>
      </c>
    </row>
    <row r="1037" spans="1:28" s="18" customFormat="1">
      <c r="A1037" s="3" t="s">
        <v>945</v>
      </c>
      <c r="B1037" s="3" t="s">
        <v>1706</v>
      </c>
      <c r="C1037" s="3" t="s">
        <v>1707</v>
      </c>
      <c r="D1037" s="4">
        <v>104</v>
      </c>
      <c r="E1037" s="3" t="s">
        <v>1078</v>
      </c>
      <c r="F1037" s="7" t="s">
        <v>1440</v>
      </c>
      <c r="G1037" s="4">
        <v>58.9</v>
      </c>
      <c r="H1037" s="3" t="s">
        <v>1079</v>
      </c>
      <c r="I1037" s="3" t="s">
        <v>1081</v>
      </c>
      <c r="J1037" s="4">
        <v>3</v>
      </c>
      <c r="K1037" s="4">
        <v>697.00580000000002</v>
      </c>
      <c r="L1037" s="4"/>
      <c r="M1037" s="4" t="str">
        <f>HYPERLINK("http://ms.phosphosite.org:5080/cgi-bin/plot-msms.cgi?MassType=1&amp;NumAxis=1&amp;Mod7=184&amp;Mod10=147&amp;Mod14=147&amp;Mod15=147&amp;Pep=GAAAPLRPGMPPTMMDPFR&amp;Dta=/var/www/html/dta/yong/23617.11618.3.dta&amp;Global_Mod=CS57.0215", "11618")</f>
        <v>11618</v>
      </c>
      <c r="N1037" s="5"/>
      <c r="O1037" s="5">
        <v>55.41</v>
      </c>
      <c r="P1037" s="5"/>
      <c r="Q1037" s="5">
        <v>2.3740000000000001</v>
      </c>
      <c r="R1037" s="5"/>
      <c r="S1037" s="5">
        <v>0.2893</v>
      </c>
      <c r="T1037" s="5"/>
      <c r="U1037" s="5">
        <v>0.10730000000000001</v>
      </c>
      <c r="V1037" s="4"/>
      <c r="W1037" s="4">
        <v>199</v>
      </c>
      <c r="X1037" s="5"/>
      <c r="Y1037" s="5">
        <v>1.17</v>
      </c>
      <c r="Z1037" s="6"/>
      <c r="AA1037" s="6">
        <v>1000</v>
      </c>
      <c r="AB1037" s="4" t="s">
        <v>13</v>
      </c>
    </row>
    <row r="1038" spans="1:28">
      <c r="A1038" s="3" t="s">
        <v>945</v>
      </c>
      <c r="B1038" s="3" t="s">
        <v>1706</v>
      </c>
      <c r="C1038" s="3" t="s">
        <v>1707</v>
      </c>
      <c r="D1038" s="4">
        <v>104</v>
      </c>
      <c r="E1038" s="3" t="s">
        <v>1078</v>
      </c>
      <c r="F1038" s="7" t="s">
        <v>1440</v>
      </c>
      <c r="G1038" s="4">
        <v>58.9</v>
      </c>
      <c r="H1038" s="3" t="s">
        <v>1079</v>
      </c>
      <c r="I1038" s="3" t="s">
        <v>1080</v>
      </c>
      <c r="J1038" s="4">
        <v>3</v>
      </c>
      <c r="K1038" s="4">
        <v>1089.8751999999999</v>
      </c>
      <c r="L1038" s="4"/>
      <c r="M1038" s="4" t="str">
        <f>HYPERLINK("http://ms.phosphosite.org:5080/cgi-bin/plot-msms.cgi?MassType=1&amp;NumAxis=1&amp;Mod20=184&amp;Mod23=147&amp;Mod27=147&amp;Mod28=147&amp;Pep=AGLQVGPPAGSPFGAAAPLRPGMPPTMMDPFR&amp;Dta=/var/www/html/dta/yong/23617.20788.3.dta&amp;Global_Mod=CS57.0215", "20788")</f>
        <v>20788</v>
      </c>
      <c r="N1038" s="5"/>
      <c r="O1038" s="5">
        <v>94.46</v>
      </c>
      <c r="P1038" s="5"/>
      <c r="Q1038" s="5">
        <v>3.298</v>
      </c>
      <c r="R1038" s="5"/>
      <c r="S1038" s="5">
        <v>0.95409999999999995</v>
      </c>
      <c r="T1038" s="5"/>
      <c r="U1038" s="5">
        <v>0.2326</v>
      </c>
      <c r="V1038" s="4"/>
      <c r="W1038" s="4">
        <v>1</v>
      </c>
      <c r="X1038" s="5"/>
      <c r="Y1038" s="5">
        <v>2.09</v>
      </c>
      <c r="Z1038" s="6"/>
      <c r="AA1038" s="6">
        <v>1000</v>
      </c>
      <c r="AB1038" s="4" t="s">
        <v>13</v>
      </c>
    </row>
    <row r="1039" spans="1:28">
      <c r="A1039" s="3" t="s">
        <v>945</v>
      </c>
      <c r="B1039" s="3" t="s">
        <v>1082</v>
      </c>
      <c r="C1039" s="3" t="s">
        <v>1083</v>
      </c>
      <c r="D1039" s="4">
        <v>66</v>
      </c>
      <c r="E1039" s="3" t="s">
        <v>1084</v>
      </c>
      <c r="F1039" s="7" t="s">
        <v>1441</v>
      </c>
      <c r="G1039" s="4">
        <v>108.6</v>
      </c>
      <c r="H1039" s="3" t="s">
        <v>1085</v>
      </c>
      <c r="I1039" s="3" t="s">
        <v>1086</v>
      </c>
      <c r="J1039" s="4">
        <v>3</v>
      </c>
      <c r="K1039" s="4">
        <v>499.5992</v>
      </c>
      <c r="L1039" s="4" t="str">
        <f>HYPERLINK("http://ms.phosphosite.org:5080/cgi-bin/plot-msms.cgi?MassType=1&amp;NumAxis=1&amp;Mod6=184&amp;Pep=ERNHPRVYQNR&amp;Dta=/var/www/html/dta/yong/23616.1091.3.dta&amp;Global_Mod=CS57.0215", "1091")</f>
        <v>1091</v>
      </c>
      <c r="M1039" s="4" t="str">
        <f>HYPERLINK("http://ms.phosphosite.org:5080/cgi-bin/plot-msms.cgi?MassType=1&amp;NumAxis=1&amp;Mod6=184&amp;Pep=ERNHPRVYQNR&amp;Dta=/var/www/html/dta/yong/23617.1099.3.dta&amp;Global_Mod=CS57.0215", "1099")</f>
        <v>1099</v>
      </c>
      <c r="N1039" s="5">
        <v>11.46</v>
      </c>
      <c r="O1039" s="5">
        <v>11.44</v>
      </c>
      <c r="P1039" s="5">
        <v>2.742</v>
      </c>
      <c r="Q1039" s="5">
        <v>2.661</v>
      </c>
      <c r="R1039" s="5">
        <v>0.5585</v>
      </c>
      <c r="S1039" s="5">
        <v>0.30869999999999997</v>
      </c>
      <c r="T1039" s="5">
        <v>9.9299999999999999E-2</v>
      </c>
      <c r="U1039" s="5">
        <v>0.22550000000000001</v>
      </c>
      <c r="V1039" s="4">
        <v>3</v>
      </c>
      <c r="W1039" s="4">
        <v>47</v>
      </c>
      <c r="X1039" s="5">
        <v>1.1399999999999999</v>
      </c>
      <c r="Y1039" s="5">
        <v>1.76</v>
      </c>
      <c r="Z1039" s="6">
        <v>27</v>
      </c>
      <c r="AA1039" s="6">
        <v>27</v>
      </c>
      <c r="AB1039" s="4" t="s">
        <v>13</v>
      </c>
    </row>
    <row r="1040" spans="1:28">
      <c r="A1040" s="3" t="s">
        <v>945</v>
      </c>
      <c r="B1040" s="3" t="s">
        <v>1082</v>
      </c>
      <c r="C1040" s="3" t="s">
        <v>1083</v>
      </c>
      <c r="D1040" s="4">
        <v>66</v>
      </c>
      <c r="E1040" s="3" t="s">
        <v>1084</v>
      </c>
      <c r="F1040" s="7" t="s">
        <v>1441</v>
      </c>
      <c r="G1040" s="4">
        <v>108.6</v>
      </c>
      <c r="H1040" s="3" t="s">
        <v>1085</v>
      </c>
      <c r="I1040" s="3" t="s">
        <v>1087</v>
      </c>
      <c r="J1040" s="4">
        <v>3</v>
      </c>
      <c r="K1040" s="4">
        <v>404.55130000000003</v>
      </c>
      <c r="L1040" s="4" t="str">
        <f>HYPERLINK("http://ms.phosphosite.org:5080/cgi-bin/plot-msms.cgi?MassType=1&amp;NumAxis=1&amp;Mod4=184&amp;Pep=NHPRVYQNR&amp;Dta=/var/www/html/dta/yong/23616.1158.3.dta&amp;Global_Mod=CS57.0215", "1158")</f>
        <v>1158</v>
      </c>
      <c r="M1040" s="4"/>
      <c r="N1040" s="5">
        <v>11.72</v>
      </c>
      <c r="O1040" s="5"/>
      <c r="P1040" s="5">
        <v>1.3009999999999999</v>
      </c>
      <c r="Q1040" s="5"/>
      <c r="R1040" s="5">
        <v>-4.6699999999999998E-2</v>
      </c>
      <c r="S1040" s="5"/>
      <c r="T1040" s="5">
        <v>0.1633</v>
      </c>
      <c r="U1040" s="5"/>
      <c r="V1040" s="4">
        <v>29</v>
      </c>
      <c r="W1040" s="4"/>
      <c r="X1040" s="5">
        <v>1.25</v>
      </c>
      <c r="Y1040" s="5"/>
      <c r="Z1040" s="6">
        <v>1000</v>
      </c>
      <c r="AA1040" s="6"/>
      <c r="AB1040" s="4" t="s">
        <v>13</v>
      </c>
    </row>
    <row r="1041" spans="1:28">
      <c r="A1041" s="18" t="s">
        <v>945</v>
      </c>
      <c r="B1041" s="18" t="s">
        <v>1082</v>
      </c>
      <c r="C1041" s="18" t="s">
        <v>1083</v>
      </c>
      <c r="D1041" s="19">
        <v>66</v>
      </c>
      <c r="E1041" s="18" t="s">
        <v>1084</v>
      </c>
      <c r="F1041" s="15" t="s">
        <v>1441</v>
      </c>
      <c r="G1041" s="19">
        <v>108.6</v>
      </c>
      <c r="H1041" s="18" t="s">
        <v>1085</v>
      </c>
      <c r="I1041" s="18" t="s">
        <v>1088</v>
      </c>
      <c r="J1041" s="19">
        <v>3</v>
      </c>
      <c r="K1041" s="19">
        <v>409.22309999999999</v>
      </c>
      <c r="L1041" s="19"/>
      <c r="M1041" s="19" t="str">
        <f>HYPERLINK("http://ms.phosphosite.org:5080/cgi-bin/plot-msms.cgi?MassType=1&amp;NumAxis=1&amp;Mod4=184&amp;Mod9=170&amp;Pep=NHPRVYQNR&amp;Dta=/var/www/html/dta/yong/23617.1374.3.dta&amp;Global_Mod=CS57.0215", "1374")</f>
        <v>1374</v>
      </c>
      <c r="N1041" s="20"/>
      <c r="O1041" s="20">
        <v>12.56</v>
      </c>
      <c r="P1041" s="20"/>
      <c r="Q1041" s="20">
        <v>1.8779999999999999</v>
      </c>
      <c r="R1041" s="20"/>
      <c r="S1041" s="20">
        <v>5.8099999999999999E-2</v>
      </c>
      <c r="T1041" s="20"/>
      <c r="U1041" s="20">
        <v>0.17910000000000001</v>
      </c>
      <c r="V1041" s="19"/>
      <c r="W1041" s="19">
        <v>49</v>
      </c>
      <c r="X1041" s="20"/>
      <c r="Y1041" s="20">
        <v>1.44</v>
      </c>
      <c r="Z1041" s="21"/>
      <c r="AA1041" s="21" t="s">
        <v>1306</v>
      </c>
      <c r="AB1041" s="19" t="s">
        <v>13</v>
      </c>
    </row>
    <row r="1042" spans="1:28">
      <c r="A1042" s="9" t="s">
        <v>945</v>
      </c>
      <c r="B1042" s="9" t="s">
        <v>1089</v>
      </c>
      <c r="C1042" s="9" t="s">
        <v>1090</v>
      </c>
      <c r="D1042" s="7" t="s">
        <v>1091</v>
      </c>
      <c r="E1042" s="9" t="s">
        <v>1092</v>
      </c>
      <c r="F1042" s="7" t="s">
        <v>1442</v>
      </c>
      <c r="G1042" s="7">
        <v>83.1</v>
      </c>
      <c r="H1042" s="9" t="s">
        <v>1093</v>
      </c>
      <c r="I1042" s="9" t="s">
        <v>1094</v>
      </c>
      <c r="J1042" s="7">
        <v>4</v>
      </c>
      <c r="K1042" s="7">
        <v>977.53319999999997</v>
      </c>
      <c r="L1042" s="7"/>
      <c r="M1042" s="7" t="str">
        <f>HYPERLINK("http://ms.phosphosite.org:5080/cgi-bin/plot-msms.cgi?MassType=1&amp;NumAxis=1&amp;Mod3=147&amp;Mod15=184&amp;Mod36=184&amp;Pep=SDMPTPGTSATPGLRPGLGKPPAIDPLVNQAAAGLRTPL&amp;Dta=/var/www/html/dta/yong/23617.22804.4.dta&amp;Global_Mod=CS57.0215", "22804")</f>
        <v>22804</v>
      </c>
      <c r="N1042" s="10"/>
      <c r="O1042" s="10">
        <v>102.68</v>
      </c>
      <c r="P1042" s="10"/>
      <c r="Q1042" s="10">
        <v>3.6520000000000001</v>
      </c>
      <c r="R1042" s="10"/>
      <c r="S1042" s="10">
        <v>0.90180000000000005</v>
      </c>
      <c r="T1042" s="10"/>
      <c r="U1042" s="10">
        <v>0.20330000000000001</v>
      </c>
      <c r="V1042" s="7"/>
      <c r="W1042" s="7">
        <v>86</v>
      </c>
      <c r="X1042" s="10"/>
      <c r="Y1042" s="10">
        <v>1.69</v>
      </c>
      <c r="Z1042" s="11"/>
      <c r="AA1042" s="11" t="s">
        <v>1306</v>
      </c>
      <c r="AB1042" s="7" t="s">
        <v>13</v>
      </c>
    </row>
    <row r="1043" spans="1:28">
      <c r="A1043" s="3" t="s">
        <v>945</v>
      </c>
      <c r="B1043" s="3" t="s">
        <v>1708</v>
      </c>
      <c r="C1043" s="3" t="s">
        <v>1709</v>
      </c>
      <c r="D1043" s="4">
        <v>309</v>
      </c>
      <c r="E1043" s="3" t="s">
        <v>1095</v>
      </c>
      <c r="F1043" s="7" t="s">
        <v>1499</v>
      </c>
      <c r="G1043" s="4">
        <v>93.9</v>
      </c>
      <c r="H1043" s="3" t="s">
        <v>1096</v>
      </c>
      <c r="I1043" s="3" t="s">
        <v>1097</v>
      </c>
      <c r="J1043" s="4">
        <v>4</v>
      </c>
      <c r="K1043" s="4">
        <v>727.3972</v>
      </c>
      <c r="L1043" s="4" t="str">
        <f>HYPERLINK("http://ms.phosphosite.org:5080/cgi-bin/plot-msms.cgi?MassType=1&amp;NumAxis=1&amp;Mod1=184&amp;Mod8=147&amp;Pep=RLPLQQGMTQSLSVPGPTGLHYKPTR&amp;Dta=/var/www/html/dta/yong/23616.13107.4.dta&amp;Global_Mod=CS57.0215", "13107")</f>
        <v>13107</v>
      </c>
      <c r="M1043" s="4" t="str">
        <f>HYPERLINK("http://ms.phosphosite.org:5080/cgi-bin/plot-msms.cgi?MassType=1&amp;NumAxis=1&amp;Mod1=184&amp;Mod8=147&amp;Pep=RLPLQQGMTQSLSVPGPTGLHYKPTR&amp;Dta=/var/www/html/dta/yong/23617.13225.4.dta&amp;Global_Mod=CS57.0215", "13225")</f>
        <v>13225</v>
      </c>
      <c r="N1043" s="5">
        <v>62.41</v>
      </c>
      <c r="O1043" s="5">
        <v>62.24</v>
      </c>
      <c r="P1043" s="5">
        <v>4.452</v>
      </c>
      <c r="Q1043" s="5">
        <v>4.9790000000000001</v>
      </c>
      <c r="R1043" s="5">
        <v>0.83509999999999995</v>
      </c>
      <c r="S1043" s="5">
        <v>0.43059999999999998</v>
      </c>
      <c r="T1043" s="5">
        <v>0.29310000000000003</v>
      </c>
      <c r="U1043" s="5">
        <v>0.35670000000000002</v>
      </c>
      <c r="V1043" s="4">
        <v>2</v>
      </c>
      <c r="W1043" s="4">
        <v>1</v>
      </c>
      <c r="X1043" s="5">
        <v>2.6</v>
      </c>
      <c r="Y1043" s="5">
        <v>3.16</v>
      </c>
      <c r="Z1043" s="6">
        <v>1000</v>
      </c>
      <c r="AA1043" s="6">
        <v>1000</v>
      </c>
      <c r="AB1043" s="4" t="s">
        <v>13</v>
      </c>
    </row>
    <row r="1044" spans="1:28">
      <c r="A1044" s="3" t="s">
        <v>945</v>
      </c>
      <c r="B1044" s="3" t="s">
        <v>1708</v>
      </c>
      <c r="C1044" s="3" t="s">
        <v>1709</v>
      </c>
      <c r="D1044" s="4">
        <v>309</v>
      </c>
      <c r="E1044" s="3" t="s">
        <v>1095</v>
      </c>
      <c r="F1044" s="7" t="s">
        <v>1499</v>
      </c>
      <c r="G1044" s="4">
        <v>93.9</v>
      </c>
      <c r="H1044" s="3" t="s">
        <v>1096</v>
      </c>
      <c r="I1044" s="3" t="s">
        <v>1097</v>
      </c>
      <c r="J1044" s="4">
        <v>4</v>
      </c>
      <c r="K1044" s="4">
        <v>727.3972</v>
      </c>
      <c r="L1044" s="4" t="str">
        <f>HYPERLINK("http://ms.phosphosite.org:5080/cgi-bin/plot-msms.cgi?MassType=1&amp;NumAxis=1&amp;Mod1=184&amp;Mod8=147&amp;Pep=RLPLQQGMTQSLSVPGPTGLHYKPTR&amp;Dta=/var/www/html/dta/yong/23616.13119.4.dta&amp;Global_Mod=CS57.0215", "13119")</f>
        <v>13119</v>
      </c>
      <c r="M1044" s="4" t="str">
        <f>HYPERLINK("http://ms.phosphosite.org:5080/cgi-bin/plot-msms.cgi?MassType=1&amp;NumAxis=1&amp;Mod1=184&amp;Mod8=147&amp;Pep=RLPLQQGMTQSLSVPGPTGLHYKPTR&amp;Dta=/var/www/html/dta/yong/23617.13236.4.dta&amp;Global_Mod=CS57.0215", "13236")</f>
        <v>13236</v>
      </c>
      <c r="N1044" s="5">
        <v>62.46</v>
      </c>
      <c r="O1044" s="5">
        <v>62.29</v>
      </c>
      <c r="P1044" s="5">
        <v>3.9449999999999998</v>
      </c>
      <c r="Q1044" s="5">
        <v>4.5460000000000003</v>
      </c>
      <c r="R1044" s="5">
        <v>0.83509999999999995</v>
      </c>
      <c r="S1044" s="5">
        <v>0.45500000000000002</v>
      </c>
      <c r="T1044" s="5">
        <v>0.36159999999999998</v>
      </c>
      <c r="U1044" s="5">
        <v>0.35880000000000001</v>
      </c>
      <c r="V1044" s="4">
        <v>1</v>
      </c>
      <c r="W1044" s="4">
        <v>1</v>
      </c>
      <c r="X1044" s="5">
        <v>2.84</v>
      </c>
      <c r="Y1044" s="5">
        <v>3.04</v>
      </c>
      <c r="Z1044" s="6">
        <v>1000</v>
      </c>
      <c r="AA1044" s="6">
        <v>1000</v>
      </c>
      <c r="AB1044" s="4" t="s">
        <v>13</v>
      </c>
    </row>
    <row r="1045" spans="1:28">
      <c r="A1045" s="9" t="s">
        <v>945</v>
      </c>
      <c r="B1045" s="3" t="s">
        <v>1708</v>
      </c>
      <c r="C1045" s="3" t="s">
        <v>1709</v>
      </c>
      <c r="D1045" s="7" t="s">
        <v>1812</v>
      </c>
      <c r="E1045" s="9" t="s">
        <v>1095</v>
      </c>
      <c r="F1045" s="7" t="s">
        <v>1443</v>
      </c>
      <c r="G1045" s="7">
        <v>96.5</v>
      </c>
      <c r="H1045" s="9" t="s">
        <v>1098</v>
      </c>
      <c r="I1045" s="9" t="s">
        <v>1099</v>
      </c>
      <c r="J1045" s="7">
        <v>4</v>
      </c>
      <c r="K1045" s="7">
        <v>724.89779999999996</v>
      </c>
      <c r="L1045" s="7" t="str">
        <f>HYPERLINK("http://ms.phosphosite.org:5080/cgi-bin/plot-msms.cgi?MassType=1&amp;NumAxis=1&amp;Mod5=184&amp;Mod22=184&amp;Pep=YAGQRLPQHGYPGPPQAQPLPRQGVK&amp;Dta=/var/www/html/dta/yong/23616.9207.4.dta&amp;Global_Mod=CS57.0215", "9207")</f>
        <v>9207</v>
      </c>
      <c r="M1045" s="7" t="str">
        <f>HYPERLINK("http://ms.phosphosite.org:5080/cgi-bin/plot-msms.cgi?MassType=1&amp;NumAxis=1&amp;Mod5=184&amp;Mod22=184&amp;Pep=YAGQRLPQHGYPGPPQAQPLPRQGVK&amp;Dta=/var/www/html/dta/yong/23617.9452.4.dta&amp;Global_Mod=CS57.0215", "9452")</f>
        <v>9452</v>
      </c>
      <c r="N1045" s="10">
        <v>45.78</v>
      </c>
      <c r="O1045" s="10">
        <v>46.39</v>
      </c>
      <c r="P1045" s="10">
        <v>3.137</v>
      </c>
      <c r="Q1045" s="10">
        <v>4.2590000000000003</v>
      </c>
      <c r="R1045" s="10">
        <v>0.99919999999999998</v>
      </c>
      <c r="S1045" s="10">
        <v>0.621</v>
      </c>
      <c r="T1045" s="10">
        <v>0.19789999999999999</v>
      </c>
      <c r="U1045" s="10">
        <v>0.37990000000000002</v>
      </c>
      <c r="V1045" s="7">
        <v>1</v>
      </c>
      <c r="W1045" s="7">
        <v>1</v>
      </c>
      <c r="X1045" s="10">
        <v>1.73</v>
      </c>
      <c r="Y1045" s="10">
        <v>3.18</v>
      </c>
      <c r="Z1045" s="11" t="s">
        <v>1306</v>
      </c>
      <c r="AA1045" s="11" t="s">
        <v>1306</v>
      </c>
      <c r="AB1045" s="7" t="s">
        <v>13</v>
      </c>
    </row>
    <row r="1046" spans="1:28" s="18" customFormat="1">
      <c r="A1046" s="9" t="s">
        <v>945</v>
      </c>
      <c r="B1046" s="3" t="s">
        <v>1708</v>
      </c>
      <c r="C1046" s="3" t="s">
        <v>1709</v>
      </c>
      <c r="D1046" s="7" t="s">
        <v>1812</v>
      </c>
      <c r="E1046" s="9" t="s">
        <v>1095</v>
      </c>
      <c r="F1046" s="7" t="s">
        <v>1443</v>
      </c>
      <c r="G1046" s="7">
        <v>96.5</v>
      </c>
      <c r="H1046" s="9" t="s">
        <v>1098</v>
      </c>
      <c r="I1046" s="9" t="s">
        <v>1099</v>
      </c>
      <c r="J1046" s="7">
        <v>4</v>
      </c>
      <c r="K1046" s="7">
        <v>724.89779999999996</v>
      </c>
      <c r="L1046" s="7" t="str">
        <f>HYPERLINK("http://ms.phosphosite.org:5080/cgi-bin/plot-msms.cgi?MassType=1&amp;NumAxis=1&amp;Mod5=184&amp;Mod22=184&amp;Pep=YAGQRLPQHGYPGPPQAQPLPRQGVK&amp;Dta=/var/www/html/dta/yong/23616.9228.4.dta&amp;Global_Mod=CS57.0215", "9228")</f>
        <v>9228</v>
      </c>
      <c r="M1046" s="7" t="str">
        <f>HYPERLINK("http://ms.phosphosite.org:5080/cgi-bin/plot-msms.cgi?MassType=1&amp;NumAxis=1&amp;Mod5=184&amp;Mod22=184&amp;Pep=YAGQRLPQHGYPGPPQAQPLPRQGVK&amp;Dta=/var/www/html/dta/yong/23617.9439.4.dta&amp;Global_Mod=CS57.0215", "9439")</f>
        <v>9439</v>
      </c>
      <c r="N1046" s="10">
        <v>45.87</v>
      </c>
      <c r="O1046" s="10">
        <v>46.34</v>
      </c>
      <c r="P1046" s="10">
        <v>4.0679999999999996</v>
      </c>
      <c r="Q1046" s="10">
        <v>4.4690000000000003</v>
      </c>
      <c r="R1046" s="10">
        <v>1.0136000000000001</v>
      </c>
      <c r="S1046" s="10">
        <v>0.76139999999999997</v>
      </c>
      <c r="T1046" s="10">
        <v>0.28610000000000002</v>
      </c>
      <c r="U1046" s="10">
        <v>0.36130000000000001</v>
      </c>
      <c r="V1046" s="7">
        <v>2</v>
      </c>
      <c r="W1046" s="7">
        <v>1</v>
      </c>
      <c r="X1046" s="10">
        <v>2.5</v>
      </c>
      <c r="Y1046" s="10">
        <v>3.14</v>
      </c>
      <c r="Z1046" s="11" t="s">
        <v>1306</v>
      </c>
      <c r="AA1046" s="11" t="s">
        <v>1306</v>
      </c>
      <c r="AB1046" s="7" t="s">
        <v>13</v>
      </c>
    </row>
    <row r="1047" spans="1:28">
      <c r="A1047" s="9" t="s">
        <v>945</v>
      </c>
      <c r="B1047" s="3" t="s">
        <v>1708</v>
      </c>
      <c r="C1047" s="3" t="s">
        <v>1709</v>
      </c>
      <c r="D1047" s="7" t="s">
        <v>1812</v>
      </c>
      <c r="E1047" s="9" t="s">
        <v>1095</v>
      </c>
      <c r="F1047" s="7" t="s">
        <v>1443</v>
      </c>
      <c r="G1047" s="7">
        <v>96.5</v>
      </c>
      <c r="H1047" s="9" t="s">
        <v>1098</v>
      </c>
      <c r="I1047" s="9" t="s">
        <v>1099</v>
      </c>
      <c r="J1047" s="7">
        <v>5</v>
      </c>
      <c r="K1047" s="7">
        <v>580.11969999999997</v>
      </c>
      <c r="L1047" s="7" t="str">
        <f>HYPERLINK("http://ms.phosphosite.org:5080/cgi-bin/plot-msms.cgi?MassType=1&amp;NumAxis=1&amp;Mod5=184&amp;Mod22=184&amp;Pep=YAGQRLPQHGYPGPPQAQPLPRQGVK&amp;Dta=/var/www/html/dta/yong/23616.9307.5.dta&amp;Global_Mod=CS57.0215", "9307")</f>
        <v>9307</v>
      </c>
      <c r="M1047" s="7"/>
      <c r="N1047" s="10">
        <v>46.23</v>
      </c>
      <c r="O1047" s="10"/>
      <c r="P1047" s="10">
        <v>2.4180000000000001</v>
      </c>
      <c r="Q1047" s="10"/>
      <c r="R1047" s="10">
        <v>0.45540000000000003</v>
      </c>
      <c r="S1047" s="10"/>
      <c r="T1047" s="10">
        <v>0.1394</v>
      </c>
      <c r="U1047" s="10"/>
      <c r="V1047" s="7">
        <v>44</v>
      </c>
      <c r="W1047" s="7"/>
      <c r="X1047" s="10">
        <v>1.22</v>
      </c>
      <c r="Y1047" s="10"/>
      <c r="Z1047" s="11" t="s">
        <v>1306</v>
      </c>
      <c r="AA1047" s="11"/>
      <c r="AB1047" s="7" t="s">
        <v>13</v>
      </c>
    </row>
    <row r="1048" spans="1:28">
      <c r="A1048" s="9" t="s">
        <v>945</v>
      </c>
      <c r="B1048" s="3" t="s">
        <v>1708</v>
      </c>
      <c r="C1048" s="3" t="s">
        <v>1709</v>
      </c>
      <c r="D1048" s="7" t="s">
        <v>1812</v>
      </c>
      <c r="E1048" s="9" t="s">
        <v>1095</v>
      </c>
      <c r="F1048" s="7" t="s">
        <v>1443</v>
      </c>
      <c r="G1048" s="7">
        <v>96.5</v>
      </c>
      <c r="H1048" s="9" t="s">
        <v>1098</v>
      </c>
      <c r="I1048" s="9" t="s">
        <v>1099</v>
      </c>
      <c r="J1048" s="7">
        <v>5</v>
      </c>
      <c r="K1048" s="7">
        <v>580.11969999999997</v>
      </c>
      <c r="L1048" s="7" t="str">
        <f>HYPERLINK("http://ms.phosphosite.org:5080/cgi-bin/plot-msms.cgi?MassType=1&amp;NumAxis=1&amp;Mod5=184&amp;Mod22=184&amp;Pep=YAGQRLPQHGYPGPPQAQPLPRQGVK&amp;Dta=/var/www/html/dta/yong/23616.9361.5.dta&amp;Global_Mod=CS57.0215", "9361")</f>
        <v>9361</v>
      </c>
      <c r="M1048" s="7"/>
      <c r="N1048" s="10">
        <v>46.45</v>
      </c>
      <c r="O1048" s="10"/>
      <c r="P1048" s="10">
        <v>2.4790000000000001</v>
      </c>
      <c r="Q1048" s="10"/>
      <c r="R1048" s="10">
        <v>0.3231</v>
      </c>
      <c r="S1048" s="10"/>
      <c r="T1048" s="10">
        <v>0.1605</v>
      </c>
      <c r="U1048" s="10"/>
      <c r="V1048" s="7">
        <v>9</v>
      </c>
      <c r="W1048" s="7"/>
      <c r="X1048" s="10">
        <v>1.36</v>
      </c>
      <c r="Y1048" s="10"/>
      <c r="Z1048" s="11" t="s">
        <v>1306</v>
      </c>
      <c r="AA1048" s="11"/>
      <c r="AB1048" s="7" t="s">
        <v>13</v>
      </c>
    </row>
    <row r="1049" spans="1:28">
      <c r="A1049" s="3" t="s">
        <v>945</v>
      </c>
      <c r="B1049" s="3" t="s">
        <v>1708</v>
      </c>
      <c r="C1049" s="3" t="s">
        <v>1709</v>
      </c>
      <c r="D1049" s="4">
        <v>309</v>
      </c>
      <c r="E1049" s="3" t="s">
        <v>1095</v>
      </c>
      <c r="F1049" s="7" t="s">
        <v>1443</v>
      </c>
      <c r="G1049" s="4">
        <v>96.5</v>
      </c>
      <c r="H1049" s="3" t="s">
        <v>1096</v>
      </c>
      <c r="I1049" s="3" t="s">
        <v>1101</v>
      </c>
      <c r="J1049" s="4">
        <v>4</v>
      </c>
      <c r="K1049" s="4">
        <v>1376.9124999999999</v>
      </c>
      <c r="L1049" s="4" t="str">
        <f>HYPERLINK("http://ms.phosphosite.org:5080/cgi-bin/plot-msms.cgi?MassType=1&amp;NumAxis=1&amp;Mod42=184&amp;Mod49=147&amp;Pep=TYSEVYPGQQYLQGGQYAPSTAQFAPSPGQPPAPSPSYPGHRLPLQQGMTQ&amp;Dta=/var/www/html/dta/yong/23616.20415.4.dta&amp;Global_Mod=CS57.0215", "20415")</f>
        <v>20415</v>
      </c>
      <c r="M1049" s="4" t="str">
        <f>HYPERLINK("http://ms.phosphosite.org:5080/cgi-bin/plot-msms.cgi?MassType=1&amp;NumAxis=1&amp;Mod42=184&amp;Mod49=147&amp;Pep=TYSEVYPGQQYLQGGQYAPSTAQFAPSPGQPPAPSPSYPGHRLPLQQGMTQ&amp;Dta=/var/www/html/dta/yong/23617.20575.4.dta&amp;Global_Mod=CS57.0215", "20575")</f>
        <v>20575</v>
      </c>
      <c r="N1049" s="5">
        <v>93.57</v>
      </c>
      <c r="O1049" s="5">
        <v>93.55</v>
      </c>
      <c r="P1049" s="5">
        <v>2.91</v>
      </c>
      <c r="Q1049" s="5">
        <v>3.49</v>
      </c>
      <c r="R1049" s="5">
        <v>2.1057999999999999</v>
      </c>
      <c r="S1049" s="5">
        <v>2.3068</v>
      </c>
      <c r="T1049" s="5">
        <v>0.16400000000000001</v>
      </c>
      <c r="U1049" s="5">
        <v>0.1217</v>
      </c>
      <c r="V1049" s="4">
        <v>2</v>
      </c>
      <c r="W1049" s="4">
        <v>1</v>
      </c>
      <c r="X1049" s="5">
        <v>1.36</v>
      </c>
      <c r="Y1049" s="5">
        <v>1.33</v>
      </c>
      <c r="Z1049" s="6">
        <v>1000</v>
      </c>
      <c r="AA1049" s="6">
        <v>1000</v>
      </c>
      <c r="AB1049" s="4" t="s">
        <v>13</v>
      </c>
    </row>
    <row r="1050" spans="1:28">
      <c r="A1050" s="3" t="s">
        <v>945</v>
      </c>
      <c r="B1050" s="3" t="s">
        <v>1708</v>
      </c>
      <c r="C1050" s="3" t="s">
        <v>1709</v>
      </c>
      <c r="D1050" s="4">
        <v>309</v>
      </c>
      <c r="E1050" s="3" t="s">
        <v>1095</v>
      </c>
      <c r="F1050" s="7" t="s">
        <v>1443</v>
      </c>
      <c r="G1050" s="4">
        <v>96.5</v>
      </c>
      <c r="H1050" s="3" t="s">
        <v>1096</v>
      </c>
      <c r="I1050" s="3" t="s">
        <v>1100</v>
      </c>
      <c r="J1050" s="4">
        <v>4</v>
      </c>
      <c r="K1050" s="4">
        <v>1319.6359</v>
      </c>
      <c r="L1050" s="4" t="str">
        <f>HYPERLINK("http://ms.phosphosite.org:5080/cgi-bin/plot-msms.cgi?MassType=1&amp;NumAxis=1&amp;Mod42=184&amp;Mod49=147&amp;Pep=TYSEVYPGQQYLQGGQYAPSTAQFAPSPGQPPAPSPSYPGHRLPLQQGM&amp;Dta=/var/www/html/dta/yong/23616.20725.4.dta&amp;Global_Mod=CS57.0215", "20725")</f>
        <v>20725</v>
      </c>
      <c r="M1050" s="4" t="str">
        <f>HYPERLINK("http://ms.phosphosite.org:5080/cgi-bin/plot-msms.cgi?MassType=1&amp;NumAxis=1&amp;Mod42=184&amp;Mod49=147&amp;Pep=TYSEVYPGQQYLQGGQYAPSTAQFAPSPGQPPAPSPSYPGHRLPLQQGM&amp;Dta=/var/www/html/dta/yong/23617.20934.4.dta&amp;Global_Mod=CS57.0215", "20934")</f>
        <v>20934</v>
      </c>
      <c r="N1050" s="5">
        <v>94.9</v>
      </c>
      <c r="O1050" s="5">
        <v>95.08</v>
      </c>
      <c r="P1050" s="5">
        <v>3.0459999999999998</v>
      </c>
      <c r="Q1050" s="5">
        <v>3.9390000000000001</v>
      </c>
      <c r="R1050" s="5">
        <v>-1.7005999999999999</v>
      </c>
      <c r="S1050" s="5">
        <v>-0.39179999999999998</v>
      </c>
      <c r="T1050" s="5">
        <v>0.26500000000000001</v>
      </c>
      <c r="U1050" s="5">
        <v>0.31169999999999998</v>
      </c>
      <c r="V1050" s="4">
        <v>1</v>
      </c>
      <c r="W1050" s="4">
        <v>1</v>
      </c>
      <c r="X1050" s="5">
        <v>1.96</v>
      </c>
      <c r="Y1050" s="5">
        <v>2.62</v>
      </c>
      <c r="Z1050" s="6">
        <v>1000</v>
      </c>
      <c r="AA1050" s="6">
        <v>1000</v>
      </c>
      <c r="AB1050" s="4" t="s">
        <v>13</v>
      </c>
    </row>
    <row r="1051" spans="1:28">
      <c r="A1051" s="3" t="s">
        <v>945</v>
      </c>
      <c r="B1051" s="3" t="s">
        <v>1708</v>
      </c>
      <c r="C1051" s="3" t="s">
        <v>1709</v>
      </c>
      <c r="D1051" s="4">
        <v>309</v>
      </c>
      <c r="E1051" s="3" t="s">
        <v>1095</v>
      </c>
      <c r="F1051" s="7" t="s">
        <v>1443</v>
      </c>
      <c r="G1051" s="4">
        <v>96.5</v>
      </c>
      <c r="H1051" s="3" t="s">
        <v>1096</v>
      </c>
      <c r="I1051" s="3" t="s">
        <v>1100</v>
      </c>
      <c r="J1051" s="4">
        <v>4</v>
      </c>
      <c r="K1051" s="4">
        <v>1319.6359</v>
      </c>
      <c r="L1051" s="4" t="str">
        <f>HYPERLINK("http://ms.phosphosite.org:5080/cgi-bin/plot-msms.cgi?MassType=1&amp;NumAxis=1&amp;Mod42=184&amp;Mod49=147&amp;Pep=TYSEVYPGQQYLQGGQYAPSTAQFAPSPGQPPAPSPSYPGHRLPLQQGM&amp;Dta=/var/www/html/dta/yong/23616.20841.4.dta&amp;Global_Mod=CS57.0215", "20841")</f>
        <v>20841</v>
      </c>
      <c r="M1051" s="4"/>
      <c r="N1051" s="5">
        <v>95.39</v>
      </c>
      <c r="O1051" s="5"/>
      <c r="P1051" s="5">
        <v>3.141</v>
      </c>
      <c r="Q1051" s="5"/>
      <c r="R1051" s="5">
        <v>-1.7005999999999999</v>
      </c>
      <c r="S1051" s="5"/>
      <c r="T1051" s="5">
        <v>0.1207</v>
      </c>
      <c r="U1051" s="5"/>
      <c r="V1051" s="4">
        <v>1</v>
      </c>
      <c r="W1051" s="4"/>
      <c r="X1051" s="5">
        <v>1.17</v>
      </c>
      <c r="Y1051" s="5"/>
      <c r="Z1051" s="6">
        <v>1000</v>
      </c>
      <c r="AA1051" s="6"/>
      <c r="AB1051" s="4" t="s">
        <v>13</v>
      </c>
    </row>
    <row r="1052" spans="1:28" s="12" customFormat="1">
      <c r="A1052" s="9" t="s">
        <v>1102</v>
      </c>
      <c r="B1052" s="9" t="s">
        <v>1103</v>
      </c>
      <c r="C1052" s="9" t="s">
        <v>1104</v>
      </c>
      <c r="D1052" s="7">
        <v>1476</v>
      </c>
      <c r="E1052" s="9" t="s">
        <v>1105</v>
      </c>
      <c r="F1052" s="7" t="s">
        <v>1444</v>
      </c>
      <c r="G1052" s="7">
        <v>192.5</v>
      </c>
      <c r="H1052" s="9" t="s">
        <v>1106</v>
      </c>
      <c r="I1052" s="9" t="s">
        <v>1107</v>
      </c>
      <c r="J1052" s="7">
        <v>3</v>
      </c>
      <c r="K1052" s="7">
        <v>682.02750000000003</v>
      </c>
      <c r="L1052" s="7" t="str">
        <f>HYPERLINK("http://ms.phosphosite.org:5080/cgi-bin/plot-msms.cgi?MassType=1&amp;NumAxis=1&amp;Mod2=184&amp;Mod5=147&amp;Pep=LRLPMASALPEALCSQSR&amp;Dta=/var/www/html/dta/yong/23616.16980.3.dta&amp;Global_Mod=CS57.0215", "16980")</f>
        <v>16980</v>
      </c>
      <c r="M1052" s="7" t="str">
        <f>HYPERLINK("http://ms.phosphosite.org:5080/cgi-bin/plot-msms.cgi?MassType=1&amp;NumAxis=1&amp;Mod2=184&amp;Mod5=147&amp;Pep=LRLPMASALPEALCSQSR&amp;Dta=/var/www/html/dta/yong/23617.17304.3.dta&amp;Global_Mod=CS57.0215", "17304")</f>
        <v>17304</v>
      </c>
      <c r="N1052" s="10">
        <v>79.08</v>
      </c>
      <c r="O1052" s="10">
        <v>79.709999999999994</v>
      </c>
      <c r="P1052" s="10">
        <v>3.9209999999999998</v>
      </c>
      <c r="Q1052" s="10">
        <v>4.218</v>
      </c>
      <c r="R1052" s="10">
        <v>0.90100000000000002</v>
      </c>
      <c r="S1052" s="10">
        <v>0.81399999999999995</v>
      </c>
      <c r="T1052" s="10">
        <v>0.2152</v>
      </c>
      <c r="U1052" s="10">
        <v>0.27710000000000001</v>
      </c>
      <c r="V1052" s="7">
        <v>1</v>
      </c>
      <c r="W1052" s="7">
        <v>2</v>
      </c>
      <c r="X1052" s="10">
        <v>2.1800000000000002</v>
      </c>
      <c r="Y1052" s="10">
        <v>2.63</v>
      </c>
      <c r="Z1052" s="11">
        <v>1000</v>
      </c>
      <c r="AA1052" s="11">
        <v>1000</v>
      </c>
      <c r="AB1052" s="7" t="s">
        <v>13</v>
      </c>
    </row>
    <row r="1053" spans="1:28" s="12" customFormat="1">
      <c r="A1053" s="9" t="s">
        <v>1102</v>
      </c>
      <c r="B1053" s="9" t="s">
        <v>1103</v>
      </c>
      <c r="C1053" s="9" t="s">
        <v>1104</v>
      </c>
      <c r="D1053" s="7">
        <v>1476</v>
      </c>
      <c r="E1053" s="9" t="s">
        <v>1105</v>
      </c>
      <c r="F1053" s="7" t="s">
        <v>1444</v>
      </c>
      <c r="G1053" s="7">
        <v>192.5</v>
      </c>
      <c r="H1053" s="9" t="s">
        <v>1106</v>
      </c>
      <c r="I1053" s="9" t="s">
        <v>1107</v>
      </c>
      <c r="J1053" s="7">
        <v>3</v>
      </c>
      <c r="K1053" s="7">
        <v>682.02750000000003</v>
      </c>
      <c r="L1053" s="7" t="str">
        <f>HYPERLINK("http://ms.phosphosite.org:5080/cgi-bin/plot-msms.cgi?MassType=1&amp;NumAxis=1&amp;Mod2=184&amp;Mod5=147&amp;Pep=LRLPMASALPEALCSQSR&amp;Dta=/var/www/html/dta/yong/23616.17157.3.dta&amp;Global_Mod=CS57.0215", "17157")</f>
        <v>17157</v>
      </c>
      <c r="M1053" s="7" t="str">
        <f>HYPERLINK("http://ms.phosphosite.org:5080/cgi-bin/plot-msms.cgi?MassType=1&amp;NumAxis=1&amp;Mod2=184&amp;Mod5=147&amp;Pep=LRLPMASALPEALCSQSR&amp;Dta=/var/www/html/dta/yong/23617.17143.3.dta&amp;Global_Mod=CS57.0215", "17143")</f>
        <v>17143</v>
      </c>
      <c r="N1053" s="10">
        <v>79.849999999999994</v>
      </c>
      <c r="O1053" s="10">
        <v>78.98</v>
      </c>
      <c r="P1053" s="10">
        <v>3.581</v>
      </c>
      <c r="Q1053" s="10">
        <v>4.2619999999999996</v>
      </c>
      <c r="R1053" s="10">
        <v>1.1962999999999999</v>
      </c>
      <c r="S1053" s="10">
        <v>0.75770000000000004</v>
      </c>
      <c r="T1053" s="10">
        <v>0.2601</v>
      </c>
      <c r="U1053" s="10">
        <v>0.27729999999999999</v>
      </c>
      <c r="V1053" s="7">
        <v>7</v>
      </c>
      <c r="W1053" s="7">
        <v>1</v>
      </c>
      <c r="X1053" s="10">
        <v>2.3199999999999998</v>
      </c>
      <c r="Y1053" s="10">
        <v>2.65</v>
      </c>
      <c r="Z1053" s="11">
        <v>1000</v>
      </c>
      <c r="AA1053" s="11">
        <v>1000</v>
      </c>
      <c r="AB1053" s="7" t="s">
        <v>13</v>
      </c>
    </row>
    <row r="1054" spans="1:28" s="12" customFormat="1">
      <c r="A1054" s="9" t="s">
        <v>1102</v>
      </c>
      <c r="B1054" s="9" t="s">
        <v>1103</v>
      </c>
      <c r="C1054" s="9" t="s">
        <v>1104</v>
      </c>
      <c r="D1054" s="7">
        <v>1476</v>
      </c>
      <c r="E1054" s="9" t="s">
        <v>1105</v>
      </c>
      <c r="F1054" s="7" t="s">
        <v>1444</v>
      </c>
      <c r="G1054" s="7">
        <v>192.5</v>
      </c>
      <c r="H1054" s="9" t="s">
        <v>1106</v>
      </c>
      <c r="I1054" s="9" t="s">
        <v>1108</v>
      </c>
      <c r="J1054" s="7">
        <v>3</v>
      </c>
      <c r="K1054" s="7">
        <v>844.1087</v>
      </c>
      <c r="L1054" s="7" t="str">
        <f>HYPERLINK("http://ms.phosphosite.org:5080/cgi-bin/plot-msms.cgi?MassType=1&amp;NumAxis=1&amp;Mod7=184&amp;Mod10=147&amp;Pep=SLTANLRLPMASALPEALCSQSR&amp;Dta=/var/www/html/dta/yong/23616.20494.3.dta&amp;Global_Mod=CS57.0215", "20494")</f>
        <v>20494</v>
      </c>
      <c r="M1054" s="7" t="str">
        <f>HYPERLINK("http://ms.phosphosite.org:5080/cgi-bin/plot-msms.cgi?MassType=1&amp;NumAxis=1&amp;Mod7=184&amp;Mod10=147&amp;Pep=SLTANLRLPMASALPEALCSQSR&amp;Dta=/var/www/html/dta/yong/23617.20661.3.dta&amp;Global_Mod=CS57.0215", "20661")</f>
        <v>20661</v>
      </c>
      <c r="N1054" s="10">
        <v>93.91</v>
      </c>
      <c r="O1054" s="10">
        <v>93.93</v>
      </c>
      <c r="P1054" s="10">
        <v>3.5680000000000001</v>
      </c>
      <c r="Q1054" s="10">
        <v>3.7629999999999999</v>
      </c>
      <c r="R1054" s="10">
        <v>0.92369999999999997</v>
      </c>
      <c r="S1054" s="10">
        <v>0.4662</v>
      </c>
      <c r="T1054" s="10">
        <v>0.17069999999999999</v>
      </c>
      <c r="U1054" s="10">
        <v>0.1313</v>
      </c>
      <c r="V1054" s="7">
        <v>12</v>
      </c>
      <c r="W1054" s="7">
        <v>3</v>
      </c>
      <c r="X1054" s="10">
        <v>1.77</v>
      </c>
      <c r="Y1054" s="10">
        <v>1.63</v>
      </c>
      <c r="Z1054" s="11">
        <v>1000</v>
      </c>
      <c r="AA1054" s="11">
        <v>1000</v>
      </c>
      <c r="AB1054" s="7" t="s">
        <v>13</v>
      </c>
    </row>
    <row r="1055" spans="1:28" s="12" customFormat="1">
      <c r="A1055" s="9" t="s">
        <v>1102</v>
      </c>
      <c r="B1055" s="9" t="s">
        <v>1103</v>
      </c>
      <c r="C1055" s="9" t="s">
        <v>1104</v>
      </c>
      <c r="D1055" s="7">
        <v>1476</v>
      </c>
      <c r="E1055" s="9" t="s">
        <v>1105</v>
      </c>
      <c r="F1055" s="7" t="s">
        <v>1444</v>
      </c>
      <c r="G1055" s="7">
        <v>192.5</v>
      </c>
      <c r="H1055" s="9" t="s">
        <v>1106</v>
      </c>
      <c r="I1055" s="9" t="s">
        <v>1108</v>
      </c>
      <c r="J1055" s="7">
        <v>3</v>
      </c>
      <c r="K1055" s="7">
        <v>844.1087</v>
      </c>
      <c r="L1055" s="7" t="str">
        <f>HYPERLINK("http://ms.phosphosite.org:5080/cgi-bin/plot-msms.cgi?MassType=1&amp;NumAxis=1&amp;Mod7=184&amp;Mod10=147&amp;Pep=SLTANLRLPMASALPEALCSQSR&amp;Dta=/var/www/html/dta/yong/23616.20510.3.dta&amp;Global_Mod=CS57.0215", "20510")</f>
        <v>20510</v>
      </c>
      <c r="M1055" s="7" t="str">
        <f>HYPERLINK("http://ms.phosphosite.org:5080/cgi-bin/plot-msms.cgi?MassType=1&amp;NumAxis=1&amp;Mod7=184&amp;Mod10=147&amp;Pep=SLTANLRLPMASALPEALCSQSR&amp;Dta=/var/www/html/dta/yong/23617.20638.3.dta&amp;Global_Mod=CS57.0215", "20638")</f>
        <v>20638</v>
      </c>
      <c r="N1055" s="10">
        <v>93.98</v>
      </c>
      <c r="O1055" s="10">
        <v>93.84</v>
      </c>
      <c r="P1055" s="10">
        <v>3.58</v>
      </c>
      <c r="Q1055" s="10">
        <v>3.7770000000000001</v>
      </c>
      <c r="R1055" s="10">
        <v>0.92369999999999997</v>
      </c>
      <c r="S1055" s="10">
        <v>0.37359999999999999</v>
      </c>
      <c r="T1055" s="10">
        <v>0.1573</v>
      </c>
      <c r="U1055" s="10">
        <v>0.24340000000000001</v>
      </c>
      <c r="V1055" s="7">
        <v>1</v>
      </c>
      <c r="W1055" s="7">
        <v>1</v>
      </c>
      <c r="X1055" s="10">
        <v>1.71</v>
      </c>
      <c r="Y1055" s="10">
        <v>2.2799999999999998</v>
      </c>
      <c r="Z1055" s="11">
        <v>1000</v>
      </c>
      <c r="AA1055" s="11">
        <v>1000</v>
      </c>
      <c r="AB1055" s="7" t="s">
        <v>13</v>
      </c>
    </row>
    <row r="1056" spans="1:28">
      <c r="A1056" s="3" t="s">
        <v>1109</v>
      </c>
      <c r="B1056" s="3" t="s">
        <v>1710</v>
      </c>
      <c r="C1056" s="3" t="s">
        <v>1711</v>
      </c>
      <c r="D1056" s="4">
        <v>401</v>
      </c>
      <c r="E1056" s="3" t="s">
        <v>1110</v>
      </c>
      <c r="F1056" s="7" t="s">
        <v>1445</v>
      </c>
      <c r="G1056" s="4">
        <v>50.5</v>
      </c>
      <c r="H1056" s="3" t="s">
        <v>1111</v>
      </c>
      <c r="I1056" s="3" t="s">
        <v>1112</v>
      </c>
      <c r="J1056" s="4">
        <v>2</v>
      </c>
      <c r="K1056" s="4">
        <v>735.40920000000006</v>
      </c>
      <c r="L1056" s="4" t="str">
        <f>HYPERLINK("http://ms.phosphosite.org:5080/cgi-bin/plot-msms.cgi?MassType=1&amp;NumAxis=1&amp;Mod11=184&amp;Pep=LNAETFGIPLRPN&amp;Dta=/var/www/html/dta/yong/23616.19423.2.dta&amp;Global_Mod=CS57.0215", "19423")</f>
        <v>19423</v>
      </c>
      <c r="M1056" s="4" t="str">
        <f>HYPERLINK("http://ms.phosphosite.org:5080/cgi-bin/plot-msms.cgi?MassType=1&amp;NumAxis=1&amp;Mod11=184&amp;Pep=LNAETFGIPLRPN&amp;Dta=/var/www/html/dta/yong/23617.19567.2.dta&amp;Global_Mod=CS57.0215", "19567")</f>
        <v>19567</v>
      </c>
      <c r="N1056" s="5">
        <v>89.48</v>
      </c>
      <c r="O1056" s="5">
        <v>89.33</v>
      </c>
      <c r="P1056" s="5">
        <v>3.863</v>
      </c>
      <c r="Q1056" s="5">
        <v>3.5350000000000001</v>
      </c>
      <c r="R1056" s="5">
        <v>0.46060000000000001</v>
      </c>
      <c r="S1056" s="5">
        <v>0.65880000000000005</v>
      </c>
      <c r="T1056" s="5">
        <v>0.33429999999999999</v>
      </c>
      <c r="U1056" s="5">
        <v>0.30359999999999998</v>
      </c>
      <c r="V1056" s="4">
        <v>1</v>
      </c>
      <c r="W1056" s="4">
        <v>1</v>
      </c>
      <c r="X1056" s="5">
        <v>3.02</v>
      </c>
      <c r="Y1056" s="5">
        <v>2.73</v>
      </c>
      <c r="Z1056" s="6">
        <v>1000</v>
      </c>
      <c r="AA1056" s="6">
        <v>1000</v>
      </c>
      <c r="AB1056" s="4" t="s">
        <v>13</v>
      </c>
    </row>
    <row r="1057" spans="1:28">
      <c r="A1057" s="3" t="s">
        <v>1109</v>
      </c>
      <c r="B1057" s="3" t="s">
        <v>1710</v>
      </c>
      <c r="C1057" s="3" t="s">
        <v>1711</v>
      </c>
      <c r="D1057" s="4">
        <v>401</v>
      </c>
      <c r="E1057" s="3" t="s">
        <v>1110</v>
      </c>
      <c r="F1057" s="7" t="s">
        <v>1445</v>
      </c>
      <c r="G1057" s="4">
        <v>50.5</v>
      </c>
      <c r="H1057" s="3" t="s">
        <v>1111</v>
      </c>
      <c r="I1057" s="3" t="s">
        <v>1112</v>
      </c>
      <c r="J1057" s="4">
        <v>2</v>
      </c>
      <c r="K1057" s="4">
        <v>735.40920000000006</v>
      </c>
      <c r="L1057" s="4" t="str">
        <f>HYPERLINK("http://ms.phosphosite.org:5080/cgi-bin/plot-msms.cgi?MassType=1&amp;NumAxis=1&amp;Mod11=184&amp;Pep=LNAETFGIPLRPN&amp;Dta=/var/www/html/dta/yong/23616.19431.2.dta&amp;Global_Mod=CS57.0215", "19431")</f>
        <v>19431</v>
      </c>
      <c r="M1057" s="4"/>
      <c r="N1057" s="5">
        <v>89.51</v>
      </c>
      <c r="O1057" s="5"/>
      <c r="P1057" s="5">
        <v>4.0869999999999997</v>
      </c>
      <c r="Q1057" s="5"/>
      <c r="R1057" s="5">
        <v>0.4642</v>
      </c>
      <c r="S1057" s="5"/>
      <c r="T1057" s="5">
        <v>0.34989999999999999</v>
      </c>
      <c r="U1057" s="5"/>
      <c r="V1057" s="4">
        <v>1</v>
      </c>
      <c r="W1057" s="4"/>
      <c r="X1057" s="5">
        <v>3.17</v>
      </c>
      <c r="Y1057" s="5"/>
      <c r="Z1057" s="6">
        <v>1000</v>
      </c>
      <c r="AA1057" s="6"/>
      <c r="AB1057" s="4" t="s">
        <v>13</v>
      </c>
    </row>
    <row r="1058" spans="1:28">
      <c r="A1058" s="3" t="s">
        <v>1109</v>
      </c>
      <c r="B1058" s="3" t="s">
        <v>1710</v>
      </c>
      <c r="C1058" s="3" t="s">
        <v>1711</v>
      </c>
      <c r="D1058" s="4">
        <v>401</v>
      </c>
      <c r="E1058" s="3" t="s">
        <v>1110</v>
      </c>
      <c r="F1058" s="7" t="s">
        <v>1445</v>
      </c>
      <c r="G1058" s="4">
        <v>50.5</v>
      </c>
      <c r="H1058" s="3" t="s">
        <v>1111</v>
      </c>
      <c r="I1058" s="3" t="s">
        <v>1112</v>
      </c>
      <c r="J1058" s="4">
        <v>2</v>
      </c>
      <c r="K1058" s="4">
        <v>735.40920000000006</v>
      </c>
      <c r="L1058" s="4" t="str">
        <f>HYPERLINK("http://ms.phosphosite.org:5080/cgi-bin/plot-msms.cgi?MassType=1&amp;NumAxis=1&amp;Mod11=184&amp;Pep=LNAETFGIPLRPN&amp;Dta=/var/www/html/dta/yong/23616.19449.2.dta&amp;Global_Mod=CS57.0215", "19449")</f>
        <v>19449</v>
      </c>
      <c r="M1058" s="4" t="str">
        <f>HYPERLINK("http://ms.phosphosite.org:5080/cgi-bin/plot-msms.cgi?MassType=1&amp;NumAxis=1&amp;Mod11=184&amp;Pep=LNAETFGIPLRPN&amp;Dta=/var/www/html/dta/yong/23617.19574.2.dta&amp;Global_Mod=CS57.0215", "19574")</f>
        <v>19574</v>
      </c>
      <c r="N1058" s="5">
        <v>89.58</v>
      </c>
      <c r="O1058" s="5">
        <v>89.36</v>
      </c>
      <c r="P1058" s="5">
        <v>3.714</v>
      </c>
      <c r="Q1058" s="5">
        <v>3.839</v>
      </c>
      <c r="R1058" s="5">
        <v>0.37090000000000001</v>
      </c>
      <c r="S1058" s="5">
        <v>0.77839999999999998</v>
      </c>
      <c r="T1058" s="5">
        <v>0.2898</v>
      </c>
      <c r="U1058" s="5">
        <v>0.3367</v>
      </c>
      <c r="V1058" s="4">
        <v>1</v>
      </c>
      <c r="W1058" s="4">
        <v>1</v>
      </c>
      <c r="X1058" s="5">
        <v>2.72</v>
      </c>
      <c r="Y1058" s="5">
        <v>3</v>
      </c>
      <c r="Z1058" s="6">
        <v>1000</v>
      </c>
      <c r="AA1058" s="6">
        <v>1000</v>
      </c>
      <c r="AB1058" s="4" t="s">
        <v>13</v>
      </c>
    </row>
    <row r="1059" spans="1:28" s="12" customFormat="1">
      <c r="A1059" s="9" t="s">
        <v>1109</v>
      </c>
      <c r="B1059" s="9" t="s">
        <v>1113</v>
      </c>
      <c r="C1059" s="9" t="s">
        <v>1113</v>
      </c>
      <c r="D1059" s="7">
        <v>105</v>
      </c>
      <c r="E1059" s="9" t="s">
        <v>1114</v>
      </c>
      <c r="F1059" s="7" t="s">
        <v>1446</v>
      </c>
      <c r="G1059" s="7">
        <v>17.2</v>
      </c>
      <c r="H1059" s="9" t="s">
        <v>1115</v>
      </c>
      <c r="I1059" s="9" t="s">
        <v>1116</v>
      </c>
      <c r="J1059" s="7">
        <v>3</v>
      </c>
      <c r="K1059" s="7">
        <v>511.23430000000002</v>
      </c>
      <c r="L1059" s="7"/>
      <c r="M1059" s="7" t="str">
        <f>HYPERLINK("http://ms.phosphosite.org:5080/cgi-bin/plot-msms.cgi?MassType=1&amp;NumAxis=1&amp;Mod4=184&amp;Pep=SYSRGGGDQGYGSGR&amp;Dta=/var/www/html/dta/yong/23617.2602.3.dta&amp;Global_Mod=CS57.0215", "2602")</f>
        <v>2602</v>
      </c>
      <c r="N1059" s="10"/>
      <c r="O1059" s="10">
        <v>17.760000000000002</v>
      </c>
      <c r="P1059" s="10"/>
      <c r="Q1059" s="10">
        <v>2.7130000000000001</v>
      </c>
      <c r="R1059" s="10"/>
      <c r="S1059" s="10">
        <v>-0.51829999999999998</v>
      </c>
      <c r="T1059" s="10"/>
      <c r="U1059" s="10">
        <v>0.26229999999999998</v>
      </c>
      <c r="V1059" s="7"/>
      <c r="W1059" s="7">
        <v>4</v>
      </c>
      <c r="X1059" s="10"/>
      <c r="Y1059" s="10">
        <v>2</v>
      </c>
      <c r="Z1059" s="11"/>
      <c r="AA1059" s="11">
        <v>1000</v>
      </c>
      <c r="AB1059" s="7" t="s">
        <v>13</v>
      </c>
    </row>
    <row r="1060" spans="1:28" s="12" customFormat="1">
      <c r="A1060" s="9" t="s">
        <v>1109</v>
      </c>
      <c r="B1060" s="9" t="s">
        <v>1113</v>
      </c>
      <c r="C1060" s="9" t="s">
        <v>1113</v>
      </c>
      <c r="D1060" s="7">
        <v>105</v>
      </c>
      <c r="E1060" s="9" t="s">
        <v>1114</v>
      </c>
      <c r="F1060" s="7" t="s">
        <v>1446</v>
      </c>
      <c r="G1060" s="7">
        <v>17.2</v>
      </c>
      <c r="H1060" s="9" t="s">
        <v>1115</v>
      </c>
      <c r="I1060" s="9" t="s">
        <v>1116</v>
      </c>
      <c r="J1060" s="7">
        <v>3</v>
      </c>
      <c r="K1060" s="7">
        <v>511.23430000000002</v>
      </c>
      <c r="L1060" s="7"/>
      <c r="M1060" s="7" t="str">
        <f>HYPERLINK("http://ms.phosphosite.org:5080/cgi-bin/plot-msms.cgi?MassType=1&amp;NumAxis=1&amp;Mod4=184&amp;Pep=SYSRGGGDQGYGSGR&amp;Dta=/var/www/html/dta/yong/23617.2611.3.dta&amp;Global_Mod=CS57.0215", "2611")</f>
        <v>2611</v>
      </c>
      <c r="N1060" s="10"/>
      <c r="O1060" s="10">
        <v>17.79</v>
      </c>
      <c r="P1060" s="10"/>
      <c r="Q1060" s="10">
        <v>1.9410000000000001</v>
      </c>
      <c r="R1060" s="10"/>
      <c r="S1060" s="10">
        <v>0.29580000000000001</v>
      </c>
      <c r="T1060" s="10"/>
      <c r="U1060" s="10">
        <v>0.12839999999999999</v>
      </c>
      <c r="V1060" s="7"/>
      <c r="W1060" s="7">
        <v>1</v>
      </c>
      <c r="X1060" s="10"/>
      <c r="Y1060" s="10">
        <v>1.05</v>
      </c>
      <c r="Z1060" s="11"/>
      <c r="AA1060" s="11">
        <v>1000</v>
      </c>
      <c r="AB1060" s="7" t="s">
        <v>13</v>
      </c>
    </row>
    <row r="1061" spans="1:28" s="18" customFormat="1">
      <c r="A1061" s="18" t="s">
        <v>1117</v>
      </c>
      <c r="B1061" s="18" t="s">
        <v>1712</v>
      </c>
      <c r="C1061" s="18" t="s">
        <v>1713</v>
      </c>
      <c r="D1061" s="19"/>
      <c r="E1061" s="18" t="s">
        <v>1118</v>
      </c>
      <c r="F1061" s="15" t="s">
        <v>1447</v>
      </c>
      <c r="G1061" s="19">
        <v>243.8</v>
      </c>
      <c r="I1061" s="18" t="s">
        <v>1119</v>
      </c>
      <c r="J1061" s="19">
        <v>3</v>
      </c>
      <c r="K1061" s="19">
        <v>783.69489999999996</v>
      </c>
      <c r="L1061" s="19" t="str">
        <f>HYPERLINK("http://ms.phosphosite.org:5080/cgi-bin/plot-msms.cgi?MassType=1&amp;NumAxis=1&amp;Mod11=170&amp;Pep=ERGEEAAGSDRASDLDSVEWR&amp;Dta=/var/www/html/dta/yong/23616.26756.3.dta&amp;Global_Mod=CS57.0215", "26756")</f>
        <v>26756</v>
      </c>
      <c r="M1061" s="19"/>
      <c r="N1061" s="20">
        <v>119.61</v>
      </c>
      <c r="O1061" s="20"/>
      <c r="P1061" s="20">
        <v>4.2629999999999999</v>
      </c>
      <c r="Q1061" s="20"/>
      <c r="R1061" s="20">
        <v>30.800899999999999</v>
      </c>
      <c r="S1061" s="20"/>
      <c r="T1061" s="20">
        <v>0.35099999999999998</v>
      </c>
      <c r="U1061" s="20"/>
      <c r="V1061" s="19">
        <v>163</v>
      </c>
      <c r="W1061" s="19"/>
      <c r="X1061" s="20">
        <v>1.19</v>
      </c>
      <c r="Y1061" s="20"/>
      <c r="Z1061" s="21">
        <v>58</v>
      </c>
      <c r="AA1061" s="21"/>
      <c r="AB1061" s="19" t="s">
        <v>13</v>
      </c>
    </row>
    <row r="1062" spans="1:28" s="12" customFormat="1">
      <c r="A1062" s="9" t="s">
        <v>1117</v>
      </c>
      <c r="B1062" s="9" t="s">
        <v>1714</v>
      </c>
      <c r="C1062" s="9" t="s">
        <v>1715</v>
      </c>
      <c r="D1062" s="7">
        <v>1075</v>
      </c>
      <c r="E1062" s="9" t="s">
        <v>1120</v>
      </c>
      <c r="F1062" s="7" t="s">
        <v>1448</v>
      </c>
      <c r="G1062" s="7">
        <v>127.5</v>
      </c>
      <c r="H1062" s="9" t="s">
        <v>1121</v>
      </c>
      <c r="I1062" s="9" t="s">
        <v>1122</v>
      </c>
      <c r="J1062" s="7">
        <v>3</v>
      </c>
      <c r="K1062" s="7">
        <v>832.73720000000003</v>
      </c>
      <c r="L1062" s="7"/>
      <c r="M1062" s="7" t="str">
        <f>HYPERLINK("http://ms.phosphosite.org:5080/cgi-bin/plot-msms.cgi?MassType=1&amp;NumAxis=1&amp;Mod4=147&amp;Mod13=147&amp;Mod14=184&amp;Pep=AKSMEGFQDLLNMRPDQSNVR&amp;Dta=/var/www/html/dta/yong/23617.21869.3.dta&amp;Global_Mod=CS57.0215", "21869")</f>
        <v>21869</v>
      </c>
      <c r="N1062" s="10"/>
      <c r="O1062" s="10">
        <v>98.91</v>
      </c>
      <c r="P1062" s="10"/>
      <c r="Q1062" s="10">
        <v>4.0650000000000004</v>
      </c>
      <c r="R1062" s="10"/>
      <c r="S1062" s="10">
        <v>-19.9727</v>
      </c>
      <c r="T1062" s="10"/>
      <c r="U1062" s="10">
        <v>0.20419999999999999</v>
      </c>
      <c r="V1062" s="7"/>
      <c r="W1062" s="7">
        <v>1</v>
      </c>
      <c r="X1062" s="10"/>
      <c r="Y1062" s="10">
        <v>1.04</v>
      </c>
      <c r="Z1062" s="11"/>
      <c r="AA1062" s="11">
        <v>1000</v>
      </c>
      <c r="AB1062" s="7" t="s">
        <v>13</v>
      </c>
    </row>
    <row r="1063" spans="1:28" s="12" customFormat="1">
      <c r="A1063" s="9" t="s">
        <v>1117</v>
      </c>
      <c r="B1063" s="9" t="s">
        <v>1716</v>
      </c>
      <c r="C1063" s="9" t="s">
        <v>1717</v>
      </c>
      <c r="D1063" s="7">
        <v>449</v>
      </c>
      <c r="E1063" s="9" t="s">
        <v>1123</v>
      </c>
      <c r="F1063" s="7" t="s">
        <v>1449</v>
      </c>
      <c r="G1063" s="7">
        <v>51.1</v>
      </c>
      <c r="H1063" s="9" t="s">
        <v>1126</v>
      </c>
      <c r="I1063" s="9" t="s">
        <v>1127</v>
      </c>
      <c r="J1063" s="7">
        <v>2</v>
      </c>
      <c r="K1063" s="7">
        <v>728.36500000000001</v>
      </c>
      <c r="L1063" s="7" t="str">
        <f>HYPERLINK("http://ms.phosphosite.org:5080/cgi-bin/plot-msms.cgi?MassType=1&amp;NumAxis=1&amp;Mod9=184&amp;Pep=TGFTNIPSRYGTN&amp;Dta=/var/www/html/dta/yong/23616.11758.2.dta&amp;Global_Mod=CS57.0215", "11758")</f>
        <v>11758</v>
      </c>
      <c r="M1063" s="7" t="str">
        <f>HYPERLINK("http://ms.phosphosite.org:5080/cgi-bin/plot-msms.cgi?MassType=1&amp;NumAxis=1&amp;Mod9=184&amp;Pep=TGFTNIPSRYGTN&amp;Dta=/var/www/html/dta/yong/23617.11871.2.dta&amp;Global_Mod=CS57.0215", "11871")</f>
        <v>11871</v>
      </c>
      <c r="N1063" s="10">
        <v>56.56</v>
      </c>
      <c r="O1063" s="10">
        <v>56.5</v>
      </c>
      <c r="P1063" s="10">
        <v>2.9929999999999999</v>
      </c>
      <c r="Q1063" s="10">
        <v>2.891</v>
      </c>
      <c r="R1063" s="10">
        <v>1.3785000000000001</v>
      </c>
      <c r="S1063" s="10">
        <v>1.9244000000000001</v>
      </c>
      <c r="T1063" s="10">
        <v>0.33260000000000001</v>
      </c>
      <c r="U1063" s="10">
        <v>9.3399999999999997E-2</v>
      </c>
      <c r="V1063" s="7">
        <v>1</v>
      </c>
      <c r="W1063" s="7">
        <v>10</v>
      </c>
      <c r="X1063" s="10">
        <v>2.52</v>
      </c>
      <c r="Y1063" s="10">
        <v>1.07</v>
      </c>
      <c r="Z1063" s="11">
        <v>1000</v>
      </c>
      <c r="AA1063" s="11">
        <v>1000</v>
      </c>
      <c r="AB1063" s="7" t="s">
        <v>13</v>
      </c>
    </row>
    <row r="1064" spans="1:28" s="12" customFormat="1">
      <c r="A1064" s="9" t="s">
        <v>1117</v>
      </c>
      <c r="B1064" s="9" t="s">
        <v>1716</v>
      </c>
      <c r="C1064" s="9" t="s">
        <v>1717</v>
      </c>
      <c r="D1064" s="7">
        <v>449</v>
      </c>
      <c r="E1064" s="9" t="s">
        <v>1123</v>
      </c>
      <c r="F1064" s="7" t="s">
        <v>1449</v>
      </c>
      <c r="G1064" s="7">
        <v>51.1</v>
      </c>
      <c r="H1064" s="9" t="s">
        <v>1126</v>
      </c>
      <c r="I1064" s="9" t="s">
        <v>1128</v>
      </c>
      <c r="J1064" s="7">
        <v>3</v>
      </c>
      <c r="K1064" s="7">
        <v>575.96040000000005</v>
      </c>
      <c r="L1064" s="7" t="str">
        <f>HYPERLINK("http://ms.phosphosite.org:5080/cgi-bin/plot-msms.cgi?MassType=1&amp;NumAxis=1&amp;Mod9=184&amp;Pep=TGFTNIPSRYGTNNR&amp;Dta=/var/www/html/dta/yong/23616.9602.3.dta&amp;Global_Mod=CS57.0215", "9602")</f>
        <v>9602</v>
      </c>
      <c r="M1064" s="7"/>
      <c r="N1064" s="10">
        <v>47.44</v>
      </c>
      <c r="O1064" s="10"/>
      <c r="P1064" s="10">
        <v>2.2170000000000001</v>
      </c>
      <c r="Q1064" s="10"/>
      <c r="R1064" s="10">
        <v>0.245</v>
      </c>
      <c r="S1064" s="10"/>
      <c r="T1064" s="10">
        <v>0.20930000000000001</v>
      </c>
      <c r="U1064" s="10"/>
      <c r="V1064" s="7">
        <v>7</v>
      </c>
      <c r="W1064" s="7"/>
      <c r="X1064" s="10">
        <v>1.63</v>
      </c>
      <c r="Y1064" s="10"/>
      <c r="Z1064" s="11">
        <v>1000</v>
      </c>
      <c r="AA1064" s="11"/>
      <c r="AB1064" s="7" t="s">
        <v>13</v>
      </c>
    </row>
    <row r="1065" spans="1:28">
      <c r="A1065" s="3" t="s">
        <v>1117</v>
      </c>
      <c r="B1065" s="9" t="s">
        <v>1716</v>
      </c>
      <c r="C1065" s="9" t="s">
        <v>1717</v>
      </c>
      <c r="D1065" s="4" t="s">
        <v>1813</v>
      </c>
      <c r="E1065" s="3" t="s">
        <v>1123</v>
      </c>
      <c r="F1065" s="7" t="s">
        <v>1449</v>
      </c>
      <c r="G1065" s="4">
        <v>51.1</v>
      </c>
      <c r="H1065" s="3" t="s">
        <v>1124</v>
      </c>
      <c r="I1065" s="3" t="s">
        <v>1125</v>
      </c>
      <c r="J1065" s="4">
        <v>4</v>
      </c>
      <c r="K1065" s="4">
        <v>927.48249999999996</v>
      </c>
      <c r="L1065" s="4"/>
      <c r="M1065" s="4" t="str">
        <f>HYPERLINK("http://ms.phosphosite.org:5080/cgi-bin/plot-msms.cgi?MassType=1&amp;NumAxis=1&amp;Mod3=147&amp;Mod29=184&amp;Mod35=184&amp;Pep=SSMLNQGLGVPGIGATQGLRTGFTNIPSRYGTNNR&amp;Dta=/var/www/html/dta/yong/23617.19372.4.dta&amp;Global_Mod=CS57.0215", "19372")</f>
        <v>19372</v>
      </c>
      <c r="N1065" s="5"/>
      <c r="O1065" s="5">
        <v>88.56</v>
      </c>
      <c r="P1065" s="5"/>
      <c r="Q1065" s="5">
        <v>2.7949999999999999</v>
      </c>
      <c r="R1065" s="5"/>
      <c r="S1065" s="5">
        <v>0.89839999999999998</v>
      </c>
      <c r="T1065" s="5"/>
      <c r="U1065" s="5">
        <v>0.2092</v>
      </c>
      <c r="V1065" s="4"/>
      <c r="W1065" s="4">
        <v>1</v>
      </c>
      <c r="X1065" s="5"/>
      <c r="Y1065" s="5">
        <v>1.37</v>
      </c>
      <c r="Z1065" s="6"/>
      <c r="AA1065" s="6" t="s">
        <v>1306</v>
      </c>
      <c r="AB1065" s="4" t="s">
        <v>13</v>
      </c>
    </row>
    <row r="1066" spans="1:28" s="13" customFormat="1">
      <c r="A1066" s="13" t="s">
        <v>1129</v>
      </c>
      <c r="B1066" s="13" t="s">
        <v>1130</v>
      </c>
      <c r="C1066" s="13" t="s">
        <v>1130</v>
      </c>
      <c r="D1066" s="15">
        <v>1091</v>
      </c>
      <c r="E1066" s="13" t="s">
        <v>1131</v>
      </c>
      <c r="F1066" s="15" t="s">
        <v>1450</v>
      </c>
      <c r="G1066" s="15">
        <v>125.3</v>
      </c>
      <c r="H1066" s="13" t="s">
        <v>1132</v>
      </c>
      <c r="I1066" s="13" t="s">
        <v>1133</v>
      </c>
      <c r="J1066" s="15">
        <v>6</v>
      </c>
      <c r="K1066" s="15">
        <v>961.85910000000001</v>
      </c>
      <c r="L1066" s="15" t="str">
        <f>HYPERLINK("http://ms.phosphosite.org:5080/cgi-bin/plot-msms.cgi?MassType=1&amp;NumAxis=1&amp;Mod19=184&amp;Mod43=170&amp;Mod52=170&amp;Pep=SASVHPLIDPLASGSHLTRIPYPAGTLPNPLLPHPLHENEVLRHQLFAAPYR&amp;Dta=/var/www/html/dta/yong/23616.23526.6.dta&amp;Global_Mod=CS57.0215", "23526")</f>
        <v>23526</v>
      </c>
      <c r="M1066" s="15" t="str">
        <f>HYPERLINK("http://ms.phosphosite.org:5080/cgi-bin/plot-msms.cgi?MassType=1&amp;NumAxis=1&amp;Mod19=184&amp;Mod43=170&amp;Mod52=170&amp;Pep=SASVHPLIDPLASGSHLTRIPYPAGTLPNPLLPHPLHENEVLRHQLFAAPYR&amp;Dta=/var/www/html/dta/yong/23617.23672.6.dta&amp;Global_Mod=CS57.0215", "23672")</f>
        <v>23672</v>
      </c>
      <c r="N1066" s="16">
        <v>106.26</v>
      </c>
      <c r="O1066" s="16">
        <v>106.24</v>
      </c>
      <c r="P1066" s="16">
        <v>4.1050000000000004</v>
      </c>
      <c r="Q1066" s="16">
        <v>3.8580000000000001</v>
      </c>
      <c r="R1066" s="16">
        <v>1.1420999999999999</v>
      </c>
      <c r="S1066" s="16">
        <v>-0.13600000000000001</v>
      </c>
      <c r="T1066" s="16">
        <v>0.314</v>
      </c>
      <c r="U1066" s="16">
        <v>0.16189999999999999</v>
      </c>
      <c r="V1066" s="15">
        <v>1</v>
      </c>
      <c r="W1066" s="15">
        <v>1</v>
      </c>
      <c r="X1066" s="16">
        <v>2.2400000000000002</v>
      </c>
      <c r="Y1066" s="16">
        <v>1.33</v>
      </c>
      <c r="Z1066" s="17" t="s">
        <v>1307</v>
      </c>
      <c r="AA1066" s="17" t="s">
        <v>1307</v>
      </c>
      <c r="AB1066" s="15" t="s">
        <v>13</v>
      </c>
    </row>
    <row r="1067" spans="1:28" s="12" customFormat="1">
      <c r="A1067" s="9" t="s">
        <v>1129</v>
      </c>
      <c r="B1067" s="9" t="s">
        <v>1130</v>
      </c>
      <c r="C1067" s="9" t="s">
        <v>1130</v>
      </c>
      <c r="D1067" s="7">
        <v>1115</v>
      </c>
      <c r="E1067" s="9" t="s">
        <v>1131</v>
      </c>
      <c r="F1067" s="7" t="s">
        <v>1450</v>
      </c>
      <c r="G1067" s="7">
        <v>125.3</v>
      </c>
      <c r="H1067" s="9" t="s">
        <v>1134</v>
      </c>
      <c r="I1067" s="9" t="s">
        <v>1136</v>
      </c>
      <c r="J1067" s="7">
        <v>5</v>
      </c>
      <c r="K1067" s="7">
        <v>760.61770000000001</v>
      </c>
      <c r="L1067" s="7" t="str">
        <f>HYPERLINK("http://ms.phosphosite.org:5080/cgi-bin/plot-msms.cgi?MassType=1&amp;NumAxis=1&amp;Mod24=184&amp;Pep=IPYPAGTLPNPLLPHPLHENEVLRHQLFAAPYR&amp;Dta=/var/www/html/dta/yong/23616.21475.5.dta&amp;Global_Mod=CS57.0215", "21475")</f>
        <v>21475</v>
      </c>
      <c r="M1067" s="7"/>
      <c r="N1067" s="10">
        <v>98.02</v>
      </c>
      <c r="O1067" s="10"/>
      <c r="P1067" s="10">
        <v>3.8460000000000001</v>
      </c>
      <c r="Q1067" s="10"/>
      <c r="R1067" s="10">
        <v>-4.7000000000000002E-3</v>
      </c>
      <c r="S1067" s="10"/>
      <c r="T1067" s="10">
        <v>0.1855</v>
      </c>
      <c r="U1067" s="10"/>
      <c r="V1067" s="7">
        <v>7</v>
      </c>
      <c r="W1067" s="7"/>
      <c r="X1067" s="10">
        <v>1.79</v>
      </c>
      <c r="Y1067" s="10"/>
      <c r="Z1067" s="11">
        <v>1000</v>
      </c>
      <c r="AA1067" s="11"/>
      <c r="AB1067" s="7" t="s">
        <v>13</v>
      </c>
    </row>
    <row r="1068" spans="1:28" s="12" customFormat="1">
      <c r="A1068" s="9" t="s">
        <v>1129</v>
      </c>
      <c r="B1068" s="9" t="s">
        <v>1130</v>
      </c>
      <c r="C1068" s="9" t="s">
        <v>1130</v>
      </c>
      <c r="D1068" s="7">
        <v>1115</v>
      </c>
      <c r="E1068" s="9" t="s">
        <v>1131</v>
      </c>
      <c r="F1068" s="7" t="s">
        <v>1450</v>
      </c>
      <c r="G1068" s="7">
        <v>125.3</v>
      </c>
      <c r="H1068" s="9" t="s">
        <v>1134</v>
      </c>
      <c r="I1068" s="9" t="s">
        <v>1135</v>
      </c>
      <c r="J1068" s="7">
        <v>5</v>
      </c>
      <c r="K1068" s="7">
        <v>648.95939999999996</v>
      </c>
      <c r="L1068" s="7"/>
      <c r="M1068" s="7" t="str">
        <f>HYPERLINK("http://ms.phosphosite.org:5080/cgi-bin/plot-msms.cgi?MassType=1&amp;NumAxis=1&amp;Mod24=184&amp;Pep=IPYPAGTLPNPLLPHPLHENEVLRHQLF&amp;Dta=/var/www/html/dta/yong/23617.22796.5.dta&amp;Global_Mod=CS57.0215", "22796")</f>
        <v>22796</v>
      </c>
      <c r="N1068" s="10"/>
      <c r="O1068" s="10">
        <v>102.64</v>
      </c>
      <c r="P1068" s="10"/>
      <c r="Q1068" s="10">
        <v>2.2559999999999998</v>
      </c>
      <c r="R1068" s="10"/>
      <c r="S1068" s="10">
        <v>1.331</v>
      </c>
      <c r="T1068" s="10"/>
      <c r="U1068" s="10">
        <v>0.16420000000000001</v>
      </c>
      <c r="V1068" s="7"/>
      <c r="W1068" s="7">
        <v>150</v>
      </c>
      <c r="X1068" s="10"/>
      <c r="Y1068" s="10">
        <v>1.1599999999999999</v>
      </c>
      <c r="Z1068" s="11"/>
      <c r="AA1068" s="11">
        <v>1000</v>
      </c>
      <c r="AB1068" s="7" t="s">
        <v>13</v>
      </c>
    </row>
    <row r="1069" spans="1:28" s="12" customFormat="1">
      <c r="A1069" s="18" t="s">
        <v>1129</v>
      </c>
      <c r="B1069" s="18" t="s">
        <v>1718</v>
      </c>
      <c r="C1069" s="18" t="s">
        <v>1719</v>
      </c>
      <c r="D1069" s="19">
        <v>1640</v>
      </c>
      <c r="E1069" s="18" t="s">
        <v>1137</v>
      </c>
      <c r="F1069" s="15" t="s">
        <v>1451</v>
      </c>
      <c r="G1069" s="19">
        <v>191</v>
      </c>
      <c r="H1069" s="18" t="s">
        <v>1138</v>
      </c>
      <c r="I1069" s="18" t="s">
        <v>1139</v>
      </c>
      <c r="J1069" s="19">
        <v>3</v>
      </c>
      <c r="K1069" s="19">
        <v>752.0598</v>
      </c>
      <c r="L1069" s="19"/>
      <c r="M1069" s="19" t="str">
        <f>HYPERLINK("http://ms.phosphosite.org:5080/cgi-bin/plot-msms.cgi?MassType=1&amp;NumAxis=1&amp;Mod1=170&amp;Mod5=184&amp;Pep=RHDDRPQVLSYAVPVTVME&amp;Dta=/var/www/html/dta/yong/23617.27575.3.dta&amp;Global_Mod=CS57.0215", "27575")</f>
        <v>27575</v>
      </c>
      <c r="N1069" s="20"/>
      <c r="O1069" s="20">
        <v>122.93</v>
      </c>
      <c r="P1069" s="20"/>
      <c r="Q1069" s="20">
        <v>3.1579999999999999</v>
      </c>
      <c r="R1069" s="20"/>
      <c r="S1069" s="20">
        <v>-15.345599999999999</v>
      </c>
      <c r="T1069" s="20"/>
      <c r="U1069" s="20">
        <v>0.26219999999999999</v>
      </c>
      <c r="V1069" s="19"/>
      <c r="W1069" s="19">
        <v>1</v>
      </c>
      <c r="X1069" s="20"/>
      <c r="Y1069" s="20">
        <v>1.34</v>
      </c>
      <c r="Z1069" s="21"/>
      <c r="AA1069" s="21" t="s">
        <v>1306</v>
      </c>
      <c r="AB1069" s="19" t="s">
        <v>13</v>
      </c>
    </row>
    <row r="1070" spans="1:28" s="12" customFormat="1">
      <c r="A1070" s="9" t="s">
        <v>1151</v>
      </c>
      <c r="B1070" s="9" t="s">
        <v>1152</v>
      </c>
      <c r="C1070" s="9" t="s">
        <v>1153</v>
      </c>
      <c r="D1070" s="7">
        <v>79</v>
      </c>
      <c r="E1070" s="9" t="s">
        <v>1154</v>
      </c>
      <c r="F1070" s="7" t="s">
        <v>1496</v>
      </c>
      <c r="G1070" s="7">
        <v>15.8</v>
      </c>
      <c r="H1070" s="9" t="s">
        <v>1155</v>
      </c>
      <c r="I1070" s="9" t="s">
        <v>1156</v>
      </c>
      <c r="J1070" s="7">
        <v>4</v>
      </c>
      <c r="K1070" s="7">
        <v>459.23289999999997</v>
      </c>
      <c r="L1070" s="7"/>
      <c r="M1070" s="7" t="str">
        <f>HYPERLINK("http://ms.phosphosite.org:5080/cgi-bin/plot-msms.cgi?MassType=1&amp;NumAxis=1&amp;Mod1=184&amp;Mod14=147&amp;Pep=RGWTQMQLPEGLSMR&amp;Dta=/var/www/html/dta/yong/23617.14715.4.dta&amp;Global_Mod=CS57.0215", "14715")</f>
        <v>14715</v>
      </c>
      <c r="N1070" s="10"/>
      <c r="O1070" s="10">
        <v>68.77</v>
      </c>
      <c r="P1070" s="10"/>
      <c r="Q1070" s="10">
        <v>2.282</v>
      </c>
      <c r="R1070" s="10"/>
      <c r="S1070" s="10">
        <v>-9.5655000000000001</v>
      </c>
      <c r="T1070" s="10"/>
      <c r="U1070" s="10">
        <v>0.24049999999999999</v>
      </c>
      <c r="V1070" s="7"/>
      <c r="W1070" s="7">
        <v>23</v>
      </c>
      <c r="X1070" s="10"/>
      <c r="Y1070" s="10">
        <v>1.27</v>
      </c>
      <c r="Z1070" s="11"/>
      <c r="AA1070" s="11">
        <v>1000</v>
      </c>
      <c r="AB1070" s="7" t="s">
        <v>13</v>
      </c>
    </row>
    <row r="1071" spans="1:28" s="12" customFormat="1">
      <c r="A1071" s="3" t="s">
        <v>1129</v>
      </c>
      <c r="B1071" s="3" t="s">
        <v>1140</v>
      </c>
      <c r="C1071" s="3" t="s">
        <v>1141</v>
      </c>
      <c r="D1071" s="4">
        <v>950</v>
      </c>
      <c r="E1071" s="3" t="s">
        <v>1142</v>
      </c>
      <c r="F1071" s="7" t="s">
        <v>1452</v>
      </c>
      <c r="G1071" s="4">
        <v>168.9</v>
      </c>
      <c r="H1071" s="3" t="s">
        <v>1143</v>
      </c>
      <c r="I1071" s="3" t="s">
        <v>1144</v>
      </c>
      <c r="J1071" s="4">
        <v>3</v>
      </c>
      <c r="K1071" s="4">
        <v>984.52570000000003</v>
      </c>
      <c r="L1071" s="4" t="str">
        <f>HYPERLINK("http://ms.phosphosite.org:5080/cgi-bin/plot-msms.cgi?MassType=1&amp;NumAxis=1&amp;Mod5=184&amp;Pep=LTVPRYSIPTGDPPPYPEIASQLAQGR&amp;Dta=/var/www/html/dta/yong/23616.22677.3.dta&amp;Global_Mod=CS57.0215", "22677")</f>
        <v>22677</v>
      </c>
      <c r="M1071" s="4" t="str">
        <f>HYPERLINK("http://ms.phosphosite.org:5080/cgi-bin/plot-msms.cgi?MassType=1&amp;NumAxis=1&amp;Mod5=184&amp;Pep=LTVPRYSIPTGDPPPYPEIASQLAQGR&amp;Dta=/var/www/html/dta/yong/23617.22895.3.dta&amp;Global_Mod=CS57.0215", "22895")</f>
        <v>22895</v>
      </c>
      <c r="N1071" s="5">
        <v>102.81</v>
      </c>
      <c r="O1071" s="5">
        <v>103.05</v>
      </c>
      <c r="P1071" s="5">
        <v>3.7770000000000001</v>
      </c>
      <c r="Q1071" s="5">
        <v>4.133</v>
      </c>
      <c r="R1071" s="5">
        <v>0.2104</v>
      </c>
      <c r="S1071" s="5">
        <v>2.1257999999999999</v>
      </c>
      <c r="T1071" s="5">
        <v>0.2364</v>
      </c>
      <c r="U1071" s="5">
        <v>0.20230000000000001</v>
      </c>
      <c r="V1071" s="4">
        <v>2</v>
      </c>
      <c r="W1071" s="4">
        <v>45</v>
      </c>
      <c r="X1071" s="5">
        <v>2.0699999999999998</v>
      </c>
      <c r="Y1071" s="5">
        <v>1.92</v>
      </c>
      <c r="Z1071" s="6">
        <v>1000</v>
      </c>
      <c r="AA1071" s="6">
        <v>1000</v>
      </c>
      <c r="AB1071" s="4" t="s">
        <v>13</v>
      </c>
    </row>
    <row r="1072" spans="1:28" s="12" customFormat="1">
      <c r="A1072" s="3" t="s">
        <v>1129</v>
      </c>
      <c r="B1072" s="3" t="s">
        <v>1140</v>
      </c>
      <c r="C1072" s="3" t="s">
        <v>1141</v>
      </c>
      <c r="D1072" s="4">
        <v>950</v>
      </c>
      <c r="E1072" s="3" t="s">
        <v>1142</v>
      </c>
      <c r="F1072" s="7" t="s">
        <v>1452</v>
      </c>
      <c r="G1072" s="4">
        <v>168.9</v>
      </c>
      <c r="H1072" s="3" t="s">
        <v>1143</v>
      </c>
      <c r="I1072" s="3" t="s">
        <v>1144</v>
      </c>
      <c r="J1072" s="4">
        <v>3</v>
      </c>
      <c r="K1072" s="4">
        <v>984.52570000000003</v>
      </c>
      <c r="L1072" s="4" t="str">
        <f>HYPERLINK("http://ms.phosphosite.org:5080/cgi-bin/plot-msms.cgi?MassType=1&amp;NumAxis=1&amp;Mod5=184&amp;Pep=LTVPRYSIPTGDPPPYPEIASQLAQGR&amp;Dta=/var/www/html/dta/yong/23616.22701.3.dta&amp;Global_Mod=CS57.0215", "22701")</f>
        <v>22701</v>
      </c>
      <c r="M1072" s="4" t="str">
        <f>HYPERLINK("http://ms.phosphosite.org:5080/cgi-bin/plot-msms.cgi?MassType=1&amp;NumAxis=1&amp;Mod5=184&amp;Pep=LTVPRYSIPTGDPPPYPEIASQLAQGR&amp;Dta=/var/www/html/dta/yong/23617.22816.3.dta&amp;Global_Mod=CS57.0215", "22816")</f>
        <v>22816</v>
      </c>
      <c r="N1072" s="5">
        <v>102.9</v>
      </c>
      <c r="O1072" s="5">
        <v>102.72</v>
      </c>
      <c r="P1072" s="5">
        <v>4.6379999999999999</v>
      </c>
      <c r="Q1072" s="5">
        <v>4.2729999999999997</v>
      </c>
      <c r="R1072" s="5">
        <v>0.38250000000000001</v>
      </c>
      <c r="S1072" s="5">
        <v>2.0895999999999999</v>
      </c>
      <c r="T1072" s="5">
        <v>0.28470000000000001</v>
      </c>
      <c r="U1072" s="5">
        <v>0.18190000000000001</v>
      </c>
      <c r="V1072" s="4">
        <v>2</v>
      </c>
      <c r="W1072" s="4">
        <v>1</v>
      </c>
      <c r="X1072" s="5">
        <v>2.6</v>
      </c>
      <c r="Y1072" s="5">
        <v>1.87</v>
      </c>
      <c r="Z1072" s="6">
        <v>1000</v>
      </c>
      <c r="AA1072" s="6">
        <v>1000</v>
      </c>
      <c r="AB1072" s="4" t="s">
        <v>13</v>
      </c>
    </row>
    <row r="1073" spans="1:28" s="12" customFormat="1">
      <c r="A1073" s="3" t="s">
        <v>1129</v>
      </c>
      <c r="B1073" s="3" t="s">
        <v>1140</v>
      </c>
      <c r="C1073" s="3" t="s">
        <v>1141</v>
      </c>
      <c r="D1073" s="4">
        <v>950</v>
      </c>
      <c r="E1073" s="3" t="s">
        <v>1142</v>
      </c>
      <c r="F1073" s="7" t="s">
        <v>1452</v>
      </c>
      <c r="G1073" s="4">
        <v>168.9</v>
      </c>
      <c r="H1073" s="3" t="s">
        <v>1143</v>
      </c>
      <c r="I1073" s="3" t="s">
        <v>1144</v>
      </c>
      <c r="J1073" s="4">
        <v>3</v>
      </c>
      <c r="K1073" s="4">
        <v>984.52570000000003</v>
      </c>
      <c r="L1073" s="4"/>
      <c r="M1073" s="4" t="str">
        <f>HYPERLINK("http://ms.phosphosite.org:5080/cgi-bin/plot-msms.cgi?MassType=1&amp;NumAxis=1&amp;Mod5=184&amp;Pep=LTVPRYSIPTGDPPPYPEIASQLAQGR&amp;Dta=/var/www/html/dta/yong/23617.22773.3.dta&amp;Global_Mod=CS57.0215", "22773")</f>
        <v>22773</v>
      </c>
      <c r="N1073" s="5"/>
      <c r="O1073" s="5">
        <v>102.54</v>
      </c>
      <c r="P1073" s="5"/>
      <c r="Q1073" s="5">
        <v>3.661</v>
      </c>
      <c r="R1073" s="5"/>
      <c r="S1073" s="5">
        <v>1.6532</v>
      </c>
      <c r="T1073" s="5"/>
      <c r="U1073" s="5">
        <v>9.4700000000000006E-2</v>
      </c>
      <c r="V1073" s="4"/>
      <c r="W1073" s="4">
        <v>249</v>
      </c>
      <c r="X1073" s="5"/>
      <c r="Y1073" s="5">
        <v>1.0900000000000001</v>
      </c>
      <c r="Z1073" s="6"/>
      <c r="AA1073" s="6">
        <v>1000</v>
      </c>
      <c r="AB1073" s="4" t="s">
        <v>13</v>
      </c>
    </row>
    <row r="1074" spans="1:28" s="12" customFormat="1">
      <c r="A1074" s="9" t="s">
        <v>1129</v>
      </c>
      <c r="B1074" s="9" t="s">
        <v>1720</v>
      </c>
      <c r="C1074" s="9" t="s">
        <v>1721</v>
      </c>
      <c r="D1074" s="7" t="s">
        <v>1814</v>
      </c>
      <c r="E1074" s="9" t="s">
        <v>1145</v>
      </c>
      <c r="F1074" s="7" t="s">
        <v>1453</v>
      </c>
      <c r="G1074" s="7">
        <v>114.5</v>
      </c>
      <c r="H1074" s="9" t="s">
        <v>1146</v>
      </c>
      <c r="I1074" s="9" t="s">
        <v>1147</v>
      </c>
      <c r="J1074" s="7">
        <v>3</v>
      </c>
      <c r="K1074" s="7">
        <v>668.65129999999999</v>
      </c>
      <c r="L1074" s="7" t="str">
        <f>HYPERLINK("http://ms.phosphosite.org:5080/cgi-bin/plot-msms.cgi?MassType=1&amp;NumAxis=1&amp;Mod1=184&amp;Mod4=184&amp;Mod10=147&amp;Pep=RGGRFSAQGMGTFNPADY&amp;Dta=/var/www/html/dta/yong/23616.12473.3.dta&amp;Global_Mod=CS57.0215", "12473")</f>
        <v>12473</v>
      </c>
      <c r="M1074" s="7"/>
      <c r="N1074" s="10">
        <v>59.67</v>
      </c>
      <c r="O1074" s="10"/>
      <c r="P1074" s="10">
        <v>1.974</v>
      </c>
      <c r="Q1074" s="10"/>
      <c r="R1074" s="10">
        <v>-7.8899999999999998E-2</v>
      </c>
      <c r="S1074" s="10"/>
      <c r="T1074" s="10">
        <v>0.19420000000000001</v>
      </c>
      <c r="U1074" s="10"/>
      <c r="V1074" s="7">
        <v>1</v>
      </c>
      <c r="W1074" s="7"/>
      <c r="X1074" s="10">
        <v>1.5</v>
      </c>
      <c r="Y1074" s="10"/>
      <c r="Z1074" s="11" t="s">
        <v>1306</v>
      </c>
      <c r="AA1074" s="11"/>
      <c r="AB1074" s="7" t="s">
        <v>13</v>
      </c>
    </row>
    <row r="1075" spans="1:28" s="12" customFormat="1">
      <c r="A1075" s="9" t="s">
        <v>1129</v>
      </c>
      <c r="B1075" s="9" t="s">
        <v>1720</v>
      </c>
      <c r="C1075" s="9" t="s">
        <v>1721</v>
      </c>
      <c r="D1075" s="7" t="s">
        <v>1814</v>
      </c>
      <c r="E1075" s="9" t="s">
        <v>1145</v>
      </c>
      <c r="F1075" s="7" t="s">
        <v>1453</v>
      </c>
      <c r="G1075" s="7">
        <v>114.5</v>
      </c>
      <c r="H1075" s="9" t="s">
        <v>1146</v>
      </c>
      <c r="I1075" s="9" t="s">
        <v>1148</v>
      </c>
      <c r="J1075" s="7">
        <v>3</v>
      </c>
      <c r="K1075" s="7">
        <v>1089.1461999999999</v>
      </c>
      <c r="L1075" s="7" t="str">
        <f>HYPERLINK("http://ms.phosphosite.org:5080/cgi-bin/plot-msms.cgi?MassType=1&amp;NumAxis=1&amp;Mod1=184&amp;Mod4=184&amp;Mod10=147&amp;Pep=RGGRFSAQGMGTFNPADYAEPANTDDNYGN&amp;Dta=/var/www/html/dta/yong/23616.14279.3.dta&amp;Global_Mod=CS57.0215", "14279")</f>
        <v>14279</v>
      </c>
      <c r="M1075" s="7" t="str">
        <f>HYPERLINK("http://ms.phosphosite.org:5080/cgi-bin/plot-msms.cgi?MassType=1&amp;NumAxis=1&amp;Mod1=184&amp;Mod4=184&amp;Mod10=147&amp;Pep=RGGRFSAQGMGTFNPADYAEPANTDDNYGN&amp;Dta=/var/www/html/dta/yong/23617.14410.3.dta&amp;Global_Mod=CS57.0215", "14410")</f>
        <v>14410</v>
      </c>
      <c r="N1075" s="10">
        <v>67.599999999999994</v>
      </c>
      <c r="O1075" s="10">
        <v>67.44</v>
      </c>
      <c r="P1075" s="10">
        <v>3.01</v>
      </c>
      <c r="Q1075" s="10">
        <v>3.8010000000000002</v>
      </c>
      <c r="R1075" s="10">
        <v>1.663</v>
      </c>
      <c r="S1075" s="10">
        <v>1.8732</v>
      </c>
      <c r="T1075" s="10">
        <v>0.24859999999999999</v>
      </c>
      <c r="U1075" s="10">
        <v>0.4239</v>
      </c>
      <c r="V1075" s="7">
        <v>1</v>
      </c>
      <c r="W1075" s="7">
        <v>1</v>
      </c>
      <c r="X1075" s="10">
        <v>1.96</v>
      </c>
      <c r="Y1075" s="10">
        <v>3.23</v>
      </c>
      <c r="Z1075" s="11" t="s">
        <v>1306</v>
      </c>
      <c r="AA1075" s="11" t="s">
        <v>1306</v>
      </c>
      <c r="AB1075" s="7" t="s">
        <v>13</v>
      </c>
    </row>
    <row r="1076" spans="1:28" s="18" customFormat="1">
      <c r="A1076" s="9" t="s">
        <v>1129</v>
      </c>
      <c r="B1076" s="9" t="s">
        <v>1720</v>
      </c>
      <c r="C1076" s="9" t="s">
        <v>1721</v>
      </c>
      <c r="D1076" s="7" t="s">
        <v>1814</v>
      </c>
      <c r="E1076" s="9" t="s">
        <v>1145</v>
      </c>
      <c r="F1076" s="7" t="s">
        <v>1453</v>
      </c>
      <c r="G1076" s="7">
        <v>114.5</v>
      </c>
      <c r="H1076" s="9" t="s">
        <v>1146</v>
      </c>
      <c r="I1076" s="9" t="s">
        <v>1149</v>
      </c>
      <c r="J1076" s="7">
        <v>4</v>
      </c>
      <c r="K1076" s="7">
        <v>1421.3629000000001</v>
      </c>
      <c r="L1076" s="7" t="str">
        <f>HYPERLINK("http://ms.phosphosite.org:5080/cgi-bin/plot-msms.cgi?MassType=1&amp;NumAxis=1&amp;Mod1=184&amp;Mod4=184&amp;Mod10=147&amp;Pep=RGGRFSAQGMGTFNPADYAEPANTDDNYGNSSGNTWNNTGHFEPDDGTSAWR&amp;Dta=/var/www/html/dta/yong/23616.17602.4.dta&amp;Global_Mod=CS57.0215", "17602")</f>
        <v>17602</v>
      </c>
      <c r="M1076" s="7"/>
      <c r="N1076" s="10">
        <v>81.67</v>
      </c>
      <c r="O1076" s="10"/>
      <c r="P1076" s="10">
        <v>3.7519999999999998</v>
      </c>
      <c r="Q1076" s="10"/>
      <c r="R1076" s="10">
        <v>5.2717000000000001</v>
      </c>
      <c r="S1076" s="10"/>
      <c r="T1076" s="10">
        <v>0.3075</v>
      </c>
      <c r="U1076" s="10"/>
      <c r="V1076" s="7">
        <v>1</v>
      </c>
      <c r="W1076" s="7"/>
      <c r="X1076" s="10">
        <v>2.14</v>
      </c>
      <c r="Y1076" s="10"/>
      <c r="Z1076" s="11" t="s">
        <v>1306</v>
      </c>
      <c r="AA1076" s="11"/>
      <c r="AB1076" s="7" t="s">
        <v>13</v>
      </c>
    </row>
    <row r="1077" spans="1:28">
      <c r="A1077" s="9" t="s">
        <v>1129</v>
      </c>
      <c r="B1077" s="9" t="s">
        <v>1720</v>
      </c>
      <c r="C1077" s="9" t="s">
        <v>1721</v>
      </c>
      <c r="D1077" s="7" t="s">
        <v>1814</v>
      </c>
      <c r="E1077" s="9" t="s">
        <v>1145</v>
      </c>
      <c r="F1077" s="7" t="s">
        <v>1453</v>
      </c>
      <c r="G1077" s="7">
        <v>114.5</v>
      </c>
      <c r="H1077" s="9" t="s">
        <v>1146</v>
      </c>
      <c r="I1077" s="9" t="s">
        <v>1149</v>
      </c>
      <c r="J1077" s="7">
        <v>4</v>
      </c>
      <c r="K1077" s="7">
        <v>1421.3629000000001</v>
      </c>
      <c r="L1077" s="7" t="str">
        <f>HYPERLINK("http://ms.phosphosite.org:5080/cgi-bin/plot-msms.cgi?MassType=1&amp;NumAxis=1&amp;Mod1=184&amp;Mod4=184&amp;Mod10=147&amp;Pep=RGGRFSAQGMGTFNPADYAEPANTDDNYGNSSGNTWNNTGHFEPDDGTSAWR&amp;Dta=/var/www/html/dta/yong/23616.17625.4.dta&amp;Global_Mod=CS57.0215", "17625")</f>
        <v>17625</v>
      </c>
      <c r="M1077" s="7" t="str">
        <f>HYPERLINK("http://ms.phosphosite.org:5080/cgi-bin/plot-msms.cgi?MassType=1&amp;NumAxis=1&amp;Mod1=184&amp;Mod4=184&amp;Mod10=147&amp;Pep=RGGRFSAQGMGTFNPADYAEPANTDDNYGNSSGNTWNNTGHFEPDDGTSAWR&amp;Dta=/var/www/html/dta/yong/23617.17807.4.dta&amp;Global_Mod=CS57.0215", "17807")</f>
        <v>17807</v>
      </c>
      <c r="N1077" s="10">
        <v>81.760000000000005</v>
      </c>
      <c r="O1077" s="10">
        <v>81.75</v>
      </c>
      <c r="P1077" s="10">
        <v>3.4809999999999999</v>
      </c>
      <c r="Q1077" s="10">
        <v>3.2749999999999999</v>
      </c>
      <c r="R1077" s="10">
        <v>5.2717000000000001</v>
      </c>
      <c r="S1077" s="10">
        <v>2.0064000000000002</v>
      </c>
      <c r="T1077" s="10">
        <v>0.2397</v>
      </c>
      <c r="U1077" s="10">
        <v>0.16719999999999999</v>
      </c>
      <c r="V1077" s="7">
        <v>4</v>
      </c>
      <c r="W1077" s="7">
        <v>2</v>
      </c>
      <c r="X1077" s="10">
        <v>1.67</v>
      </c>
      <c r="Y1077" s="10">
        <v>1.4</v>
      </c>
      <c r="Z1077" s="11" t="s">
        <v>1306</v>
      </c>
      <c r="AA1077" s="11" t="s">
        <v>1306</v>
      </c>
      <c r="AB1077" s="7" t="s">
        <v>13</v>
      </c>
    </row>
    <row r="1078" spans="1:28">
      <c r="A1078" s="9" t="s">
        <v>1129</v>
      </c>
      <c r="B1078" s="9" t="s">
        <v>1720</v>
      </c>
      <c r="C1078" s="9" t="s">
        <v>1721</v>
      </c>
      <c r="D1078" s="7" t="s">
        <v>1814</v>
      </c>
      <c r="E1078" s="9" t="s">
        <v>1145</v>
      </c>
      <c r="F1078" s="7" t="s">
        <v>1453</v>
      </c>
      <c r="G1078" s="7">
        <v>114.5</v>
      </c>
      <c r="H1078" s="9" t="s">
        <v>1146</v>
      </c>
      <c r="I1078" s="9" t="s">
        <v>1150</v>
      </c>
      <c r="J1078" s="7">
        <v>5</v>
      </c>
      <c r="K1078" s="7">
        <v>1134.0927999999999</v>
      </c>
      <c r="L1078" s="7" t="str">
        <f>HYPERLINK("http://ms.phosphosite.org:5080/cgi-bin/plot-msms.cgi?MassType=1&amp;NumAxis=1&amp;Mod1=184&amp;Mod4=184&amp;Pep=RGGRFSAQGMGTFNPADYAEPANTDDNYGNSSGNTWNNTGHFEPDDGTSAWR&amp;Dta=/var/www/html/dta/yong/23616.19146.5.dta&amp;Global_Mod=CS57.0215", "19146")</f>
        <v>19146</v>
      </c>
      <c r="M1078" s="7" t="str">
        <f>HYPERLINK("http://ms.phosphosite.org:5080/cgi-bin/plot-msms.cgi?MassType=1&amp;NumAxis=1&amp;Mod1=184&amp;Mod4=184&amp;Pep=RGGRFSAQGMGTFNPADYAEPANTDDNYGNSSGNTWNNTGHFEPDDGTSAWR&amp;Dta=/var/www/html/dta/yong/23617.19334.5.dta&amp;Global_Mod=CS57.0215", "19334")</f>
        <v>19334</v>
      </c>
      <c r="N1078" s="10">
        <v>88.36</v>
      </c>
      <c r="O1078" s="10">
        <v>88.4</v>
      </c>
      <c r="P1078" s="10">
        <v>3.9969999999999999</v>
      </c>
      <c r="Q1078" s="10">
        <v>3.9049999999999998</v>
      </c>
      <c r="R1078" s="10">
        <v>1.0809</v>
      </c>
      <c r="S1078" s="10">
        <v>-1.2887999999999999</v>
      </c>
      <c r="T1078" s="10">
        <v>0.22450000000000001</v>
      </c>
      <c r="U1078" s="10">
        <v>0.2127</v>
      </c>
      <c r="V1078" s="7">
        <v>1</v>
      </c>
      <c r="W1078" s="7">
        <v>1</v>
      </c>
      <c r="X1078" s="10">
        <v>1.96</v>
      </c>
      <c r="Y1078" s="10">
        <v>1.86</v>
      </c>
      <c r="Z1078" s="11" t="s">
        <v>1306</v>
      </c>
      <c r="AA1078" s="11" t="s">
        <v>1306</v>
      </c>
      <c r="AB1078" s="7" t="s">
        <v>13</v>
      </c>
    </row>
    <row r="1079" spans="1:28">
      <c r="A1079" s="9" t="s">
        <v>1129</v>
      </c>
      <c r="B1079" s="9" t="s">
        <v>1720</v>
      </c>
      <c r="C1079" s="9" t="s">
        <v>1721</v>
      </c>
      <c r="D1079" s="7" t="s">
        <v>1814</v>
      </c>
      <c r="E1079" s="9" t="s">
        <v>1145</v>
      </c>
      <c r="F1079" s="7" t="s">
        <v>1453</v>
      </c>
      <c r="G1079" s="7">
        <v>114.5</v>
      </c>
      <c r="H1079" s="9" t="s">
        <v>1146</v>
      </c>
      <c r="I1079" s="9" t="s">
        <v>1150</v>
      </c>
      <c r="J1079" s="7">
        <v>5</v>
      </c>
      <c r="K1079" s="7">
        <v>1134.0927999999999</v>
      </c>
      <c r="L1079" s="7" t="str">
        <f>HYPERLINK("http://ms.phosphosite.org:5080/cgi-bin/plot-msms.cgi?MassType=1&amp;NumAxis=1&amp;Mod1=184&amp;Mod4=184&amp;Pep=RGGRFSAQGMGTFNPADYAEPANTDDNYGNSSGNTWNNTGHFEPDDGTSAWR&amp;Dta=/var/www/html/dta/yong/23616.19155.5.dta&amp;Global_Mod=CS57.0215", "19155")</f>
        <v>19155</v>
      </c>
      <c r="M1079" s="7" t="str">
        <f>HYPERLINK("http://ms.phosphosite.org:5080/cgi-bin/plot-msms.cgi?MassType=1&amp;NumAxis=1&amp;Mod1=184&amp;Mod4=184&amp;Pep=RGGRFSAQGMGTFNPADYAEPANTDDNYGNSSGNTWNNTGHFEPDDGTSAWR&amp;Dta=/var/www/html/dta/yong/23617.19324.5.dta&amp;Global_Mod=CS57.0215", "19324")</f>
        <v>19324</v>
      </c>
      <c r="N1079" s="10">
        <v>88.4</v>
      </c>
      <c r="O1079" s="10">
        <v>88.35</v>
      </c>
      <c r="P1079" s="10">
        <v>4.4610000000000003</v>
      </c>
      <c r="Q1079" s="10">
        <v>3.5230000000000001</v>
      </c>
      <c r="R1079" s="10">
        <v>1.0809</v>
      </c>
      <c r="S1079" s="10">
        <v>-1.2887999999999999</v>
      </c>
      <c r="T1079" s="10">
        <v>0.22989999999999999</v>
      </c>
      <c r="U1079" s="10">
        <v>0.15079999999999999</v>
      </c>
      <c r="V1079" s="7">
        <v>1</v>
      </c>
      <c r="W1079" s="7">
        <v>1</v>
      </c>
      <c r="X1079" s="10">
        <v>2.12</v>
      </c>
      <c r="Y1079" s="10">
        <v>1.39</v>
      </c>
      <c r="Z1079" s="11" t="s">
        <v>1306</v>
      </c>
      <c r="AA1079" s="11" t="s">
        <v>1306</v>
      </c>
      <c r="AB1079" s="7" t="s">
        <v>13</v>
      </c>
    </row>
    <row r="1080" spans="1:28" s="12" customFormat="1">
      <c r="A1080" s="9" t="s">
        <v>1129</v>
      </c>
      <c r="B1080" s="9" t="s">
        <v>1720</v>
      </c>
      <c r="C1080" s="9" t="s">
        <v>1721</v>
      </c>
      <c r="D1080" s="7" t="s">
        <v>1814</v>
      </c>
      <c r="E1080" s="9" t="s">
        <v>1145</v>
      </c>
      <c r="F1080" s="7" t="s">
        <v>1453</v>
      </c>
      <c r="G1080" s="7">
        <v>114.5</v>
      </c>
      <c r="H1080" s="9" t="s">
        <v>1146</v>
      </c>
      <c r="I1080" s="9" t="s">
        <v>1148</v>
      </c>
      <c r="J1080" s="7">
        <v>3</v>
      </c>
      <c r="K1080" s="7">
        <v>1089.1461999999999</v>
      </c>
      <c r="L1080" s="7"/>
      <c r="M1080" s="7" t="str">
        <f>HYPERLINK("http://ms.phosphosite.org:5080/cgi-bin/plot-msms.cgi?MassType=1&amp;NumAxis=1&amp;Mod1=184&amp;Mod4=184&amp;Mod10=147&amp;Pep=RGGRFSAQGMGTFNPADYAEPANTDDNYGN&amp;Dta=/var/www/html/dta/yong/23617.14426.3.dta&amp;Global_Mod=CS57.0215", "14426")</f>
        <v>14426</v>
      </c>
      <c r="N1080" s="10"/>
      <c r="O1080" s="10">
        <v>67.52</v>
      </c>
      <c r="P1080" s="10"/>
      <c r="Q1080" s="10">
        <v>4.4390000000000001</v>
      </c>
      <c r="R1080" s="10"/>
      <c r="S1080" s="10">
        <v>1.8732</v>
      </c>
      <c r="T1080" s="10"/>
      <c r="U1080" s="10">
        <v>0.33389999999999997</v>
      </c>
      <c r="V1080" s="7"/>
      <c r="W1080" s="7">
        <v>1</v>
      </c>
      <c r="X1080" s="10"/>
      <c r="Y1080" s="10">
        <v>2.92</v>
      </c>
      <c r="Z1080" s="11"/>
      <c r="AA1080" s="11" t="s">
        <v>1306</v>
      </c>
      <c r="AB1080" s="7" t="s">
        <v>13</v>
      </c>
    </row>
    <row r="1081" spans="1:28" s="13" customFormat="1">
      <c r="A1081" s="3" t="s">
        <v>1157</v>
      </c>
      <c r="B1081" s="3" t="s">
        <v>1158</v>
      </c>
      <c r="C1081" s="3" t="s">
        <v>1159</v>
      </c>
      <c r="D1081" s="4">
        <v>26</v>
      </c>
      <c r="E1081" s="3" t="s">
        <v>1160</v>
      </c>
      <c r="F1081" s="7" t="s">
        <v>1454</v>
      </c>
      <c r="G1081" s="4">
        <v>35.299999999999997</v>
      </c>
      <c r="H1081" s="3" t="s">
        <v>1161</v>
      </c>
      <c r="I1081" s="3" t="s">
        <v>1162</v>
      </c>
      <c r="J1081" s="4">
        <v>3</v>
      </c>
      <c r="K1081" s="4">
        <v>326.19819999999999</v>
      </c>
      <c r="L1081" s="4" t="str">
        <f>HYPERLINK("http://ms.phosphosite.org:5080/cgi-bin/plot-msms.cgi?MassType=1&amp;NumAxis=1&amp;Mod1=184&amp;Pep=RLPNVHGR&amp;Dta=/var/www/html/dta/yong/23616.2177.3.dta&amp;Global_Mod=CS57.0215", "2177")</f>
        <v>2177</v>
      </c>
      <c r="M1081" s="4" t="str">
        <f>HYPERLINK("http://ms.phosphosite.org:5080/cgi-bin/plot-msms.cgi?MassType=1&amp;NumAxis=1&amp;Mod1=184&amp;Pep=RLPNVHGR&amp;Dta=/var/www/html/dta/yong/23617.2216.3.dta&amp;Global_Mod=CS57.0215", "2216")</f>
        <v>2216</v>
      </c>
      <c r="N1081" s="5">
        <v>16.12</v>
      </c>
      <c r="O1081" s="5">
        <v>16.100000000000001</v>
      </c>
      <c r="P1081" s="5">
        <v>2.8540000000000001</v>
      </c>
      <c r="Q1081" s="5">
        <v>2.6749999999999998</v>
      </c>
      <c r="R1081" s="5">
        <v>0.95699999999999996</v>
      </c>
      <c r="S1081" s="5">
        <v>0.33100000000000002</v>
      </c>
      <c r="T1081" s="5">
        <v>0.1104</v>
      </c>
      <c r="U1081" s="5">
        <v>0.15989999999999999</v>
      </c>
      <c r="V1081" s="4">
        <v>1</v>
      </c>
      <c r="W1081" s="4">
        <v>1</v>
      </c>
      <c r="X1081" s="5">
        <v>1.29</v>
      </c>
      <c r="Y1081" s="5">
        <v>1.56</v>
      </c>
      <c r="Z1081" s="6">
        <v>1000</v>
      </c>
      <c r="AA1081" s="6">
        <v>1000</v>
      </c>
      <c r="AB1081" s="4" t="s">
        <v>13</v>
      </c>
    </row>
    <row r="1082" spans="1:28" s="12" customFormat="1">
      <c r="A1082" s="3" t="s">
        <v>1157</v>
      </c>
      <c r="B1082" s="3" t="s">
        <v>1158</v>
      </c>
      <c r="C1082" s="3" t="s">
        <v>1159</v>
      </c>
      <c r="D1082" s="4">
        <v>26</v>
      </c>
      <c r="E1082" s="3" t="s">
        <v>1160</v>
      </c>
      <c r="F1082" s="7" t="s">
        <v>1454</v>
      </c>
      <c r="G1082" s="4">
        <v>35.299999999999997</v>
      </c>
      <c r="H1082" s="3" t="s">
        <v>1161</v>
      </c>
      <c r="I1082" s="3" t="s">
        <v>1163</v>
      </c>
      <c r="J1082" s="4">
        <v>3</v>
      </c>
      <c r="K1082" s="4">
        <v>380.55259999999998</v>
      </c>
      <c r="L1082" s="4"/>
      <c r="M1082" s="4" t="str">
        <f>HYPERLINK("http://ms.phosphosite.org:5080/cgi-bin/plot-msms.cgi?MassType=1&amp;NumAxis=1&amp;Mod2=184&amp;Pep=YRLPNVHGR&amp;Dta=/var/www/html/dta/yong/23617.5950.3.dta&amp;Global_Mod=CS57.0215", "5950")</f>
        <v>5950</v>
      </c>
      <c r="N1082" s="5"/>
      <c r="O1082" s="5">
        <v>31.88</v>
      </c>
      <c r="P1082" s="5"/>
      <c r="Q1082" s="5">
        <v>2.125</v>
      </c>
      <c r="R1082" s="5"/>
      <c r="S1082" s="5">
        <v>0.20899999999999999</v>
      </c>
      <c r="T1082" s="5"/>
      <c r="U1082" s="5">
        <v>0.10299999999999999</v>
      </c>
      <c r="V1082" s="4"/>
      <c r="W1082" s="4">
        <v>6</v>
      </c>
      <c r="X1082" s="5"/>
      <c r="Y1082" s="5">
        <v>1.05</v>
      </c>
      <c r="Z1082" s="6"/>
      <c r="AA1082" s="6">
        <v>1000</v>
      </c>
      <c r="AB1082" s="4" t="s">
        <v>13</v>
      </c>
    </row>
    <row r="1083" spans="1:28" s="12" customFormat="1">
      <c r="A1083" s="18" t="s">
        <v>1157</v>
      </c>
      <c r="B1083" s="18" t="s">
        <v>1722</v>
      </c>
      <c r="C1083" s="18" t="s">
        <v>1723</v>
      </c>
      <c r="D1083" s="19"/>
      <c r="E1083" s="18" t="s">
        <v>1164</v>
      </c>
      <c r="F1083" s="15" t="s">
        <v>1455</v>
      </c>
      <c r="G1083" s="19">
        <v>69.3</v>
      </c>
      <c r="H1083" s="18"/>
      <c r="I1083" s="18" t="s">
        <v>1165</v>
      </c>
      <c r="J1083" s="19">
        <v>3</v>
      </c>
      <c r="K1083" s="19">
        <v>547.30529999999999</v>
      </c>
      <c r="L1083" s="19" t="str">
        <f>HYPERLINK("http://ms.phosphosite.org:5080/cgi-bin/plot-msms.cgi?MassType=1&amp;NumAxis=1&amp;Mod14=170&amp;Pep=VPQVSTPTLVEVSRN&amp;Dta=/var/www/html/dta/yong/23616.12008.3.dta&amp;Global_Mod=CS57.0215", "12008")</f>
        <v>12008</v>
      </c>
      <c r="M1083" s="19" t="str">
        <f>HYPERLINK("http://ms.phosphosite.org:5080/cgi-bin/plot-msms.cgi?MassType=1&amp;NumAxis=1&amp;Mod14=170&amp;Pep=VPQVSTPTLVEVSRN&amp;Dta=/var/www/html/dta/yong/23617.12126.3.dta&amp;Global_Mod=CS57.0215", "12126")</f>
        <v>12126</v>
      </c>
      <c r="N1083" s="20">
        <v>57.7</v>
      </c>
      <c r="O1083" s="20">
        <v>57.64</v>
      </c>
      <c r="P1083" s="20">
        <v>2.5419999999999998</v>
      </c>
      <c r="Q1083" s="20">
        <v>2.6819999999999999</v>
      </c>
      <c r="R1083" s="20">
        <v>22.832999999999998</v>
      </c>
      <c r="S1083" s="20">
        <v>22.571899999999999</v>
      </c>
      <c r="T1083" s="20">
        <v>0.36959999999999998</v>
      </c>
      <c r="U1083" s="20">
        <v>0.36840000000000001</v>
      </c>
      <c r="V1083" s="19">
        <v>2</v>
      </c>
      <c r="W1083" s="19">
        <v>6</v>
      </c>
      <c r="X1083" s="20">
        <v>2.2599999999999998</v>
      </c>
      <c r="Y1083" s="20">
        <v>2.13</v>
      </c>
      <c r="Z1083" s="21">
        <v>1000</v>
      </c>
      <c r="AA1083" s="21">
        <v>1000</v>
      </c>
      <c r="AB1083" s="19" t="s">
        <v>13</v>
      </c>
    </row>
    <row r="1084" spans="1:28" s="13" customFormat="1">
      <c r="A1084" s="18" t="s">
        <v>1157</v>
      </c>
      <c r="B1084" s="18" t="s">
        <v>1722</v>
      </c>
      <c r="C1084" s="18" t="s">
        <v>1723</v>
      </c>
      <c r="D1084" s="19"/>
      <c r="E1084" s="18" t="s">
        <v>1164</v>
      </c>
      <c r="F1084" s="15" t="s">
        <v>1455</v>
      </c>
      <c r="G1084" s="19">
        <v>69.3</v>
      </c>
      <c r="H1084" s="18"/>
      <c r="I1084" s="18" t="s">
        <v>1165</v>
      </c>
      <c r="J1084" s="19">
        <v>2</v>
      </c>
      <c r="K1084" s="19">
        <v>820.45429999999999</v>
      </c>
      <c r="L1084" s="19" t="str">
        <f>HYPERLINK("http://ms.phosphosite.org:5080/cgi-bin/plot-msms.cgi?MassType=1&amp;NumAxis=1&amp;Mod14=170&amp;Pep=VPQVSTPTLVEVSRN&amp;Dta=/var/www/html/dta/yong/23616.12088.2.dta&amp;Global_Mod=CS57.0215", "12088")</f>
        <v>12088</v>
      </c>
      <c r="M1084" s="19"/>
      <c r="N1084" s="20">
        <v>58.05</v>
      </c>
      <c r="O1084" s="20"/>
      <c r="P1084" s="20">
        <v>2.5110000000000001</v>
      </c>
      <c r="Q1084" s="20"/>
      <c r="R1084" s="20">
        <v>23.259</v>
      </c>
      <c r="S1084" s="20"/>
      <c r="T1084" s="20">
        <v>0.29349999999999998</v>
      </c>
      <c r="U1084" s="20"/>
      <c r="V1084" s="19">
        <v>1</v>
      </c>
      <c r="W1084" s="19"/>
      <c r="X1084" s="20">
        <v>1.78</v>
      </c>
      <c r="Y1084" s="20"/>
      <c r="Z1084" s="21">
        <v>1000</v>
      </c>
      <c r="AA1084" s="21"/>
      <c r="AB1084" s="19" t="s">
        <v>13</v>
      </c>
    </row>
    <row r="1085" spans="1:28" s="12" customFormat="1">
      <c r="A1085" s="3" t="s">
        <v>1157</v>
      </c>
      <c r="B1085" s="3" t="s">
        <v>1166</v>
      </c>
      <c r="C1085" s="3" t="s">
        <v>1166</v>
      </c>
      <c r="D1085" s="4">
        <v>204</v>
      </c>
      <c r="E1085" s="3" t="s">
        <v>1167</v>
      </c>
      <c r="F1085" s="7" t="s">
        <v>1456</v>
      </c>
      <c r="G1085" s="4">
        <v>26.9</v>
      </c>
      <c r="H1085" s="3" t="s">
        <v>1168</v>
      </c>
      <c r="I1085" s="3" t="s">
        <v>1169</v>
      </c>
      <c r="J1085" s="4">
        <v>2</v>
      </c>
      <c r="K1085" s="4">
        <v>624.81320000000005</v>
      </c>
      <c r="L1085" s="4" t="str">
        <f>HYPERLINK("http://ms.phosphosite.org:5080/cgi-bin/plot-msms.cgi?MassType=1&amp;NumAxis=1&amp;Mod2=184&amp;Pep=NRGAGGFGGGGGTR&amp;Dta=/var/www/html/dta/yong/23616.2339.2.dta&amp;Global_Mod=CS57.0215", "2339")</f>
        <v>2339</v>
      </c>
      <c r="M1085" s="4"/>
      <c r="N1085" s="5">
        <v>16.86</v>
      </c>
      <c r="O1085" s="5"/>
      <c r="P1085" s="5">
        <v>1.903</v>
      </c>
      <c r="Q1085" s="5"/>
      <c r="R1085" s="5">
        <v>2.0221</v>
      </c>
      <c r="S1085" s="5"/>
      <c r="T1085" s="5">
        <v>0.1719</v>
      </c>
      <c r="U1085" s="5"/>
      <c r="V1085" s="4">
        <v>10</v>
      </c>
      <c r="W1085" s="4"/>
      <c r="X1085" s="5">
        <v>1.2</v>
      </c>
      <c r="Y1085" s="5"/>
      <c r="Z1085" s="6">
        <v>1000</v>
      </c>
      <c r="AA1085" s="6"/>
      <c r="AB1085" s="4" t="s">
        <v>13</v>
      </c>
    </row>
    <row r="1086" spans="1:28" s="12" customFormat="1">
      <c r="A1086" s="13" t="s">
        <v>1157</v>
      </c>
      <c r="B1086" s="13" t="s">
        <v>1724</v>
      </c>
      <c r="C1086" s="13" t="s">
        <v>1725</v>
      </c>
      <c r="D1086" s="15">
        <v>90</v>
      </c>
      <c r="E1086" s="13" t="s">
        <v>1170</v>
      </c>
      <c r="F1086" s="15" t="s">
        <v>1457</v>
      </c>
      <c r="G1086" s="15">
        <v>31.2</v>
      </c>
      <c r="H1086" s="13" t="s">
        <v>1171</v>
      </c>
      <c r="I1086" s="13" t="s">
        <v>1172</v>
      </c>
      <c r="J1086" s="15">
        <v>3</v>
      </c>
      <c r="K1086" s="15">
        <v>1187.6198999999999</v>
      </c>
      <c r="L1086" s="15"/>
      <c r="M1086" s="15" t="str">
        <f>HYPERLINK("http://ms.phosphosite.org:5080/cgi-bin/plot-msms.cgi?MassType=1&amp;NumAxis=1&amp;Mod4=184&amp;Mod6=170&amp;Mod11=147&amp;Mod28=147&amp;Pep=ENSRLRQSLVMLQVLPQAVTQFEELVGMAEA&amp;Dta=/var/www/html/dta/yong/23617.28521.3.dta&amp;Global_Mod=CS57.0215", "28521")</f>
        <v>28521</v>
      </c>
      <c r="N1086" s="16"/>
      <c r="O1086" s="16">
        <v>127.37</v>
      </c>
      <c r="P1086" s="16"/>
      <c r="Q1086" s="16">
        <v>2.8919999999999999</v>
      </c>
      <c r="R1086" s="16"/>
      <c r="S1086" s="16">
        <v>1.0592999999999999</v>
      </c>
      <c r="T1086" s="16"/>
      <c r="U1086" s="16">
        <v>0.16470000000000001</v>
      </c>
      <c r="V1086" s="15"/>
      <c r="W1086" s="15">
        <v>1</v>
      </c>
      <c r="X1086" s="16"/>
      <c r="Y1086" s="16">
        <v>1.1499999999999999</v>
      </c>
      <c r="Z1086" s="17"/>
      <c r="AA1086" s="17" t="s">
        <v>1306</v>
      </c>
      <c r="AB1086" s="15" t="s">
        <v>13</v>
      </c>
    </row>
    <row r="1087" spans="1:28" s="12" customFormat="1">
      <c r="A1087" s="18" t="s">
        <v>1157</v>
      </c>
      <c r="B1087" s="18" t="s">
        <v>1173</v>
      </c>
      <c r="C1087" s="18" t="s">
        <v>1174</v>
      </c>
      <c r="D1087" s="19"/>
      <c r="E1087" s="18" t="s">
        <v>1175</v>
      </c>
      <c r="F1087" s="15" t="s">
        <v>1458</v>
      </c>
      <c r="G1087" s="19">
        <v>37.6</v>
      </c>
      <c r="H1087" s="18"/>
      <c r="I1087" s="18" t="s">
        <v>1176</v>
      </c>
      <c r="J1087" s="19">
        <v>2</v>
      </c>
      <c r="K1087" s="19">
        <v>1081.8841</v>
      </c>
      <c r="L1087" s="19" t="str">
        <f>HYPERLINK("http://ms.phosphosite.org:5080/cgi-bin/plot-msms.cgi?MassType=1&amp;NumAxis=1&amp;Mod19=170&amp;Pep=SSVSEDGDSSEMDDEDCER&amp;Dta=/var/www/html/dta/yong/23616.35805.2.dta&amp;Global_Mod=CS57.0215", "35805")</f>
        <v>35805</v>
      </c>
      <c r="M1087" s="19"/>
      <c r="N1087" s="20">
        <v>163.54</v>
      </c>
      <c r="O1087" s="20"/>
      <c r="P1087" s="20">
        <v>1.7529999999999999</v>
      </c>
      <c r="Q1087" s="20"/>
      <c r="R1087" s="20">
        <v>3.2505000000000002</v>
      </c>
      <c r="S1087" s="20"/>
      <c r="T1087" s="20">
        <v>0.17460000000000001</v>
      </c>
      <c r="U1087" s="20"/>
      <c r="V1087" s="19">
        <v>1</v>
      </c>
      <c r="W1087" s="19"/>
      <c r="X1087" s="20">
        <v>1.23</v>
      </c>
      <c r="Y1087" s="20"/>
      <c r="Z1087" s="21">
        <v>1000</v>
      </c>
      <c r="AA1087" s="21"/>
      <c r="AB1087" s="19" t="s">
        <v>13</v>
      </c>
    </row>
    <row r="1088" spans="1:28" s="13" customFormat="1">
      <c r="A1088" s="9" t="s">
        <v>1157</v>
      </c>
      <c r="B1088" s="9" t="s">
        <v>1726</v>
      </c>
      <c r="C1088" s="9" t="s">
        <v>1727</v>
      </c>
      <c r="D1088" s="7" t="s">
        <v>1815</v>
      </c>
      <c r="E1088" s="9" t="s">
        <v>1177</v>
      </c>
      <c r="F1088" s="7" t="s">
        <v>1459</v>
      </c>
      <c r="G1088" s="7">
        <v>69.7</v>
      </c>
      <c r="H1088" s="9" t="s">
        <v>1178</v>
      </c>
      <c r="I1088" s="9" t="s">
        <v>1179</v>
      </c>
      <c r="J1088" s="7">
        <v>3</v>
      </c>
      <c r="K1088" s="7">
        <v>1013.5291</v>
      </c>
      <c r="L1088" s="7" t="str">
        <f>HYPERLINK("http://ms.phosphosite.org:5080/cgi-bin/plot-msms.cgi?MassType=1&amp;NumAxis=1&amp;Mod11=184&amp;Mod19=184&amp;Pep=TPNSSCSTPSRTSSGLFPRIPLQPQAPV&amp;Dta=/var/www/html/dta/yong/23616.20072.3.dta&amp;Global_Mod=CS57.0215", "20072")</f>
        <v>20072</v>
      </c>
      <c r="M1088" s="7"/>
      <c r="N1088" s="10">
        <v>92.15</v>
      </c>
      <c r="O1088" s="10"/>
      <c r="P1088" s="10">
        <v>2.403</v>
      </c>
      <c r="Q1088" s="10"/>
      <c r="R1088" s="10">
        <v>1.5072000000000001</v>
      </c>
      <c r="S1088" s="10"/>
      <c r="T1088" s="10">
        <v>0.1714</v>
      </c>
      <c r="U1088" s="10"/>
      <c r="V1088" s="7">
        <v>3</v>
      </c>
      <c r="W1088" s="7"/>
      <c r="X1088" s="10">
        <v>1.1399999999999999</v>
      </c>
      <c r="Y1088" s="10"/>
      <c r="Z1088" s="11" t="s">
        <v>1306</v>
      </c>
      <c r="AA1088" s="11"/>
      <c r="AB1088" s="7" t="s">
        <v>13</v>
      </c>
    </row>
    <row r="1089" spans="1:28" s="12" customFormat="1">
      <c r="A1089" s="9" t="s">
        <v>1157</v>
      </c>
      <c r="B1089" s="9" t="s">
        <v>1726</v>
      </c>
      <c r="C1089" s="9" t="s">
        <v>1727</v>
      </c>
      <c r="D1089" s="7" t="s">
        <v>1815</v>
      </c>
      <c r="E1089" s="9" t="s">
        <v>1177</v>
      </c>
      <c r="F1089" s="7" t="s">
        <v>1459</v>
      </c>
      <c r="G1089" s="7">
        <v>69.7</v>
      </c>
      <c r="H1089" s="9" t="s">
        <v>1178</v>
      </c>
      <c r="I1089" s="9" t="s">
        <v>1179</v>
      </c>
      <c r="J1089" s="7">
        <v>3</v>
      </c>
      <c r="K1089" s="7">
        <v>1013.5291</v>
      </c>
      <c r="L1089" s="7" t="str">
        <f>HYPERLINK("http://ms.phosphosite.org:5080/cgi-bin/plot-msms.cgi?MassType=1&amp;NumAxis=1&amp;Mod11=184&amp;Mod19=184&amp;Pep=TPNSSCSTPSRTSSGLFPRIPLQPQAPV&amp;Dta=/var/www/html/dta/yong/23616.20115.3.dta&amp;Global_Mod=CS57.0215", "20115")</f>
        <v>20115</v>
      </c>
      <c r="M1089" s="7"/>
      <c r="N1089" s="10">
        <v>92.32</v>
      </c>
      <c r="O1089" s="10"/>
      <c r="P1089" s="10">
        <v>2.851</v>
      </c>
      <c r="Q1089" s="10"/>
      <c r="R1089" s="10">
        <v>1.5072000000000001</v>
      </c>
      <c r="S1089" s="10"/>
      <c r="T1089" s="10">
        <v>0.15529999999999999</v>
      </c>
      <c r="U1089" s="10"/>
      <c r="V1089" s="7">
        <v>5</v>
      </c>
      <c r="W1089" s="7"/>
      <c r="X1089" s="10">
        <v>1.18</v>
      </c>
      <c r="Y1089" s="10"/>
      <c r="Z1089" s="11" t="s">
        <v>1306</v>
      </c>
      <c r="AA1089" s="11"/>
      <c r="AB1089" s="7" t="s">
        <v>13</v>
      </c>
    </row>
    <row r="1090" spans="1:28" s="13" customFormat="1">
      <c r="A1090" s="3" t="s">
        <v>1157</v>
      </c>
      <c r="B1090" s="9" t="s">
        <v>1726</v>
      </c>
      <c r="C1090" s="9" t="s">
        <v>1727</v>
      </c>
      <c r="D1090" s="4">
        <v>337</v>
      </c>
      <c r="E1090" s="3" t="s">
        <v>1177</v>
      </c>
      <c r="F1090" s="7" t="s">
        <v>1459</v>
      </c>
      <c r="G1090" s="4">
        <v>69.7</v>
      </c>
      <c r="H1090" s="3" t="s">
        <v>1180</v>
      </c>
      <c r="I1090" s="3" t="s">
        <v>1182</v>
      </c>
      <c r="J1090" s="4">
        <v>3</v>
      </c>
      <c r="K1090" s="4">
        <v>949.53070000000002</v>
      </c>
      <c r="L1090" s="4" t="str">
        <f>HYPERLINK("http://ms.phosphosite.org:5080/cgi-bin/plot-msms.cgi?MassType=1&amp;NumAxis=1&amp;Mod8=184&amp;Pep=TSSGLFPRIPLQPQAPVSSIGSPVGTPK&amp;Dta=/var/www/html/dta/yong/23616.21497.3.dta&amp;Global_Mod=CS57.0215", "21497")</f>
        <v>21497</v>
      </c>
      <c r="M1090" s="4" t="str">
        <f>HYPERLINK("http://ms.phosphosite.org:5080/cgi-bin/plot-msms.cgi?MassType=1&amp;NumAxis=1&amp;Mod8=184&amp;Pep=TSSGLFPRIPLQPQAPVSSIGSPVGTPK&amp;Dta=/var/www/html/dta/yong/23617.21741.3.dta&amp;Global_Mod=CS57.0215", "21741")</f>
        <v>21741</v>
      </c>
      <c r="N1090" s="5">
        <v>98.12</v>
      </c>
      <c r="O1090" s="5">
        <v>98.4</v>
      </c>
      <c r="P1090" s="5">
        <v>4.8040000000000003</v>
      </c>
      <c r="Q1090" s="5">
        <v>3.09</v>
      </c>
      <c r="R1090" s="5">
        <v>1.1121000000000001</v>
      </c>
      <c r="S1090" s="5">
        <v>1.2168000000000001</v>
      </c>
      <c r="T1090" s="5">
        <v>0.3649</v>
      </c>
      <c r="U1090" s="5">
        <v>9.9299999999999999E-2</v>
      </c>
      <c r="V1090" s="4">
        <v>1</v>
      </c>
      <c r="W1090" s="4">
        <v>2</v>
      </c>
      <c r="X1090" s="5">
        <v>3.13</v>
      </c>
      <c r="Y1090" s="5">
        <v>1.1299999999999999</v>
      </c>
      <c r="Z1090" s="6">
        <v>1000</v>
      </c>
      <c r="AA1090" s="6">
        <v>1000</v>
      </c>
      <c r="AB1090" s="4" t="s">
        <v>13</v>
      </c>
    </row>
    <row r="1091" spans="1:28" s="9" customFormat="1">
      <c r="A1091" s="3" t="s">
        <v>1157</v>
      </c>
      <c r="B1091" s="9" t="s">
        <v>1726</v>
      </c>
      <c r="C1091" s="9" t="s">
        <v>1727</v>
      </c>
      <c r="D1091" s="4">
        <v>337</v>
      </c>
      <c r="E1091" s="3" t="s">
        <v>1177</v>
      </c>
      <c r="F1091" s="7" t="s">
        <v>1459</v>
      </c>
      <c r="G1091" s="4">
        <v>69.7</v>
      </c>
      <c r="H1091" s="3" t="s">
        <v>1180</v>
      </c>
      <c r="I1091" s="3" t="s">
        <v>1181</v>
      </c>
      <c r="J1091" s="4">
        <v>2</v>
      </c>
      <c r="K1091" s="4">
        <v>918.52250000000004</v>
      </c>
      <c r="L1091" s="4" t="str">
        <f>HYPERLINK("http://ms.phosphosite.org:5080/cgi-bin/plot-msms.cgi?MassType=1&amp;NumAxis=1&amp;Mod8=184&amp;Pep=TSSGLFPRIPLQPQAPV&amp;Dta=/var/www/html/dta/yong/23616.22743.2.dta&amp;Global_Mod=CS57.0215", "22743")</f>
        <v>22743</v>
      </c>
      <c r="M1091" s="4"/>
      <c r="N1091" s="5">
        <v>103.07</v>
      </c>
      <c r="O1091" s="5"/>
      <c r="P1091" s="5">
        <v>2.8519999999999999</v>
      </c>
      <c r="Q1091" s="5"/>
      <c r="R1091" s="5">
        <v>1.1671</v>
      </c>
      <c r="S1091" s="5"/>
      <c r="T1091" s="5">
        <v>0.2452</v>
      </c>
      <c r="U1091" s="5"/>
      <c r="V1091" s="4">
        <v>5</v>
      </c>
      <c r="W1091" s="4"/>
      <c r="X1091" s="5">
        <v>1.97</v>
      </c>
      <c r="Y1091" s="5"/>
      <c r="Z1091" s="6">
        <v>1000</v>
      </c>
      <c r="AA1091" s="6"/>
      <c r="AB1091" s="4" t="s">
        <v>13</v>
      </c>
    </row>
    <row r="1092" spans="1:28" s="12" customFormat="1">
      <c r="A1092" s="3" t="s">
        <v>1157</v>
      </c>
      <c r="B1092" s="9" t="s">
        <v>1726</v>
      </c>
      <c r="C1092" s="9" t="s">
        <v>1727</v>
      </c>
      <c r="D1092" s="4">
        <v>337</v>
      </c>
      <c r="E1092" s="3" t="s">
        <v>1177</v>
      </c>
      <c r="F1092" s="7" t="s">
        <v>1459</v>
      </c>
      <c r="G1092" s="4">
        <v>69.7</v>
      </c>
      <c r="H1092" s="3" t="s">
        <v>1180</v>
      </c>
      <c r="I1092" s="3" t="s">
        <v>1181</v>
      </c>
      <c r="J1092" s="4">
        <v>2</v>
      </c>
      <c r="K1092" s="4">
        <v>918.52250000000004</v>
      </c>
      <c r="L1092" s="4" t="str">
        <f>HYPERLINK("http://ms.phosphosite.org:5080/cgi-bin/plot-msms.cgi?MassType=1&amp;NumAxis=1&amp;Mod8=184&amp;Pep=TSSGLFPRIPLQPQAPV&amp;Dta=/var/www/html/dta/yong/23616.22758.2.dta&amp;Global_Mod=CS57.0215", "22758")</f>
        <v>22758</v>
      </c>
      <c r="M1092" s="4" t="str">
        <f>HYPERLINK("http://ms.phosphosite.org:5080/cgi-bin/plot-msms.cgi?MassType=1&amp;NumAxis=1&amp;Mod8=184&amp;Pep=TSSGLFPRIPLQPQAPV&amp;Dta=/var/www/html/dta/yong/23617.22862.2.dta&amp;Global_Mod=CS57.0215", "22862")</f>
        <v>22862</v>
      </c>
      <c r="N1092" s="5">
        <v>103.13</v>
      </c>
      <c r="O1092" s="5">
        <v>102.91</v>
      </c>
      <c r="P1092" s="5">
        <v>2.7959999999999998</v>
      </c>
      <c r="Q1092" s="5">
        <v>2.673</v>
      </c>
      <c r="R1092" s="5">
        <v>1.1671</v>
      </c>
      <c r="S1092" s="5">
        <v>0.98799999999999999</v>
      </c>
      <c r="T1092" s="5">
        <v>0.25459999999999999</v>
      </c>
      <c r="U1092" s="5">
        <v>0.36630000000000001</v>
      </c>
      <c r="V1092" s="4">
        <v>1</v>
      </c>
      <c r="W1092" s="4">
        <v>3</v>
      </c>
      <c r="X1092" s="5">
        <v>2.0099999999999998</v>
      </c>
      <c r="Y1092" s="5">
        <v>2.62</v>
      </c>
      <c r="Z1092" s="6">
        <v>1000</v>
      </c>
      <c r="AA1092" s="6">
        <v>1000</v>
      </c>
      <c r="AB1092" s="4" t="s">
        <v>13</v>
      </c>
    </row>
    <row r="1093" spans="1:28" s="12" customFormat="1">
      <c r="A1093" s="3" t="s">
        <v>1157</v>
      </c>
      <c r="B1093" s="9" t="s">
        <v>1726</v>
      </c>
      <c r="C1093" s="9" t="s">
        <v>1727</v>
      </c>
      <c r="D1093" s="4">
        <v>337</v>
      </c>
      <c r="E1093" s="3" t="s">
        <v>1177</v>
      </c>
      <c r="F1093" s="7" t="s">
        <v>1459</v>
      </c>
      <c r="G1093" s="4">
        <v>69.7</v>
      </c>
      <c r="H1093" s="3" t="s">
        <v>1180</v>
      </c>
      <c r="I1093" s="3" t="s">
        <v>1182</v>
      </c>
      <c r="J1093" s="4">
        <v>3</v>
      </c>
      <c r="K1093" s="4">
        <v>949.53070000000002</v>
      </c>
      <c r="L1093" s="4"/>
      <c r="M1093" s="4" t="str">
        <f>HYPERLINK("http://ms.phosphosite.org:5080/cgi-bin/plot-msms.cgi?MassType=1&amp;NumAxis=1&amp;Mod8=184&amp;Pep=TSSGLFPRIPLQPQAPVSSIGSPVGTPK&amp;Dta=/var/www/html/dta/yong/23617.21610.3.dta&amp;Global_Mod=CS57.0215", "21610")</f>
        <v>21610</v>
      </c>
      <c r="N1093" s="5"/>
      <c r="O1093" s="5">
        <v>97.91</v>
      </c>
      <c r="P1093" s="5"/>
      <c r="Q1093" s="5">
        <v>5.4169999999999998</v>
      </c>
      <c r="R1093" s="5"/>
      <c r="S1093" s="5">
        <v>1.1944999999999999</v>
      </c>
      <c r="T1093" s="5"/>
      <c r="U1093" s="5">
        <v>0.40920000000000001</v>
      </c>
      <c r="V1093" s="4"/>
      <c r="W1093" s="4">
        <v>1</v>
      </c>
      <c r="X1093" s="5"/>
      <c r="Y1093" s="5">
        <v>3.59</v>
      </c>
      <c r="Z1093" s="6"/>
      <c r="AA1093" s="6">
        <v>1000</v>
      </c>
      <c r="AB1093" s="4" t="s">
        <v>13</v>
      </c>
    </row>
    <row r="1094" spans="1:28" s="12" customFormat="1">
      <c r="A1094" s="3" t="s">
        <v>1157</v>
      </c>
      <c r="B1094" s="9" t="s">
        <v>1726</v>
      </c>
      <c r="C1094" s="9" t="s">
        <v>1727</v>
      </c>
      <c r="D1094" s="4">
        <v>337</v>
      </c>
      <c r="E1094" s="3" t="s">
        <v>1177</v>
      </c>
      <c r="F1094" s="7" t="s">
        <v>1459</v>
      </c>
      <c r="G1094" s="4">
        <v>69.7</v>
      </c>
      <c r="H1094" s="3" t="s">
        <v>1180</v>
      </c>
      <c r="I1094" s="3" t="s">
        <v>1181</v>
      </c>
      <c r="J1094" s="4">
        <v>3</v>
      </c>
      <c r="K1094" s="4">
        <v>612.68409999999994</v>
      </c>
      <c r="L1094" s="4"/>
      <c r="M1094" s="4" t="str">
        <f>HYPERLINK("http://ms.phosphosite.org:5080/cgi-bin/plot-msms.cgi?MassType=1&amp;NumAxis=1&amp;Mod8=184&amp;Pep=TSSGLFPRIPLQPQAPV&amp;Dta=/var/www/html/dta/yong/23617.22920.3.dta&amp;Global_Mod=CS57.0215", "22920")</f>
        <v>22920</v>
      </c>
      <c r="N1094" s="5"/>
      <c r="O1094" s="5">
        <v>103.16</v>
      </c>
      <c r="P1094" s="5"/>
      <c r="Q1094" s="5">
        <v>1.976</v>
      </c>
      <c r="R1094" s="5"/>
      <c r="S1094" s="5">
        <v>1.3527</v>
      </c>
      <c r="T1094" s="5"/>
      <c r="U1094" s="5">
        <v>0.1492</v>
      </c>
      <c r="V1094" s="4"/>
      <c r="W1094" s="4">
        <v>44</v>
      </c>
      <c r="X1094" s="5"/>
      <c r="Y1094" s="5">
        <v>1.1499999999999999</v>
      </c>
      <c r="Z1094" s="6"/>
      <c r="AA1094" s="6">
        <v>1000</v>
      </c>
      <c r="AB1094" s="4" t="s">
        <v>13</v>
      </c>
    </row>
    <row r="1095" spans="1:28" s="12" customFormat="1">
      <c r="A1095" s="3" t="s">
        <v>1157</v>
      </c>
      <c r="B1095" s="3" t="s">
        <v>1183</v>
      </c>
      <c r="C1095" s="3" t="s">
        <v>1184</v>
      </c>
      <c r="D1095" s="4">
        <v>1157</v>
      </c>
      <c r="E1095" s="3" t="s">
        <v>1185</v>
      </c>
      <c r="F1095" s="7" t="s">
        <v>1460</v>
      </c>
      <c r="G1095" s="4">
        <v>124</v>
      </c>
      <c r="H1095" s="3" t="s">
        <v>1186</v>
      </c>
      <c r="I1095" s="3" t="s">
        <v>1187</v>
      </c>
      <c r="J1095" s="4">
        <v>2</v>
      </c>
      <c r="K1095" s="4">
        <v>685.85119999999995</v>
      </c>
      <c r="L1095" s="4" t="str">
        <f>HYPERLINK("http://ms.phosphosite.org:5080/cgi-bin/plot-msms.cgi?MassType=1&amp;NumAxis=1&amp;Mod7=184&amp;Pep=SPYTTTRYGSPI&amp;Dta=/var/www/html/dta/yong/23616.11300.2.dta&amp;Global_Mod=CS57.0215", "11300")</f>
        <v>11300</v>
      </c>
      <c r="M1095" s="4" t="str">
        <f>HYPERLINK("http://ms.phosphosite.org:5080/cgi-bin/plot-msms.cgi?MassType=1&amp;NumAxis=1&amp;Mod7=184&amp;Pep=SPYTTTRYGSPI&amp;Dta=/var/www/html/dta/yong/23617.11432.2.dta&amp;Global_Mod=CS57.0215", "11432")</f>
        <v>11432</v>
      </c>
      <c r="N1095" s="5">
        <v>54.56</v>
      </c>
      <c r="O1095" s="5">
        <v>54.6</v>
      </c>
      <c r="P1095" s="5">
        <v>3.5129999999999999</v>
      </c>
      <c r="Q1095" s="5">
        <v>3.3639999999999999</v>
      </c>
      <c r="R1095" s="5">
        <v>0.99390000000000001</v>
      </c>
      <c r="S1095" s="5">
        <v>0.56479999999999997</v>
      </c>
      <c r="T1095" s="5">
        <v>0.36980000000000002</v>
      </c>
      <c r="U1095" s="5">
        <v>0.35639999999999999</v>
      </c>
      <c r="V1095" s="4">
        <v>1</v>
      </c>
      <c r="W1095" s="4">
        <v>1</v>
      </c>
      <c r="X1095" s="5">
        <v>2.87</v>
      </c>
      <c r="Y1095" s="5">
        <v>2.8</v>
      </c>
      <c r="Z1095" s="6">
        <v>1000</v>
      </c>
      <c r="AA1095" s="6">
        <v>1000</v>
      </c>
      <c r="AB1095" s="4" t="s">
        <v>13</v>
      </c>
    </row>
    <row r="1096" spans="1:28" s="12" customFormat="1">
      <c r="A1096" s="3" t="s">
        <v>1157</v>
      </c>
      <c r="B1096" s="3" t="s">
        <v>1183</v>
      </c>
      <c r="C1096" s="3" t="s">
        <v>1184</v>
      </c>
      <c r="D1096" s="4">
        <v>1157</v>
      </c>
      <c r="E1096" s="3" t="s">
        <v>1185</v>
      </c>
      <c r="F1096" s="7" t="s">
        <v>1460</v>
      </c>
      <c r="G1096" s="4">
        <v>124</v>
      </c>
      <c r="H1096" s="3" t="s">
        <v>1186</v>
      </c>
      <c r="I1096" s="3" t="s">
        <v>1188</v>
      </c>
      <c r="J1096" s="4">
        <v>2</v>
      </c>
      <c r="K1096" s="4">
        <v>866.9307</v>
      </c>
      <c r="L1096" s="4" t="str">
        <f>HYPERLINK("http://ms.phosphosite.org:5080/cgi-bin/plot-msms.cgi?MassType=1&amp;NumAxis=1&amp;Mod7=184&amp;Pep=SPYTTTRYGSPINTF&amp;Dta=/var/www/html/dta/yong/23616.15731.2.dta&amp;Global_Mod=CS57.0215", "15731")</f>
        <v>15731</v>
      </c>
      <c r="M1096" s="4" t="str">
        <f>HYPERLINK("http://ms.phosphosite.org:5080/cgi-bin/plot-msms.cgi?MassType=1&amp;NumAxis=1&amp;Mod7=184&amp;Pep=SPYTTTRYGSPINTF&amp;Dta=/var/www/html/dta/yong/23617.15895.2.dta&amp;Global_Mod=CS57.0215", "15895")</f>
        <v>15895</v>
      </c>
      <c r="N1096" s="5">
        <v>73.760000000000005</v>
      </c>
      <c r="O1096" s="5">
        <v>73.64</v>
      </c>
      <c r="P1096" s="5">
        <v>2.79</v>
      </c>
      <c r="Q1096" s="5">
        <v>3.2130000000000001</v>
      </c>
      <c r="R1096" s="5">
        <v>1.5174000000000001</v>
      </c>
      <c r="S1096" s="5">
        <v>0.74660000000000004</v>
      </c>
      <c r="T1096" s="5">
        <v>0.2621</v>
      </c>
      <c r="U1096" s="5">
        <v>0.43419999999999997</v>
      </c>
      <c r="V1096" s="4">
        <v>1</v>
      </c>
      <c r="W1096" s="4">
        <v>1</v>
      </c>
      <c r="X1096" s="5">
        <v>2</v>
      </c>
      <c r="Y1096" s="5">
        <v>3.15</v>
      </c>
      <c r="Z1096" s="6">
        <v>1000</v>
      </c>
      <c r="AA1096" s="6">
        <v>1000</v>
      </c>
      <c r="AB1096" s="4" t="s">
        <v>13</v>
      </c>
    </row>
    <row r="1097" spans="1:28" s="12" customFormat="1">
      <c r="A1097" s="3" t="s">
        <v>1157</v>
      </c>
      <c r="B1097" s="3" t="s">
        <v>1183</v>
      </c>
      <c r="C1097" s="3" t="s">
        <v>1184</v>
      </c>
      <c r="D1097" s="4">
        <v>1157</v>
      </c>
      <c r="E1097" s="3" t="s">
        <v>1185</v>
      </c>
      <c r="F1097" s="7" t="s">
        <v>1460</v>
      </c>
      <c r="G1097" s="4">
        <v>124</v>
      </c>
      <c r="H1097" s="3" t="s">
        <v>1186</v>
      </c>
      <c r="I1097" s="3" t="s">
        <v>1188</v>
      </c>
      <c r="J1097" s="4">
        <v>2</v>
      </c>
      <c r="K1097" s="4">
        <v>866.9307</v>
      </c>
      <c r="L1097" s="4"/>
      <c r="M1097" s="4" t="str">
        <f>HYPERLINK("http://ms.phosphosite.org:5080/cgi-bin/plot-msms.cgi?MassType=1&amp;NumAxis=1&amp;Mod7=184&amp;Pep=SPYTTTRYGSPINTF&amp;Dta=/var/www/html/dta/yong/23617.15889.2.dta&amp;Global_Mod=CS57.0215", "15889")</f>
        <v>15889</v>
      </c>
      <c r="N1097" s="5"/>
      <c r="O1097" s="5">
        <v>73.61</v>
      </c>
      <c r="P1097" s="5"/>
      <c r="Q1097" s="5">
        <v>3.71</v>
      </c>
      <c r="R1097" s="5"/>
      <c r="S1097" s="5">
        <v>0.74660000000000004</v>
      </c>
      <c r="T1097" s="5"/>
      <c r="U1097" s="5">
        <v>0.45069999999999999</v>
      </c>
      <c r="V1097" s="4"/>
      <c r="W1097" s="4">
        <v>1</v>
      </c>
      <c r="X1097" s="5"/>
      <c r="Y1097" s="5">
        <v>3.4</v>
      </c>
      <c r="Z1097" s="6"/>
      <c r="AA1097" s="6">
        <v>1000</v>
      </c>
      <c r="AB1097" s="4" t="s">
        <v>13</v>
      </c>
    </row>
    <row r="1098" spans="1:28" s="12" customFormat="1">
      <c r="A1098" s="13" t="s">
        <v>1157</v>
      </c>
      <c r="B1098" s="13" t="s">
        <v>1189</v>
      </c>
      <c r="C1098" s="13" t="s">
        <v>1190</v>
      </c>
      <c r="D1098" s="15"/>
      <c r="E1098" s="13" t="s">
        <v>1191</v>
      </c>
      <c r="F1098" s="15" t="s">
        <v>1461</v>
      </c>
      <c r="G1098" s="15">
        <v>80.8</v>
      </c>
      <c r="H1098" s="13"/>
      <c r="I1098" s="13" t="s">
        <v>1192</v>
      </c>
      <c r="J1098" s="15">
        <v>3</v>
      </c>
      <c r="K1098" s="15">
        <v>618.33759999999995</v>
      </c>
      <c r="L1098" s="15" t="str">
        <f>HYPERLINK("http://ms.phosphosite.org:5080/cgi-bin/plot-msms.cgi?MassType=1&amp;NumAxis=1&amp;Mod1=147&amp;Mod8=147&amp;Mod16=170&amp;Pep=MKTLKSQMGTLVEKGR&amp;Dta=/var/www/html/dta/yong/23616.29134.3.dta&amp;Global_Mod=CS57.0215", "29134")</f>
        <v>29134</v>
      </c>
      <c r="M1098" s="15"/>
      <c r="N1098" s="16">
        <v>130.62</v>
      </c>
      <c r="O1098" s="16"/>
      <c r="P1098" s="16">
        <v>3.4129999999999998</v>
      </c>
      <c r="Q1098" s="16"/>
      <c r="R1098" s="16">
        <v>10.318099999999999</v>
      </c>
      <c r="S1098" s="16"/>
      <c r="T1098" s="16">
        <v>0.22309999999999999</v>
      </c>
      <c r="U1098" s="16"/>
      <c r="V1098" s="15">
        <v>2</v>
      </c>
      <c r="W1098" s="15"/>
      <c r="X1098" s="16">
        <v>1.1299999999999999</v>
      </c>
      <c r="Y1098" s="16"/>
      <c r="Z1098" s="17">
        <v>1000</v>
      </c>
      <c r="AA1098" s="17"/>
      <c r="AB1098" s="15" t="s">
        <v>13</v>
      </c>
    </row>
    <row r="1099" spans="1:28" s="12" customFormat="1">
      <c r="A1099" s="9" t="s">
        <v>1157</v>
      </c>
      <c r="B1099" s="9" t="s">
        <v>1728</v>
      </c>
      <c r="C1099" s="9" t="s">
        <v>1729</v>
      </c>
      <c r="D1099" s="7">
        <v>21</v>
      </c>
      <c r="E1099" s="9" t="s">
        <v>1193</v>
      </c>
      <c r="F1099" s="7" t="s">
        <v>1462</v>
      </c>
      <c r="G1099" s="7">
        <v>42.2</v>
      </c>
      <c r="H1099" s="9" t="s">
        <v>1194</v>
      </c>
      <c r="I1099" s="9" t="s">
        <v>1195</v>
      </c>
      <c r="J1099" s="7">
        <v>2</v>
      </c>
      <c r="K1099" s="7">
        <v>568.76819999999998</v>
      </c>
      <c r="L1099" s="7"/>
      <c r="M1099" s="7" t="str">
        <f>HYPERLINK("http://ms.phosphosite.org:5080/cgi-bin/plot-msms.cgi?MassType=1&amp;NumAxis=1&amp;Mod14=184&amp;Pep=SSSGSGGGGTAGAR&amp;Dta=/var/www/html/dta/yong/23617.12001.2.dta&amp;Global_Mod=CS57.0215", "12001")</f>
        <v>12001</v>
      </c>
      <c r="N1099" s="10"/>
      <c r="O1099" s="10">
        <v>57.07</v>
      </c>
      <c r="P1099" s="10"/>
      <c r="Q1099" s="10">
        <v>2.2650000000000001</v>
      </c>
      <c r="R1099" s="10"/>
      <c r="S1099" s="10">
        <v>1.3332999999999999</v>
      </c>
      <c r="T1099" s="10"/>
      <c r="U1099" s="10">
        <v>0.15709999999999999</v>
      </c>
      <c r="V1099" s="7"/>
      <c r="W1099" s="7">
        <v>149</v>
      </c>
      <c r="X1099" s="10"/>
      <c r="Y1099" s="10">
        <v>1.35</v>
      </c>
      <c r="Z1099" s="11"/>
      <c r="AA1099" s="11">
        <v>1000</v>
      </c>
      <c r="AB1099" s="7" t="s">
        <v>13</v>
      </c>
    </row>
    <row r="1100" spans="1:28" s="12" customFormat="1">
      <c r="A1100" s="9" t="s">
        <v>1157</v>
      </c>
      <c r="B1100" s="9" t="s">
        <v>1730</v>
      </c>
      <c r="C1100" s="9" t="s">
        <v>1731</v>
      </c>
      <c r="D1100" s="7">
        <v>584</v>
      </c>
      <c r="E1100" s="9" t="s">
        <v>1196</v>
      </c>
      <c r="F1100" s="7" t="s">
        <v>1463</v>
      </c>
      <c r="G1100" s="7">
        <v>492.3</v>
      </c>
      <c r="H1100" s="9" t="s">
        <v>1197</v>
      </c>
      <c r="I1100" s="9" t="s">
        <v>1198</v>
      </c>
      <c r="J1100" s="7">
        <v>2</v>
      </c>
      <c r="K1100" s="7">
        <v>1416.3834999999999</v>
      </c>
      <c r="L1100" s="7" t="str">
        <f>HYPERLINK("http://ms.phosphosite.org:5080/cgi-bin/plot-msms.cgi?MassType=1&amp;NumAxis=1&amp;Mod6=184&amp;Pep=LVILLREVRQLSALGFVIPAKIQQV&amp;Dta=/var/www/html/dta/yong/23616.36976.2.dta&amp;Global_Mod=CS57.0215", "36976")</f>
        <v>36976</v>
      </c>
      <c r="M1100" s="7"/>
      <c r="N1100" s="10">
        <v>169.73</v>
      </c>
      <c r="O1100" s="10"/>
      <c r="P1100" s="10">
        <v>1.5740000000000001</v>
      </c>
      <c r="Q1100" s="10"/>
      <c r="R1100" s="10">
        <v>-2.6396999999999999</v>
      </c>
      <c r="S1100" s="10"/>
      <c r="T1100" s="10">
        <v>0.31280000000000002</v>
      </c>
      <c r="U1100" s="10"/>
      <c r="V1100" s="7">
        <v>1</v>
      </c>
      <c r="W1100" s="7"/>
      <c r="X1100" s="10">
        <v>1.47</v>
      </c>
      <c r="Y1100" s="10"/>
      <c r="Z1100" s="11">
        <v>6</v>
      </c>
      <c r="AA1100" s="11"/>
      <c r="AB1100" s="7" t="s">
        <v>13</v>
      </c>
    </row>
    <row r="1101" spans="1:28" s="12" customFormat="1">
      <c r="A1101" s="3" t="s">
        <v>1157</v>
      </c>
      <c r="B1101" s="3" t="s">
        <v>1199</v>
      </c>
      <c r="C1101" s="3" t="s">
        <v>1200</v>
      </c>
      <c r="D1101" s="4">
        <v>65</v>
      </c>
      <c r="E1101" s="3" t="s">
        <v>1201</v>
      </c>
      <c r="F1101" s="7" t="s">
        <v>1464</v>
      </c>
      <c r="G1101" s="4">
        <v>17.8</v>
      </c>
      <c r="H1101" s="3" t="s">
        <v>1202</v>
      </c>
      <c r="I1101" s="3" t="s">
        <v>1203</v>
      </c>
      <c r="J1101" s="4">
        <v>3</v>
      </c>
      <c r="K1101" s="4">
        <v>792.0951</v>
      </c>
      <c r="L1101" s="4" t="str">
        <f>HYPERLINK("http://ms.phosphosite.org:5080/cgi-bin/plot-msms.cgi?MassType=1&amp;NumAxis=1&amp;Mod19=184&amp;Pep=AQPFAQPPGPWPLSSPGPRLVF&amp;Dta=/var/www/html/dta/yong/23616.28342.3.dta&amp;Global_Mod=CS57.0215", "28342")</f>
        <v>28342</v>
      </c>
      <c r="M1101" s="4" t="str">
        <f>HYPERLINK("http://ms.phosphosite.org:5080/cgi-bin/plot-msms.cgi?MassType=1&amp;NumAxis=1&amp;Mod19=184&amp;Pep=AQPFAQPPGPWPLSSPGPRLVF&amp;Dta=/var/www/html/dta/yong/23617.28403.3.dta&amp;Global_Mod=CS57.0215", "28403")</f>
        <v>28403</v>
      </c>
      <c r="N1101" s="5">
        <v>126.89</v>
      </c>
      <c r="O1101" s="5">
        <v>126.8</v>
      </c>
      <c r="P1101" s="5">
        <v>3.1989999999999998</v>
      </c>
      <c r="Q1101" s="5">
        <v>3.6379999999999999</v>
      </c>
      <c r="R1101" s="5">
        <v>1.3545</v>
      </c>
      <c r="S1101" s="5">
        <v>1.1997</v>
      </c>
      <c r="T1101" s="5">
        <v>0.2417</v>
      </c>
      <c r="U1101" s="5">
        <v>0.4</v>
      </c>
      <c r="V1101" s="4">
        <v>8</v>
      </c>
      <c r="W1101" s="4">
        <v>1</v>
      </c>
      <c r="X1101" s="5">
        <v>1.96</v>
      </c>
      <c r="Y1101" s="5">
        <v>2.99</v>
      </c>
      <c r="Z1101" s="6">
        <v>1000</v>
      </c>
      <c r="AA1101" s="6">
        <v>1000</v>
      </c>
      <c r="AB1101" s="4" t="s">
        <v>13</v>
      </c>
    </row>
    <row r="1102" spans="1:28" s="12" customFormat="1">
      <c r="A1102" s="3" t="s">
        <v>1157</v>
      </c>
      <c r="B1102" s="3" t="s">
        <v>1204</v>
      </c>
      <c r="C1102" s="3" t="s">
        <v>1204</v>
      </c>
      <c r="D1102" s="4">
        <v>408</v>
      </c>
      <c r="E1102" s="3" t="s">
        <v>1205</v>
      </c>
      <c r="F1102" s="7" t="s">
        <v>1497</v>
      </c>
      <c r="G1102" s="4">
        <v>45.5</v>
      </c>
      <c r="H1102" s="3" t="s">
        <v>1206</v>
      </c>
      <c r="I1102" s="3" t="s">
        <v>1207</v>
      </c>
      <c r="J1102" s="4">
        <v>3</v>
      </c>
      <c r="K1102" s="4">
        <v>715.31449999999995</v>
      </c>
      <c r="L1102" s="4" t="str">
        <f>HYPERLINK("http://ms.phosphosite.org:5080/cgi-bin/plot-msms.cgi?MassType=1&amp;NumAxis=1&amp;Mod3=184&amp;Pep=GGRGYGDPYGGGGGGGGGGGGGGGYR&amp;Dta=/var/www/html/dta/yong/23616.5905.3.dta&amp;Global_Mod=CS57.0215", "5905")</f>
        <v>5905</v>
      </c>
      <c r="M1102" s="4" t="str">
        <f>HYPERLINK("http://ms.phosphosite.org:5080/cgi-bin/plot-msms.cgi?MassType=1&amp;NumAxis=1&amp;Mod3=184&amp;Pep=GGRGYGDPYGGGGGGGGGGGGGGGYR&amp;Dta=/var/www/html/dta/yong/23617.6048.3.dta&amp;Global_Mod=CS57.0215", "6048")</f>
        <v>6048</v>
      </c>
      <c r="N1102" s="5">
        <v>31.97</v>
      </c>
      <c r="O1102" s="5">
        <v>32.26</v>
      </c>
      <c r="P1102" s="5">
        <v>6.899</v>
      </c>
      <c r="Q1102" s="5">
        <v>6.6219999999999999</v>
      </c>
      <c r="R1102" s="5">
        <v>1.7583</v>
      </c>
      <c r="S1102" s="5">
        <v>0.95879999999999999</v>
      </c>
      <c r="T1102" s="5">
        <v>0.41820000000000002</v>
      </c>
      <c r="U1102" s="5">
        <v>0.48659999999999998</v>
      </c>
      <c r="V1102" s="4">
        <v>1</v>
      </c>
      <c r="W1102" s="4">
        <v>1</v>
      </c>
      <c r="X1102" s="5">
        <v>4.0199999999999996</v>
      </c>
      <c r="Y1102" s="5">
        <v>4.41</v>
      </c>
      <c r="Z1102" s="6">
        <v>1000</v>
      </c>
      <c r="AA1102" s="6">
        <v>1000</v>
      </c>
      <c r="AB1102" s="4" t="s">
        <v>13</v>
      </c>
    </row>
    <row r="1103" spans="1:28" s="12" customFormat="1">
      <c r="A1103" s="3" t="s">
        <v>1157</v>
      </c>
      <c r="B1103" s="3" t="s">
        <v>1204</v>
      </c>
      <c r="C1103" s="3" t="s">
        <v>1204</v>
      </c>
      <c r="D1103" s="4">
        <v>408</v>
      </c>
      <c r="E1103" s="3" t="s">
        <v>1205</v>
      </c>
      <c r="F1103" s="7" t="s">
        <v>1497</v>
      </c>
      <c r="G1103" s="4">
        <v>45.5</v>
      </c>
      <c r="H1103" s="3" t="s">
        <v>1206</v>
      </c>
      <c r="I1103" s="3" t="s">
        <v>1207</v>
      </c>
      <c r="J1103" s="4">
        <v>3</v>
      </c>
      <c r="K1103" s="4">
        <v>715.31449999999995</v>
      </c>
      <c r="L1103" s="4" t="str">
        <f>HYPERLINK("http://ms.phosphosite.org:5080/cgi-bin/plot-msms.cgi?MassType=1&amp;NumAxis=1&amp;Mod3=184&amp;Pep=GGRGYGDPYGGGGGGGGGGGGGGGYR&amp;Dta=/var/www/html/dta/yong/23616.5942.3.dta&amp;Global_Mod=CS57.0215", "5942")</f>
        <v>5942</v>
      </c>
      <c r="M1103" s="4" t="str">
        <f>HYPERLINK("http://ms.phosphosite.org:5080/cgi-bin/plot-msms.cgi?MassType=1&amp;NumAxis=1&amp;Mod3=184&amp;Pep=GGRGYGDPYGGGGGGGGGGGGGGGYR&amp;Dta=/var/www/html/dta/yong/23617.6056.3.dta&amp;Global_Mod=CS57.0215", "6056")</f>
        <v>6056</v>
      </c>
      <c r="N1103" s="5">
        <v>32.119999999999997</v>
      </c>
      <c r="O1103" s="5">
        <v>32.299999999999997</v>
      </c>
      <c r="P1103" s="5">
        <v>6.1340000000000003</v>
      </c>
      <c r="Q1103" s="5">
        <v>6.6689999999999996</v>
      </c>
      <c r="R1103" s="5">
        <v>1.7583</v>
      </c>
      <c r="S1103" s="5">
        <v>0.90790000000000004</v>
      </c>
      <c r="T1103" s="5">
        <v>0.35959999999999998</v>
      </c>
      <c r="U1103" s="5">
        <v>0.40770000000000001</v>
      </c>
      <c r="V1103" s="4">
        <v>1</v>
      </c>
      <c r="W1103" s="4">
        <v>1</v>
      </c>
      <c r="X1103" s="5">
        <v>3.47</v>
      </c>
      <c r="Y1103" s="5">
        <v>3.98</v>
      </c>
      <c r="Z1103" s="6">
        <v>1000</v>
      </c>
      <c r="AA1103" s="6">
        <v>1000</v>
      </c>
      <c r="AB1103" s="4" t="s">
        <v>13</v>
      </c>
    </row>
    <row r="1104" spans="1:28" s="12" customFormat="1">
      <c r="A1104" s="9" t="s">
        <v>1157</v>
      </c>
      <c r="B1104" s="9" t="s">
        <v>1732</v>
      </c>
      <c r="C1104" s="9" t="s">
        <v>1733</v>
      </c>
      <c r="D1104" s="7">
        <v>993</v>
      </c>
      <c r="E1104" s="9" t="s">
        <v>1208</v>
      </c>
      <c r="F1104" s="7" t="s">
        <v>1465</v>
      </c>
      <c r="G1104" s="7">
        <v>136.1</v>
      </c>
      <c r="H1104" s="9" t="s">
        <v>1209</v>
      </c>
      <c r="I1104" s="9" t="s">
        <v>1210</v>
      </c>
      <c r="J1104" s="7">
        <v>5</v>
      </c>
      <c r="K1104" s="7">
        <v>507.47770000000003</v>
      </c>
      <c r="L1104" s="7" t="str">
        <f>HYPERLINK("http://ms.phosphosite.org:5080/cgi-bin/plot-msms.cgi?MassType=1&amp;NumAxis=1&amp;Mod4=147&amp;Mod9=184&amp;Pep=SLSMLHYIRGAAPKDIPVPLSHS&amp;Dta=/var/www/html/dta/yong/23616.8832.5.dta&amp;Global_Mod=CS57.0215", "8832")</f>
        <v>8832</v>
      </c>
      <c r="M1104" s="7"/>
      <c r="N1104" s="10">
        <v>44.13</v>
      </c>
      <c r="O1104" s="10"/>
      <c r="P1104" s="10">
        <v>2.8079999999999998</v>
      </c>
      <c r="Q1104" s="10"/>
      <c r="R1104" s="10">
        <v>-2.0310999999999999</v>
      </c>
      <c r="S1104" s="10"/>
      <c r="T1104" s="10">
        <v>0.15260000000000001</v>
      </c>
      <c r="U1104" s="10"/>
      <c r="V1104" s="7">
        <v>5</v>
      </c>
      <c r="W1104" s="7"/>
      <c r="X1104" s="10">
        <v>1.08</v>
      </c>
      <c r="Y1104" s="10"/>
      <c r="Z1104" s="11">
        <v>1000</v>
      </c>
      <c r="AA1104" s="11"/>
      <c r="AB1104" s="7" t="s">
        <v>13</v>
      </c>
    </row>
    <row r="1105" spans="1:28" s="12" customFormat="1">
      <c r="A1105" s="3" t="s">
        <v>1157</v>
      </c>
      <c r="B1105" s="3" t="s">
        <v>1734</v>
      </c>
      <c r="C1105" s="3" t="s">
        <v>1735</v>
      </c>
      <c r="D1105" s="4">
        <v>226</v>
      </c>
      <c r="E1105" s="3" t="s">
        <v>1211</v>
      </c>
      <c r="F1105" s="7" t="s">
        <v>1466</v>
      </c>
      <c r="G1105" s="4">
        <v>38.799999999999997</v>
      </c>
      <c r="H1105" s="3" t="s">
        <v>1212</v>
      </c>
      <c r="I1105" s="3" t="s">
        <v>1213</v>
      </c>
      <c r="J1105" s="4">
        <v>2</v>
      </c>
      <c r="K1105" s="4">
        <v>557.31679999999994</v>
      </c>
      <c r="L1105" s="4" t="str">
        <f>HYPERLINK("http://ms.phosphosite.org:5080/cgi-bin/plot-msms.cgi?MassType=1&amp;NumAxis=1&amp;Mod6=184&amp;Pep=GTPTPRGVLST&amp;Dta=/var/www/html/dta/yong/23616.8852.2.dta&amp;Global_Mod=CS57.0215", "8852")</f>
        <v>8852</v>
      </c>
      <c r="M1105" s="4" t="str">
        <f>HYPERLINK("http://ms.phosphosite.org:5080/cgi-bin/plot-msms.cgi?MassType=1&amp;NumAxis=1&amp;Mod6=184&amp;Pep=GTPTPRGVLST&amp;Dta=/var/www/html/dta/yong/23617.8963.2.dta&amp;Global_Mod=CS57.0215", "8963")</f>
        <v>8963</v>
      </c>
      <c r="N1105" s="5">
        <v>44.21</v>
      </c>
      <c r="O1105" s="5">
        <v>44.28</v>
      </c>
      <c r="P1105" s="5">
        <v>2.153</v>
      </c>
      <c r="Q1105" s="5">
        <v>1.869</v>
      </c>
      <c r="R1105" s="5">
        <v>0.29659999999999997</v>
      </c>
      <c r="S1105" s="5">
        <v>9.4200000000000006E-2</v>
      </c>
      <c r="T1105" s="5">
        <v>0.28599999999999998</v>
      </c>
      <c r="U1105" s="5">
        <v>0.18820000000000001</v>
      </c>
      <c r="V1105" s="4">
        <v>78</v>
      </c>
      <c r="W1105" s="4">
        <v>197</v>
      </c>
      <c r="X1105" s="5">
        <v>1.99</v>
      </c>
      <c r="Y1105" s="5">
        <v>1.29</v>
      </c>
      <c r="Z1105" s="6">
        <v>1000</v>
      </c>
      <c r="AA1105" s="6">
        <v>1000</v>
      </c>
      <c r="AB1105" s="4" t="s">
        <v>13</v>
      </c>
    </row>
    <row r="1106" spans="1:28" s="12" customFormat="1">
      <c r="A1106" s="3" t="s">
        <v>1157</v>
      </c>
      <c r="B1106" s="3" t="s">
        <v>1736</v>
      </c>
      <c r="C1106" s="3" t="s">
        <v>1737</v>
      </c>
      <c r="D1106" s="4">
        <v>226</v>
      </c>
      <c r="E1106" s="3" t="s">
        <v>1211</v>
      </c>
      <c r="F1106" s="7" t="s">
        <v>1466</v>
      </c>
      <c r="G1106" s="4">
        <v>38.799999999999997</v>
      </c>
      <c r="H1106" s="3" t="s">
        <v>1212</v>
      </c>
      <c r="I1106" s="3" t="s">
        <v>1213</v>
      </c>
      <c r="J1106" s="4">
        <v>2</v>
      </c>
      <c r="K1106" s="4">
        <v>557.31679999999994</v>
      </c>
      <c r="L1106" s="4"/>
      <c r="M1106" s="4" t="str">
        <f>HYPERLINK("http://ms.phosphosite.org:5080/cgi-bin/plot-msms.cgi?MassType=1&amp;NumAxis=1&amp;Mod6=184&amp;Pep=GTPTPRGVLST&amp;Dta=/var/www/html/dta/yong/23617.8995.2.dta&amp;Global_Mod=CS57.0215", "8995")</f>
        <v>8995</v>
      </c>
      <c r="N1106" s="5"/>
      <c r="O1106" s="5">
        <v>44.41</v>
      </c>
      <c r="P1106" s="5"/>
      <c r="Q1106" s="5">
        <v>2.2189999999999999</v>
      </c>
      <c r="R1106" s="5"/>
      <c r="S1106" s="5">
        <v>0.1951</v>
      </c>
      <c r="T1106" s="5"/>
      <c r="U1106" s="5">
        <v>0.34589999999999999</v>
      </c>
      <c r="V1106" s="4"/>
      <c r="W1106" s="4">
        <v>29</v>
      </c>
      <c r="X1106" s="5"/>
      <c r="Y1106" s="5">
        <v>2.37</v>
      </c>
      <c r="Z1106" s="6"/>
      <c r="AA1106" s="6">
        <v>1000</v>
      </c>
      <c r="AB1106" s="4" t="s">
        <v>13</v>
      </c>
    </row>
    <row r="1107" spans="1:28" s="12" customFormat="1">
      <c r="A1107" s="18" t="s">
        <v>1157</v>
      </c>
      <c r="B1107" s="18" t="s">
        <v>1738</v>
      </c>
      <c r="C1107" s="18" t="s">
        <v>1739</v>
      </c>
      <c r="D1107" s="19"/>
      <c r="E1107" s="18" t="s">
        <v>1214</v>
      </c>
      <c r="F1107" s="15" t="s">
        <v>1467</v>
      </c>
      <c r="G1107" s="19">
        <v>16.8</v>
      </c>
      <c r="H1107" s="18"/>
      <c r="I1107" s="18" t="s">
        <v>1215</v>
      </c>
      <c r="J1107" s="19">
        <v>2</v>
      </c>
      <c r="K1107" s="19">
        <v>1273.9355</v>
      </c>
      <c r="L1107" s="19"/>
      <c r="M1107" s="19" t="str">
        <f>HYPERLINK("http://ms.phosphosite.org:5080/cgi-bin/plot-msms.cgi?MassType=1&amp;NumAxis=1&amp;Mod19=170&amp;Pep=SSCCQPCCHPTCCQNTCCR&amp;Dta=/var/www/html/dta/yong/23617.5339.2.dta&amp;Global_Mod=CS57.0215", "5339")</f>
        <v>5339</v>
      </c>
      <c r="N1107" s="20"/>
      <c r="O1107" s="20">
        <v>29.29</v>
      </c>
      <c r="P1107" s="20"/>
      <c r="Q1107" s="20">
        <v>1.139</v>
      </c>
      <c r="R1107" s="20"/>
      <c r="S1107" s="20">
        <v>-9.1643000000000008</v>
      </c>
      <c r="T1107" s="20"/>
      <c r="U1107" s="20">
        <v>0.46189999999999998</v>
      </c>
      <c r="V1107" s="19"/>
      <c r="W1107" s="19">
        <v>1</v>
      </c>
      <c r="X1107" s="20"/>
      <c r="Y1107" s="20">
        <v>2.3199999999999998</v>
      </c>
      <c r="Z1107" s="21"/>
      <c r="AA1107" s="21">
        <v>1000</v>
      </c>
      <c r="AB1107" s="19" t="s">
        <v>13</v>
      </c>
    </row>
    <row r="1108" spans="1:28" s="12" customFormat="1">
      <c r="A1108" s="13" t="s">
        <v>1157</v>
      </c>
      <c r="B1108" s="13" t="s">
        <v>1740</v>
      </c>
      <c r="C1108" s="13" t="s">
        <v>1741</v>
      </c>
      <c r="D1108" s="15">
        <v>50</v>
      </c>
      <c r="E1108" s="13" t="s">
        <v>1216</v>
      </c>
      <c r="F1108" s="15" t="s">
        <v>1468</v>
      </c>
      <c r="G1108" s="15">
        <v>43.2</v>
      </c>
      <c r="H1108" s="13" t="s">
        <v>1217</v>
      </c>
      <c r="I1108" s="13" t="s">
        <v>1218</v>
      </c>
      <c r="J1108" s="15">
        <v>3</v>
      </c>
      <c r="K1108" s="15">
        <v>417.92259999999999</v>
      </c>
      <c r="L1108" s="15"/>
      <c r="M1108" s="15" t="str">
        <f>HYPERLINK("http://ms.phosphosite.org:5080/cgi-bin/plot-msms.cgi?MassType=1&amp;NumAxis=1&amp;Mod11=184&amp;Mod12=170&amp;Pep=ALAPSPVSGVRR&amp;Dta=/var/www/html/dta/yong/23617.26052.3.dta&amp;Global_Mod=CS57.0215", "26052")</f>
        <v>26052</v>
      </c>
      <c r="N1108" s="16"/>
      <c r="O1108" s="16">
        <v>116.07</v>
      </c>
      <c r="P1108" s="16"/>
      <c r="Q1108" s="16">
        <v>2.1560000000000001</v>
      </c>
      <c r="R1108" s="16"/>
      <c r="S1108" s="16">
        <v>-0.80559999999999998</v>
      </c>
      <c r="T1108" s="16"/>
      <c r="U1108" s="16">
        <v>0.2989</v>
      </c>
      <c r="V1108" s="15"/>
      <c r="W1108" s="15">
        <v>12</v>
      </c>
      <c r="X1108" s="16"/>
      <c r="Y1108" s="16">
        <v>2.0299999999999998</v>
      </c>
      <c r="Z1108" s="17"/>
      <c r="AA1108" s="17" t="s">
        <v>1306</v>
      </c>
      <c r="AB1108" s="15" t="s">
        <v>13</v>
      </c>
    </row>
    <row r="1109" spans="1:28" s="13" customFormat="1">
      <c r="A1109" s="3" t="s">
        <v>1157</v>
      </c>
      <c r="B1109" s="3" t="s">
        <v>1219</v>
      </c>
      <c r="C1109" s="3" t="s">
        <v>1220</v>
      </c>
      <c r="D1109" s="4">
        <v>226</v>
      </c>
      <c r="E1109" s="3" t="s">
        <v>1221</v>
      </c>
      <c r="F1109" s="7" t="s">
        <v>1469</v>
      </c>
      <c r="G1109" s="4">
        <v>93.4</v>
      </c>
      <c r="H1109" s="3" t="s">
        <v>1222</v>
      </c>
      <c r="I1109" s="3" t="s">
        <v>1223</v>
      </c>
      <c r="J1109" s="4">
        <v>2</v>
      </c>
      <c r="K1109" s="4">
        <v>437.24310000000003</v>
      </c>
      <c r="L1109" s="4"/>
      <c r="M1109" s="4" t="str">
        <f>HYPERLINK("http://ms.phosphosite.org:5080/cgi-bin/plot-msms.cgi?MassType=1&amp;NumAxis=1&amp;Mod6=184&amp;Pep=LGPGTRSGT&amp;Dta=/var/www/html/dta/yong/23617.3524.2.dta&amp;Global_Mod=CS57.0215", "3524")</f>
        <v>3524</v>
      </c>
      <c r="N1109" s="5"/>
      <c r="O1109" s="5">
        <v>21.55</v>
      </c>
      <c r="P1109" s="5"/>
      <c r="Q1109" s="5">
        <v>1.698</v>
      </c>
      <c r="R1109" s="5"/>
      <c r="S1109" s="5">
        <v>-0.27710000000000001</v>
      </c>
      <c r="T1109" s="5"/>
      <c r="U1109" s="5">
        <v>0.14990000000000001</v>
      </c>
      <c r="V1109" s="4"/>
      <c r="W1109" s="4">
        <v>2</v>
      </c>
      <c r="X1109" s="5"/>
      <c r="Y1109" s="5">
        <v>1.17</v>
      </c>
      <c r="Z1109" s="6"/>
      <c r="AA1109" s="6">
        <v>1000</v>
      </c>
      <c r="AB1109" s="4" t="s">
        <v>13</v>
      </c>
    </row>
    <row r="1110" spans="1:28" s="12" customFormat="1">
      <c r="A1110" s="9" t="s">
        <v>1157</v>
      </c>
      <c r="B1110" s="9" t="s">
        <v>1742</v>
      </c>
      <c r="C1110" s="9" t="s">
        <v>1743</v>
      </c>
      <c r="D1110" s="7">
        <v>10</v>
      </c>
      <c r="E1110" s="9" t="s">
        <v>1224</v>
      </c>
      <c r="F1110" s="7" t="s">
        <v>1470</v>
      </c>
      <c r="G1110" s="7">
        <v>29.4</v>
      </c>
      <c r="H1110" s="9" t="s">
        <v>1225</v>
      </c>
      <c r="I1110" s="9" t="s">
        <v>1226</v>
      </c>
      <c r="J1110" s="7">
        <v>2</v>
      </c>
      <c r="K1110" s="7">
        <v>857.40989999999999</v>
      </c>
      <c r="L1110" s="7"/>
      <c r="M1110" s="7" t="str">
        <f>HYPERLINK("http://ms.phosphosite.org:5080/cgi-bin/plot-msms.cgi?MassType=1&amp;NumAxis=1&amp;Mod10=184&amp;Pep=MFGSSRGGVRGGQDQF&amp;Dta=/var/www/html/dta/yong/23617.17795.2.dta&amp;Global_Mod=CS57.0215", "17795")</f>
        <v>17795</v>
      </c>
      <c r="N1110" s="10"/>
      <c r="O1110" s="10">
        <v>81.7</v>
      </c>
      <c r="P1110" s="10"/>
      <c r="Q1110" s="10">
        <v>3.2109999999999999</v>
      </c>
      <c r="R1110" s="10"/>
      <c r="S1110" s="10">
        <v>-1.8671</v>
      </c>
      <c r="T1110" s="10"/>
      <c r="U1110" s="10">
        <v>0.1298</v>
      </c>
      <c r="V1110" s="7"/>
      <c r="W1110" s="7">
        <v>15</v>
      </c>
      <c r="X1110" s="10"/>
      <c r="Y1110" s="10">
        <v>1.1399999999999999</v>
      </c>
      <c r="Z1110" s="11"/>
      <c r="AA1110" s="11">
        <v>31</v>
      </c>
      <c r="AB1110" s="7" t="s">
        <v>13</v>
      </c>
    </row>
    <row r="1111" spans="1:28" s="12" customFormat="1">
      <c r="A1111" s="18" t="s">
        <v>1157</v>
      </c>
      <c r="B1111" s="18" t="s">
        <v>1227</v>
      </c>
      <c r="C1111" s="18" t="s">
        <v>1227</v>
      </c>
      <c r="D1111" s="19" t="s">
        <v>1228</v>
      </c>
      <c r="E1111" s="18" t="s">
        <v>1229</v>
      </c>
      <c r="F1111" s="15" t="s">
        <v>1471</v>
      </c>
      <c r="G1111" s="19">
        <v>77.099999999999994</v>
      </c>
      <c r="H1111" s="18" t="s">
        <v>1230</v>
      </c>
      <c r="I1111" s="18" t="s">
        <v>1231</v>
      </c>
      <c r="J1111" s="19">
        <v>6</v>
      </c>
      <c r="K1111" s="19">
        <v>910.30920000000003</v>
      </c>
      <c r="L1111" s="19" t="str">
        <f>HYPERLINK("http://ms.phosphosite.org:5080/cgi-bin/plot-msms.cgi?MassType=1&amp;NumAxis=1&amp;Mod22=184&amp;Mod23=184&amp;Mod41=147&amp;Mod50=170&amp;Pep=ALLTGDGGRMVVTCMEQAGGWRRLVGAHTHLEGVLLLASAMVAHADHHLR&amp;Dta=/var/www/html/dta/yong/23616.24921.6.dta&amp;Global_Mod=CS57.0215", "24921")</f>
        <v>24921</v>
      </c>
      <c r="M1111" s="19"/>
      <c r="N1111" s="20">
        <v>111.84</v>
      </c>
      <c r="O1111" s="20"/>
      <c r="P1111" s="20">
        <v>3.5640000000000001</v>
      </c>
      <c r="Q1111" s="20"/>
      <c r="R1111" s="20">
        <v>-6.9951999999999996</v>
      </c>
      <c r="S1111" s="20"/>
      <c r="T1111" s="20">
        <v>0.25929999999999997</v>
      </c>
      <c r="U1111" s="20"/>
      <c r="V1111" s="19">
        <v>2</v>
      </c>
      <c r="W1111" s="19"/>
      <c r="X1111" s="20">
        <v>1.22</v>
      </c>
      <c r="Y1111" s="20"/>
      <c r="Z1111" s="21" t="s">
        <v>1307</v>
      </c>
      <c r="AA1111" s="21"/>
      <c r="AB1111" s="19" t="s">
        <v>13</v>
      </c>
    </row>
    <row r="1112" spans="1:28" s="13" customFormat="1">
      <c r="A1112" s="13" t="s">
        <v>1157</v>
      </c>
      <c r="B1112" s="13" t="s">
        <v>1232</v>
      </c>
      <c r="C1112" s="13" t="s">
        <v>1232</v>
      </c>
      <c r="D1112" s="15">
        <v>60</v>
      </c>
      <c r="E1112" s="13" t="s">
        <v>1233</v>
      </c>
      <c r="F1112" s="15" t="s">
        <v>1472</v>
      </c>
      <c r="G1112" s="15">
        <v>12.3</v>
      </c>
      <c r="H1112" s="13" t="s">
        <v>1234</v>
      </c>
      <c r="I1112" s="13" t="s">
        <v>1235</v>
      </c>
      <c r="J1112" s="15">
        <v>4</v>
      </c>
      <c r="K1112" s="15">
        <v>494.25040000000001</v>
      </c>
      <c r="L1112" s="15" t="str">
        <f>HYPERLINK("http://ms.phosphosite.org:5080/cgi-bin/plot-msms.cgi?MassType=1&amp;NumAxis=1&amp;Mod10=184&amp;Mod16=170&amp;Pep=MPYMTREQERGHAAVR&amp;Dta=/var/www/html/dta/yong/23616.13193.4.dta&amp;Global_Mod=CS57.0215", "13193")</f>
        <v>13193</v>
      </c>
      <c r="M1112" s="15"/>
      <c r="N1112" s="16">
        <v>62.78</v>
      </c>
      <c r="O1112" s="16"/>
      <c r="P1112" s="16">
        <v>2.4089999999999998</v>
      </c>
      <c r="Q1112" s="16"/>
      <c r="R1112" s="16">
        <v>-0.2412</v>
      </c>
      <c r="S1112" s="16"/>
      <c r="T1112" s="16">
        <v>0.2046</v>
      </c>
      <c r="U1112" s="16"/>
      <c r="V1112" s="15">
        <v>394</v>
      </c>
      <c r="W1112" s="15"/>
      <c r="X1112" s="16">
        <v>1.25</v>
      </c>
      <c r="Y1112" s="16"/>
      <c r="Z1112" s="17" t="s">
        <v>1306</v>
      </c>
      <c r="AA1112" s="17"/>
      <c r="AB1112" s="15" t="s">
        <v>13</v>
      </c>
    </row>
    <row r="1113" spans="1:28" s="13" customFormat="1">
      <c r="A1113" s="9" t="s">
        <v>1157</v>
      </c>
      <c r="B1113" s="9" t="s">
        <v>1236</v>
      </c>
      <c r="C1113" s="9" t="s">
        <v>1236</v>
      </c>
      <c r="D1113" s="7">
        <v>106</v>
      </c>
      <c r="E1113" s="9" t="s">
        <v>1237</v>
      </c>
      <c r="F1113" s="7" t="s">
        <v>1498</v>
      </c>
      <c r="G1113" s="7">
        <v>13</v>
      </c>
      <c r="H1113" s="9" t="s">
        <v>1238</v>
      </c>
      <c r="I1113" s="9" t="s">
        <v>1239</v>
      </c>
      <c r="J1113" s="7">
        <v>2</v>
      </c>
      <c r="K1113" s="7">
        <v>810.18460000000005</v>
      </c>
      <c r="L1113" s="7"/>
      <c r="M1113" s="7" t="str">
        <f>HYPERLINK("http://ms.phosphosite.org:5080/cgi-bin/plot-msms.cgi?MassType=1&amp;NumAxis=1&amp;Mod8=184&amp;Pep=LIAVAGTRBFWGQGT&amp;Dta=/var/www/html/dta/yong/23617.27330.2.dta&amp;Global_Mod=CS57.0215", "27330")</f>
        <v>27330</v>
      </c>
      <c r="N1113" s="10"/>
      <c r="O1113" s="10">
        <v>121.78</v>
      </c>
      <c r="P1113" s="10"/>
      <c r="Q1113" s="10">
        <v>1.0649999999999999</v>
      </c>
      <c r="R1113" s="10"/>
      <c r="S1113" s="10">
        <v>17.7011</v>
      </c>
      <c r="T1113" s="10"/>
      <c r="U1113" s="10">
        <v>0.64480000000000004</v>
      </c>
      <c r="V1113" s="7"/>
      <c r="W1113" s="7">
        <v>1</v>
      </c>
      <c r="X1113" s="10"/>
      <c r="Y1113" s="10">
        <v>2.8</v>
      </c>
      <c r="Z1113" s="11"/>
      <c r="AA1113" s="11">
        <v>1000</v>
      </c>
      <c r="AB1113" s="7" t="s">
        <v>13</v>
      </c>
    </row>
    <row r="1114" spans="1:28" s="13" customFormat="1">
      <c r="A1114" s="9" t="s">
        <v>1157</v>
      </c>
      <c r="B1114" s="9" t="s">
        <v>1744</v>
      </c>
      <c r="C1114" s="9" t="s">
        <v>1745</v>
      </c>
      <c r="D1114" s="7">
        <v>247</v>
      </c>
      <c r="E1114" s="9" t="s">
        <v>1240</v>
      </c>
      <c r="F1114" s="7" t="s">
        <v>1473</v>
      </c>
      <c r="G1114" s="7">
        <v>228.7</v>
      </c>
      <c r="H1114" s="9" t="s">
        <v>1241</v>
      </c>
      <c r="I1114" s="9" t="s">
        <v>1242</v>
      </c>
      <c r="J1114" s="7">
        <v>2</v>
      </c>
      <c r="K1114" s="7">
        <v>915.4538</v>
      </c>
      <c r="L1114" s="7" t="str">
        <f>HYPERLINK("http://ms.phosphosite.org:5080/cgi-bin/plot-msms.cgi?MassType=1&amp;NumAxis=1&amp;Mod15=184&amp;Mod17=147&amp;Pep=GGLQPSGPPQFPPYRGM&amp;Dta=/var/www/html/dta/yong/23616.14710.2.dta&amp;Global_Mod=CS57.0215", "14710")</f>
        <v>14710</v>
      </c>
      <c r="M1114" s="7" t="str">
        <f>HYPERLINK("http://ms.phosphosite.org:5080/cgi-bin/plot-msms.cgi?MassType=1&amp;NumAxis=1&amp;Mod15=184&amp;Mod17=147&amp;Pep=GGLQPSGPPQFPPYRGM&amp;Dta=/var/www/html/dta/yong/23617.14868.2.dta&amp;Global_Mod=CS57.0215", "14868")</f>
        <v>14868</v>
      </c>
      <c r="N1114" s="10">
        <v>69.47</v>
      </c>
      <c r="O1114" s="10">
        <v>69.42</v>
      </c>
      <c r="P1114" s="10">
        <v>2.371</v>
      </c>
      <c r="Q1114" s="10">
        <v>2.7610000000000001</v>
      </c>
      <c r="R1114" s="10">
        <v>0.41170000000000001</v>
      </c>
      <c r="S1114" s="10">
        <v>0.47599999999999998</v>
      </c>
      <c r="T1114" s="10">
        <v>4.7E-2</v>
      </c>
      <c r="U1114" s="10">
        <v>0.23719999999999999</v>
      </c>
      <c r="V1114" s="7">
        <v>4</v>
      </c>
      <c r="W1114" s="7">
        <v>3</v>
      </c>
      <c r="X1114" s="10">
        <v>1.36</v>
      </c>
      <c r="Y1114" s="10">
        <v>2.69</v>
      </c>
      <c r="Z1114" s="11">
        <v>1000</v>
      </c>
      <c r="AA1114" s="11">
        <v>1000</v>
      </c>
      <c r="AB1114" s="7" t="s">
        <v>13</v>
      </c>
    </row>
    <row r="1115" spans="1:28" s="12" customFormat="1">
      <c r="A1115" s="9" t="s">
        <v>1157</v>
      </c>
      <c r="B1115" s="9" t="s">
        <v>1744</v>
      </c>
      <c r="C1115" s="9" t="s">
        <v>1745</v>
      </c>
      <c r="D1115" s="7">
        <v>247</v>
      </c>
      <c r="E1115" s="9" t="s">
        <v>1240</v>
      </c>
      <c r="F1115" s="7" t="s">
        <v>1473</v>
      </c>
      <c r="G1115" s="7">
        <v>228.7</v>
      </c>
      <c r="H1115" s="9" t="s">
        <v>1241</v>
      </c>
      <c r="I1115" s="9" t="s">
        <v>1242</v>
      </c>
      <c r="J1115" s="7">
        <v>2</v>
      </c>
      <c r="K1115" s="7">
        <v>915.4538</v>
      </c>
      <c r="L1115" s="7" t="str">
        <f>HYPERLINK("http://ms.phosphosite.org:5080/cgi-bin/plot-msms.cgi?MassType=1&amp;NumAxis=1&amp;Mod15=184&amp;Mod17=147&amp;Pep=GGLQPSGPPQFPPYRGM&amp;Dta=/var/www/html/dta/yong/23616.14872.2.dta&amp;Global_Mod=CS57.0215", "14872")</f>
        <v>14872</v>
      </c>
      <c r="M1115" s="7" t="str">
        <f>HYPERLINK("http://ms.phosphosite.org:5080/cgi-bin/plot-msms.cgi?MassType=1&amp;NumAxis=1&amp;Mod15=184&amp;Mod17=147&amp;Pep=GGLQPSGPPQFPPYRGM&amp;Dta=/var/www/html/dta/yong/23617.15049.2.dta&amp;Global_Mod=CS57.0215", "15049")</f>
        <v>15049</v>
      </c>
      <c r="N1115" s="10">
        <v>70.17</v>
      </c>
      <c r="O1115" s="10">
        <v>70.150000000000006</v>
      </c>
      <c r="P1115" s="10">
        <v>2.7189999999999999</v>
      </c>
      <c r="Q1115" s="10">
        <v>2.234</v>
      </c>
      <c r="R1115" s="10">
        <v>1.3048</v>
      </c>
      <c r="S1115" s="10">
        <v>0.64890000000000003</v>
      </c>
      <c r="T1115" s="10">
        <v>0.13239999999999999</v>
      </c>
      <c r="U1115" s="10">
        <v>8.14E-2</v>
      </c>
      <c r="V1115" s="7">
        <v>6</v>
      </c>
      <c r="W1115" s="7">
        <v>20</v>
      </c>
      <c r="X1115" s="10">
        <v>1.91</v>
      </c>
      <c r="Y1115" s="10">
        <v>1.63</v>
      </c>
      <c r="Z1115" s="11">
        <v>1000</v>
      </c>
      <c r="AA1115" s="11">
        <v>1000</v>
      </c>
      <c r="AB1115" s="7" t="s">
        <v>13</v>
      </c>
    </row>
    <row r="1116" spans="1:28" s="12" customFormat="1">
      <c r="A1116" s="9" t="s">
        <v>1157</v>
      </c>
      <c r="B1116" s="9" t="s">
        <v>1744</v>
      </c>
      <c r="C1116" s="9" t="s">
        <v>1745</v>
      </c>
      <c r="D1116" s="7">
        <v>247</v>
      </c>
      <c r="E1116" s="9" t="s">
        <v>1240</v>
      </c>
      <c r="F1116" s="7" t="s">
        <v>1473</v>
      </c>
      <c r="G1116" s="7">
        <v>228.7</v>
      </c>
      <c r="H1116" s="9" t="s">
        <v>1241</v>
      </c>
      <c r="I1116" s="9" t="s">
        <v>1242</v>
      </c>
      <c r="J1116" s="7">
        <v>2</v>
      </c>
      <c r="K1116" s="7">
        <v>915.4538</v>
      </c>
      <c r="L1116" s="7" t="str">
        <f>HYPERLINK("http://ms.phosphosite.org:5080/cgi-bin/plot-msms.cgi?MassType=1&amp;NumAxis=1&amp;Mod15=184&amp;Mod17=147&amp;Pep=GGLQPSGPPQFPPYRGM&amp;Dta=/var/www/html/dta/yong/23616.15030.2.dta&amp;Global_Mod=CS57.0215", "15030")</f>
        <v>15030</v>
      </c>
      <c r="M1116" s="7" t="str">
        <f>HYPERLINK("http://ms.phosphosite.org:5080/cgi-bin/plot-msms.cgi?MassType=1&amp;NumAxis=1&amp;Mod15=184&amp;Mod17=147&amp;Pep=GGLQPSGPPQFPPYRGM&amp;Dta=/var/www/html/dta/yong/23617.15740.2.dta&amp;Global_Mod=CS57.0215", "15740")</f>
        <v>15740</v>
      </c>
      <c r="N1116" s="10">
        <v>70.86</v>
      </c>
      <c r="O1116" s="10">
        <v>73.010000000000005</v>
      </c>
      <c r="P1116" s="10">
        <v>2.8149999999999999</v>
      </c>
      <c r="Q1116" s="10">
        <v>2.74</v>
      </c>
      <c r="R1116" s="10">
        <v>1.6678999999999999</v>
      </c>
      <c r="S1116" s="10">
        <v>0.76590000000000003</v>
      </c>
      <c r="T1116" s="10">
        <v>0.2336</v>
      </c>
      <c r="U1116" s="10">
        <v>0.114</v>
      </c>
      <c r="V1116" s="7">
        <v>2</v>
      </c>
      <c r="W1116" s="7">
        <v>10</v>
      </c>
      <c r="X1116" s="10">
        <v>2.4900000000000002</v>
      </c>
      <c r="Y1116" s="10">
        <v>1.97</v>
      </c>
      <c r="Z1116" s="11">
        <v>1000</v>
      </c>
      <c r="AA1116" s="11">
        <v>1000</v>
      </c>
      <c r="AB1116" s="7" t="s">
        <v>13</v>
      </c>
    </row>
    <row r="1117" spans="1:28" s="12" customFormat="1">
      <c r="A1117" s="9" t="s">
        <v>1157</v>
      </c>
      <c r="B1117" s="9" t="s">
        <v>1744</v>
      </c>
      <c r="C1117" s="9" t="s">
        <v>1745</v>
      </c>
      <c r="D1117" s="7">
        <v>247</v>
      </c>
      <c r="E1117" s="9" t="s">
        <v>1240</v>
      </c>
      <c r="F1117" s="7" t="s">
        <v>1473</v>
      </c>
      <c r="G1117" s="7">
        <v>228.7</v>
      </c>
      <c r="H1117" s="9" t="s">
        <v>1241</v>
      </c>
      <c r="I1117" s="9" t="s">
        <v>1242</v>
      </c>
      <c r="J1117" s="7">
        <v>2</v>
      </c>
      <c r="K1117" s="7">
        <v>915.4538</v>
      </c>
      <c r="L1117" s="7" t="str">
        <f>HYPERLINK("http://ms.phosphosite.org:5080/cgi-bin/plot-msms.cgi?MassType=1&amp;NumAxis=1&amp;Mod15=184&amp;Mod17=147&amp;Pep=GGLQPSGPPQFPPYRGM&amp;Dta=/var/www/html/dta/yong/23616.15406.2.dta&amp;Global_Mod=CS57.0215", "15406")</f>
        <v>15406</v>
      </c>
      <c r="M1117" s="7" t="str">
        <f>HYPERLINK("http://ms.phosphosite.org:5080/cgi-bin/plot-msms.cgi?MassType=1&amp;NumAxis=1&amp;Mod15=184&amp;Mod17=147&amp;Pep=GGLQPSGPPQFPPYRGM&amp;Dta=/var/www/html/dta/yong/23617.15406.2.dta&amp;Global_Mod=CS57.0215", "15406")</f>
        <v>15406</v>
      </c>
      <c r="N1117" s="10">
        <v>72.42</v>
      </c>
      <c r="O1117" s="10">
        <v>71.66</v>
      </c>
      <c r="P1117" s="10">
        <v>2.5569999999999999</v>
      </c>
      <c r="Q1117" s="10">
        <v>2.7090000000000001</v>
      </c>
      <c r="R1117" s="10">
        <v>1.0138</v>
      </c>
      <c r="S1117" s="10">
        <v>2.206</v>
      </c>
      <c r="T1117" s="10">
        <v>8.72E-2</v>
      </c>
      <c r="U1117" s="10">
        <v>0.27460000000000001</v>
      </c>
      <c r="V1117" s="7">
        <v>2</v>
      </c>
      <c r="W1117" s="7">
        <v>5</v>
      </c>
      <c r="X1117" s="10">
        <v>1.62</v>
      </c>
      <c r="Y1117" s="10">
        <v>2.8</v>
      </c>
      <c r="Z1117" s="11">
        <v>1000</v>
      </c>
      <c r="AA1117" s="11">
        <v>1000</v>
      </c>
      <c r="AB1117" s="7" t="s">
        <v>13</v>
      </c>
    </row>
    <row r="1118" spans="1:28" s="12" customFormat="1">
      <c r="A1118" s="9" t="s">
        <v>1157</v>
      </c>
      <c r="B1118" s="9" t="s">
        <v>1744</v>
      </c>
      <c r="C1118" s="9" t="s">
        <v>1745</v>
      </c>
      <c r="D1118" s="7">
        <v>247</v>
      </c>
      <c r="E1118" s="9" t="s">
        <v>1240</v>
      </c>
      <c r="F1118" s="7" t="s">
        <v>1473</v>
      </c>
      <c r="G1118" s="7">
        <v>228.7</v>
      </c>
      <c r="H1118" s="9" t="s">
        <v>1241</v>
      </c>
      <c r="I1118" s="9" t="s">
        <v>1242</v>
      </c>
      <c r="J1118" s="7">
        <v>2</v>
      </c>
      <c r="K1118" s="7">
        <v>915.4538</v>
      </c>
      <c r="L1118" s="7" t="str">
        <f>HYPERLINK("http://ms.phosphosite.org:5080/cgi-bin/plot-msms.cgi?MassType=1&amp;NumAxis=1&amp;Mod15=184&amp;Mod17=147&amp;Pep=GGLQPSGPPQFPPYRGM&amp;Dta=/var/www/html/dta/yong/23616.15426.2.dta&amp;Global_Mod=CS57.0215", "15426")</f>
        <v>15426</v>
      </c>
      <c r="M1118" s="7" t="str">
        <f>HYPERLINK("http://ms.phosphosite.org:5080/cgi-bin/plot-msms.cgi?MassType=1&amp;NumAxis=1&amp;Mod15=184&amp;Mod17=147&amp;Pep=GGLQPSGPPQFPPYRGM&amp;Dta=/var/www/html/dta/yong/23617.15619.2.dta&amp;Global_Mod=CS57.0215", "15619")</f>
        <v>15619</v>
      </c>
      <c r="N1118" s="10">
        <v>72.5</v>
      </c>
      <c r="O1118" s="10">
        <v>72.510000000000005</v>
      </c>
      <c r="P1118" s="10">
        <v>2.9340000000000002</v>
      </c>
      <c r="Q1118" s="10">
        <v>2.2440000000000002</v>
      </c>
      <c r="R1118" s="10">
        <v>1.8338000000000001</v>
      </c>
      <c r="S1118" s="10">
        <v>1.0820000000000001</v>
      </c>
      <c r="T1118" s="10">
        <v>0.3145</v>
      </c>
      <c r="U1118" s="10">
        <v>0.26219999999999999</v>
      </c>
      <c r="V1118" s="7">
        <v>1</v>
      </c>
      <c r="W1118" s="7">
        <v>32</v>
      </c>
      <c r="X1118" s="10">
        <v>2.98</v>
      </c>
      <c r="Y1118" s="10">
        <v>2.63</v>
      </c>
      <c r="Z1118" s="11">
        <v>1000</v>
      </c>
      <c r="AA1118" s="11">
        <v>1000</v>
      </c>
      <c r="AB1118" s="7" t="s">
        <v>13</v>
      </c>
    </row>
    <row r="1119" spans="1:28" s="12" customFormat="1">
      <c r="A1119" s="9" t="s">
        <v>1157</v>
      </c>
      <c r="B1119" s="9" t="s">
        <v>1744</v>
      </c>
      <c r="C1119" s="9" t="s">
        <v>1745</v>
      </c>
      <c r="D1119" s="7">
        <v>247</v>
      </c>
      <c r="E1119" s="9" t="s">
        <v>1240</v>
      </c>
      <c r="F1119" s="7" t="s">
        <v>1473</v>
      </c>
      <c r="G1119" s="7">
        <v>228.7</v>
      </c>
      <c r="H1119" s="9" t="s">
        <v>1241</v>
      </c>
      <c r="I1119" s="9" t="s">
        <v>1242</v>
      </c>
      <c r="J1119" s="7">
        <v>2</v>
      </c>
      <c r="K1119" s="7">
        <v>915.4538</v>
      </c>
      <c r="L1119" s="7" t="str">
        <f>HYPERLINK("http://ms.phosphosite.org:5080/cgi-bin/plot-msms.cgi?MassType=1&amp;NumAxis=1&amp;Mod15=184&amp;Mod17=147&amp;Pep=GGLQPSGPPQFPPYRGM&amp;Dta=/var/www/html/dta/yong/23616.15588.2.dta&amp;Global_Mod=CS57.0215", "15588")</f>
        <v>15588</v>
      </c>
      <c r="M1119" s="7" t="str">
        <f>HYPERLINK("http://ms.phosphosite.org:5080/cgi-bin/plot-msms.cgi?MassType=1&amp;NumAxis=1&amp;Mod15=184&amp;Mod17=147&amp;Pep=GGLQPSGPPQFPPYRGM&amp;Dta=/var/www/html/dta/yong/23617.15224.2.dta&amp;Global_Mod=CS57.0215", "15224")</f>
        <v>15224</v>
      </c>
      <c r="N1119" s="10">
        <v>73.19</v>
      </c>
      <c r="O1119" s="10">
        <v>70.92</v>
      </c>
      <c r="P1119" s="10">
        <v>2.76</v>
      </c>
      <c r="Q1119" s="10">
        <v>2.2719999999999998</v>
      </c>
      <c r="R1119" s="10">
        <v>1.2927</v>
      </c>
      <c r="S1119" s="10">
        <v>0.82530000000000003</v>
      </c>
      <c r="T1119" s="10">
        <v>0.2354</v>
      </c>
      <c r="U1119" s="10">
        <v>0.17610000000000001</v>
      </c>
      <c r="V1119" s="7">
        <v>1</v>
      </c>
      <c r="W1119" s="7">
        <v>43</v>
      </c>
      <c r="X1119" s="10">
        <v>2.5</v>
      </c>
      <c r="Y1119" s="10">
        <v>2.16</v>
      </c>
      <c r="Z1119" s="11">
        <v>1000</v>
      </c>
      <c r="AA1119" s="11">
        <v>1000</v>
      </c>
      <c r="AB1119" s="7" t="s">
        <v>13</v>
      </c>
    </row>
    <row r="1120" spans="1:28" s="12" customFormat="1">
      <c r="A1120" s="9" t="s">
        <v>1157</v>
      </c>
      <c r="B1120" s="9" t="s">
        <v>1744</v>
      </c>
      <c r="C1120" s="9" t="s">
        <v>1745</v>
      </c>
      <c r="D1120" s="7">
        <v>247</v>
      </c>
      <c r="E1120" s="9" t="s">
        <v>1240</v>
      </c>
      <c r="F1120" s="7" t="s">
        <v>1473</v>
      </c>
      <c r="G1120" s="7">
        <v>228.7</v>
      </c>
      <c r="H1120" s="9" t="s">
        <v>1241</v>
      </c>
      <c r="I1120" s="9" t="s">
        <v>1243</v>
      </c>
      <c r="J1120" s="7">
        <v>4</v>
      </c>
      <c r="K1120" s="7">
        <v>1099.7741000000001</v>
      </c>
      <c r="L1120" s="7" t="str">
        <f>HYPERLINK("http://ms.phosphosite.org:5080/cgi-bin/plot-msms.cgi?MassType=1&amp;NumAxis=1&amp;Mod15=184&amp;Mod17=147&amp;Mod18=147&amp;Mod22=147&amp;Pep=GGLQPSGPPQFPPYRGMMPPFMYPPYLPFPPPYGPQGPY&amp;Dta=/var/www/html/dta/yong/23616.29889.4.dta&amp;Global_Mod=CS57.0215", "29889")</f>
        <v>29889</v>
      </c>
      <c r="M1120" s="7" t="str">
        <f>HYPERLINK("http://ms.phosphosite.org:5080/cgi-bin/plot-msms.cgi?MassType=1&amp;NumAxis=1&amp;Mod15=184&amp;Mod17=147&amp;Mod18=147&amp;Mod22=147&amp;Pep=GGLQPSGPPQFPPYRGMMPPFMYPPYLPFPPPYGPQGPY&amp;Dta=/var/www/html/dta/yong/23617.30773.4.dta&amp;Global_Mod=CS57.0215", "30773")</f>
        <v>30773</v>
      </c>
      <c r="N1120" s="10">
        <v>134.16999999999999</v>
      </c>
      <c r="O1120" s="10">
        <v>138.1</v>
      </c>
      <c r="P1120" s="10">
        <v>3.7349999999999999</v>
      </c>
      <c r="Q1120" s="10">
        <v>3.4359999999999999</v>
      </c>
      <c r="R1120" s="10">
        <v>1.3875999999999999</v>
      </c>
      <c r="S1120" s="10">
        <v>0.89449999999999996</v>
      </c>
      <c r="T1120" s="10">
        <v>0.1195</v>
      </c>
      <c r="U1120" s="10">
        <v>0.1154</v>
      </c>
      <c r="V1120" s="7">
        <v>1</v>
      </c>
      <c r="W1120" s="7">
        <v>15</v>
      </c>
      <c r="X1120" s="10">
        <v>1.95</v>
      </c>
      <c r="Y1120" s="10">
        <v>1.98</v>
      </c>
      <c r="Z1120" s="11">
        <v>1000</v>
      </c>
      <c r="AA1120" s="11">
        <v>1000</v>
      </c>
      <c r="AB1120" s="7" t="s">
        <v>13</v>
      </c>
    </row>
    <row r="1121" spans="1:28" s="12" customFormat="1">
      <c r="A1121" s="9" t="s">
        <v>1157</v>
      </c>
      <c r="B1121" s="9" t="s">
        <v>1744</v>
      </c>
      <c r="C1121" s="9" t="s">
        <v>1745</v>
      </c>
      <c r="D1121" s="7">
        <v>247</v>
      </c>
      <c r="E1121" s="9" t="s">
        <v>1240</v>
      </c>
      <c r="F1121" s="7" t="s">
        <v>1473</v>
      </c>
      <c r="G1121" s="7">
        <v>228.7</v>
      </c>
      <c r="H1121" s="9" t="s">
        <v>1241</v>
      </c>
      <c r="I1121" s="9" t="s">
        <v>1243</v>
      </c>
      <c r="J1121" s="7">
        <v>4</v>
      </c>
      <c r="K1121" s="7">
        <v>1099.7741000000001</v>
      </c>
      <c r="L1121" s="7" t="str">
        <f>HYPERLINK("http://ms.phosphosite.org:5080/cgi-bin/plot-msms.cgi?MassType=1&amp;NumAxis=1&amp;Mod15=184&amp;Mod17=147&amp;Mod18=147&amp;Mod22=147&amp;Pep=GGLQPSGPPQFPPYRGMMPPFMYPPYLPFPPPYGPQGPY&amp;Dta=/var/www/html/dta/yong/23616.29894.4.dta&amp;Global_Mod=CS57.0215", "29894")</f>
        <v>29894</v>
      </c>
      <c r="M1121" s="7" t="str">
        <f>HYPERLINK("http://ms.phosphosite.org:5080/cgi-bin/plot-msms.cgi?MassType=1&amp;NumAxis=1&amp;Mod15=184&amp;Mod17=147&amp;Mod18=147&amp;Mod22=147&amp;Pep=GGLQPSGPPQFPPYRGMMPPFMYPPYLPFPPPYGPQGPY&amp;Dta=/var/www/html/dta/yong/23617.31317.4.dta&amp;Global_Mod=CS57.0215", "31317")</f>
        <v>31317</v>
      </c>
      <c r="N1121" s="10">
        <v>134.19999999999999</v>
      </c>
      <c r="O1121" s="10">
        <v>140.69999999999999</v>
      </c>
      <c r="P1121" s="10">
        <v>3.1549999999999998</v>
      </c>
      <c r="Q1121" s="10">
        <v>3.5539999999999998</v>
      </c>
      <c r="R1121" s="10">
        <v>1.5711999999999999</v>
      </c>
      <c r="S1121" s="10">
        <v>2.3841999999999999</v>
      </c>
      <c r="T1121" s="10">
        <v>4.99E-2</v>
      </c>
      <c r="U1121" s="10">
        <v>7.6999999999999999E-2</v>
      </c>
      <c r="V1121" s="7">
        <v>1</v>
      </c>
      <c r="W1121" s="7">
        <v>8</v>
      </c>
      <c r="X1121" s="10">
        <v>1.38</v>
      </c>
      <c r="Y1121" s="10">
        <v>1.73</v>
      </c>
      <c r="Z1121" s="11">
        <v>1000</v>
      </c>
      <c r="AA1121" s="11">
        <v>1000</v>
      </c>
      <c r="AB1121" s="7" t="s">
        <v>13</v>
      </c>
    </row>
    <row r="1122" spans="1:28" s="12" customFormat="1">
      <c r="A1122" s="9" t="s">
        <v>1157</v>
      </c>
      <c r="B1122" s="9" t="s">
        <v>1744</v>
      </c>
      <c r="C1122" s="9" t="s">
        <v>1745</v>
      </c>
      <c r="D1122" s="7">
        <v>247</v>
      </c>
      <c r="E1122" s="9" t="s">
        <v>1240</v>
      </c>
      <c r="F1122" s="7" t="s">
        <v>1473</v>
      </c>
      <c r="G1122" s="7">
        <v>228.7</v>
      </c>
      <c r="H1122" s="9" t="s">
        <v>1241</v>
      </c>
      <c r="I1122" s="9" t="s">
        <v>1243</v>
      </c>
      <c r="J1122" s="7">
        <v>4</v>
      </c>
      <c r="K1122" s="7">
        <v>1099.7741000000001</v>
      </c>
      <c r="L1122" s="7" t="str">
        <f>HYPERLINK("http://ms.phosphosite.org:5080/cgi-bin/plot-msms.cgi?MassType=1&amp;NumAxis=1&amp;Mod15=184&amp;Mod17=147&amp;Mod18=147&amp;Mod22=147&amp;Pep=GGLQPSGPPQFPPYRGMMPPFMYPPYLPFPPPYGPQGPY&amp;Dta=/var/www/html/dta/yong/23616.30777.4.dta&amp;Global_Mod=CS57.0215", "30777")</f>
        <v>30777</v>
      </c>
      <c r="M1122" s="7" t="str">
        <f>HYPERLINK("http://ms.phosphosite.org:5080/cgi-bin/plot-msms.cgi?MassType=1&amp;NumAxis=1&amp;Mod15=184&amp;Mod17=147&amp;Mod18=147&amp;Mod22=147&amp;Pep=GGLQPSGPPQFPPYRGMMPPFMYPPYLPFPPPYGPQGPY&amp;Dta=/var/www/html/dta/yong/23617.30506.4.dta&amp;Global_Mod=CS57.0215", "30506")</f>
        <v>30506</v>
      </c>
      <c r="N1122" s="10">
        <v>138.35</v>
      </c>
      <c r="O1122" s="10">
        <v>136.79</v>
      </c>
      <c r="P1122" s="10">
        <v>3.5219999999999998</v>
      </c>
      <c r="Q1122" s="10">
        <v>3.577</v>
      </c>
      <c r="R1122" s="10">
        <v>1.2786999999999999</v>
      </c>
      <c r="S1122" s="10">
        <v>1.6693</v>
      </c>
      <c r="T1122" s="10">
        <v>0.22020000000000001</v>
      </c>
      <c r="U1122" s="10">
        <v>0.1658</v>
      </c>
      <c r="V1122" s="7">
        <v>1</v>
      </c>
      <c r="W1122" s="7">
        <v>1</v>
      </c>
      <c r="X1122" s="10">
        <v>2.46</v>
      </c>
      <c r="Y1122" s="10">
        <v>2.27</v>
      </c>
      <c r="Z1122" s="11">
        <v>1000</v>
      </c>
      <c r="AA1122" s="11">
        <v>1000</v>
      </c>
      <c r="AB1122" s="7" t="s">
        <v>13</v>
      </c>
    </row>
    <row r="1123" spans="1:28" s="12" customFormat="1">
      <c r="A1123" s="9" t="s">
        <v>1157</v>
      </c>
      <c r="B1123" s="9" t="s">
        <v>1744</v>
      </c>
      <c r="C1123" s="9" t="s">
        <v>1745</v>
      </c>
      <c r="D1123" s="7">
        <v>247</v>
      </c>
      <c r="E1123" s="9" t="s">
        <v>1240</v>
      </c>
      <c r="F1123" s="7" t="s">
        <v>1473</v>
      </c>
      <c r="G1123" s="7">
        <v>228.7</v>
      </c>
      <c r="H1123" s="9" t="s">
        <v>1241</v>
      </c>
      <c r="I1123" s="9" t="s">
        <v>1245</v>
      </c>
      <c r="J1123" s="7">
        <v>4</v>
      </c>
      <c r="K1123" s="7">
        <v>1095.7753</v>
      </c>
      <c r="L1123" s="7" t="str">
        <f>HYPERLINK("http://ms.phosphosite.org:5080/cgi-bin/plot-msms.cgi?MassType=1&amp;NumAxis=1&amp;Mod15=184&amp;Mod18=147&amp;Mod22=147&amp;Pep=GGLQPSGPPQFPPYRGMMPPFMYPPYLPFPPPYGPQGPY&amp;Dta=/var/www/html/dta/yong/23616.31470.4.dta&amp;Global_Mod=CS57.0215", "31470")</f>
        <v>31470</v>
      </c>
      <c r="M1123" s="7" t="str">
        <f>HYPERLINK("http://ms.phosphosite.org:5080/cgi-bin/plot-msms.cgi?MassType=1&amp;NumAxis=1&amp;Mod15=184&amp;Mod18=147&amp;Mod22=147&amp;Pep=GGLQPSGPPQFPPYRGMMPPFMYPPYLPFPPPYGPQGPY&amp;Dta=/var/www/html/dta/yong/23617.32033.4.dta&amp;Global_Mod=CS57.0215", "32033")</f>
        <v>32033</v>
      </c>
      <c r="N1123" s="10">
        <v>141.63</v>
      </c>
      <c r="O1123" s="10">
        <v>144.28</v>
      </c>
      <c r="P1123" s="10">
        <v>4.452</v>
      </c>
      <c r="Q1123" s="10">
        <v>3.98</v>
      </c>
      <c r="R1123" s="10">
        <v>2.3077000000000001</v>
      </c>
      <c r="S1123" s="10">
        <v>1.2149000000000001</v>
      </c>
      <c r="T1123" s="10">
        <v>0.14219999999999999</v>
      </c>
      <c r="U1123" s="10">
        <v>0.1593</v>
      </c>
      <c r="V1123" s="7">
        <v>1</v>
      </c>
      <c r="W1123" s="7">
        <v>6</v>
      </c>
      <c r="X1123" s="10">
        <v>2.2400000000000002</v>
      </c>
      <c r="Y1123" s="10">
        <v>2.38</v>
      </c>
      <c r="Z1123" s="11">
        <v>1000</v>
      </c>
      <c r="AA1123" s="11">
        <v>1000</v>
      </c>
      <c r="AB1123" s="7" t="s">
        <v>13</v>
      </c>
    </row>
    <row r="1124" spans="1:28" s="12" customFormat="1">
      <c r="A1124" s="9" t="s">
        <v>1157</v>
      </c>
      <c r="B1124" s="9" t="s">
        <v>1744</v>
      </c>
      <c r="C1124" s="9" t="s">
        <v>1745</v>
      </c>
      <c r="D1124" s="7">
        <v>247</v>
      </c>
      <c r="E1124" s="9" t="s">
        <v>1240</v>
      </c>
      <c r="F1124" s="7" t="s">
        <v>1473</v>
      </c>
      <c r="G1124" s="7">
        <v>228.7</v>
      </c>
      <c r="H1124" s="9" t="s">
        <v>1241</v>
      </c>
      <c r="I1124" s="9" t="s">
        <v>1245</v>
      </c>
      <c r="J1124" s="7">
        <v>4</v>
      </c>
      <c r="K1124" s="7">
        <v>1095.7753</v>
      </c>
      <c r="L1124" s="7" t="str">
        <f>HYPERLINK("http://ms.phosphosite.org:5080/cgi-bin/plot-msms.cgi?MassType=1&amp;NumAxis=1&amp;Mod15=184&amp;Mod18=147&amp;Mod22=147&amp;Pep=GGLQPSGPPQFPPYRGMMPPFMYPPYLPFPPPYGPQGPY&amp;Dta=/var/www/html/dta/yong/23616.31476.4.dta&amp;Global_Mod=CS57.0215", "31476")</f>
        <v>31476</v>
      </c>
      <c r="M1124" s="7"/>
      <c r="N1124" s="10">
        <v>141.66</v>
      </c>
      <c r="O1124" s="10"/>
      <c r="P1124" s="10">
        <v>3.5750000000000002</v>
      </c>
      <c r="Q1124" s="10"/>
      <c r="R1124" s="10">
        <v>1.9274</v>
      </c>
      <c r="S1124" s="10"/>
      <c r="T1124" s="10">
        <v>0.14000000000000001</v>
      </c>
      <c r="U1124" s="10"/>
      <c r="V1124" s="7">
        <v>1</v>
      </c>
      <c r="W1124" s="7"/>
      <c r="X1124" s="10">
        <v>1.99</v>
      </c>
      <c r="Y1124" s="10"/>
      <c r="Z1124" s="11">
        <v>1000</v>
      </c>
      <c r="AA1124" s="11"/>
      <c r="AB1124" s="7" t="s">
        <v>13</v>
      </c>
    </row>
    <row r="1125" spans="1:28" s="13" customFormat="1">
      <c r="A1125" s="9" t="s">
        <v>1157</v>
      </c>
      <c r="B1125" s="9" t="s">
        <v>1744</v>
      </c>
      <c r="C1125" s="9" t="s">
        <v>1745</v>
      </c>
      <c r="D1125" s="7">
        <v>247</v>
      </c>
      <c r="E1125" s="9" t="s">
        <v>1240</v>
      </c>
      <c r="F1125" s="7" t="s">
        <v>1473</v>
      </c>
      <c r="G1125" s="7">
        <v>228.7</v>
      </c>
      <c r="H1125" s="9" t="s">
        <v>1241</v>
      </c>
      <c r="I1125" s="9" t="s">
        <v>1244</v>
      </c>
      <c r="J1125" s="7">
        <v>4</v>
      </c>
      <c r="K1125" s="7">
        <v>1095.7753</v>
      </c>
      <c r="L1125" s="7" t="str">
        <f>HYPERLINK("http://ms.phosphosite.org:5080/cgi-bin/plot-msms.cgi?MassType=1&amp;NumAxis=1&amp;Mod15=184&amp;Mod17=147&amp;Mod22=147&amp;Pep=GGLQPSGPPQFPPYRGMMPPFMYPPYLPFPPPYGPQGPY&amp;Dta=/var/www/html/dta/yong/23616.32111.4.dta&amp;Global_Mod=CS57.0215", "32111")</f>
        <v>32111</v>
      </c>
      <c r="M1125" s="7" t="str">
        <f>HYPERLINK("http://ms.phosphosite.org:5080/cgi-bin/plot-msms.cgi?MassType=1&amp;NumAxis=1&amp;Mod15=184&amp;Mod17=147&amp;Mod22=147&amp;Pep=GGLQPSGPPQFPPYRGMMPPFMYPPYLPFPPPYGPQGPY&amp;Dta=/var/www/html/dta/yong/23617.31356.4.dta&amp;Global_Mod=CS57.0215", "31356")</f>
        <v>31356</v>
      </c>
      <c r="N1125" s="10">
        <v>144.82</v>
      </c>
      <c r="O1125" s="10">
        <v>140.9</v>
      </c>
      <c r="P1125" s="10">
        <v>3.706</v>
      </c>
      <c r="Q1125" s="10">
        <v>2.9750000000000001</v>
      </c>
      <c r="R1125" s="10">
        <v>2.13</v>
      </c>
      <c r="S1125" s="10">
        <v>1.7524</v>
      </c>
      <c r="T1125" s="10">
        <v>0.1593</v>
      </c>
      <c r="U1125" s="10">
        <v>3.5999999999999997E-2</v>
      </c>
      <c r="V1125" s="7">
        <v>2</v>
      </c>
      <c r="W1125" s="7">
        <v>10</v>
      </c>
      <c r="X1125" s="10">
        <v>2.13</v>
      </c>
      <c r="Y1125" s="10">
        <v>1.35</v>
      </c>
      <c r="Z1125" s="11">
        <v>1000</v>
      </c>
      <c r="AA1125" s="11">
        <v>1000</v>
      </c>
      <c r="AB1125" s="7" t="s">
        <v>13</v>
      </c>
    </row>
    <row r="1126" spans="1:28" s="12" customFormat="1">
      <c r="A1126" s="9" t="s">
        <v>1157</v>
      </c>
      <c r="B1126" s="9" t="s">
        <v>1744</v>
      </c>
      <c r="C1126" s="9" t="s">
        <v>1745</v>
      </c>
      <c r="D1126" s="7">
        <v>247</v>
      </c>
      <c r="E1126" s="9" t="s">
        <v>1240</v>
      </c>
      <c r="F1126" s="7" t="s">
        <v>1473</v>
      </c>
      <c r="G1126" s="7">
        <v>228.7</v>
      </c>
      <c r="H1126" s="9" t="s">
        <v>1241</v>
      </c>
      <c r="I1126" s="9" t="s">
        <v>1245</v>
      </c>
      <c r="J1126" s="7">
        <v>4</v>
      </c>
      <c r="K1126" s="7">
        <v>1095.7753</v>
      </c>
      <c r="L1126" s="7" t="str">
        <f>HYPERLINK("http://ms.phosphosite.org:5080/cgi-bin/plot-msms.cgi?MassType=1&amp;NumAxis=1&amp;Mod15=184&amp;Mod18=147&amp;Mod22=147&amp;Pep=GGLQPSGPPQFPPYRGMMPPFMYPPYLPFPPPYGPQGPY&amp;Dta=/var/www/html/dta/yong/23616.32314.4.dta&amp;Global_Mod=CS57.0215", "32314")</f>
        <v>32314</v>
      </c>
      <c r="M1126" s="7"/>
      <c r="N1126" s="10">
        <v>145.83000000000001</v>
      </c>
      <c r="O1126" s="10"/>
      <c r="P1126" s="10">
        <v>3.6859999999999999</v>
      </c>
      <c r="Q1126" s="10"/>
      <c r="R1126" s="10">
        <v>3.7029999999999998</v>
      </c>
      <c r="S1126" s="10"/>
      <c r="T1126" s="10">
        <v>2.5100000000000001E-2</v>
      </c>
      <c r="U1126" s="10"/>
      <c r="V1126" s="7">
        <v>8</v>
      </c>
      <c r="W1126" s="7"/>
      <c r="X1126" s="10">
        <v>1.28</v>
      </c>
      <c r="Y1126" s="10"/>
      <c r="Z1126" s="11">
        <v>1000</v>
      </c>
      <c r="AA1126" s="11"/>
      <c r="AB1126" s="7" t="s">
        <v>13</v>
      </c>
    </row>
    <row r="1127" spans="1:28">
      <c r="A1127" s="9" t="s">
        <v>1157</v>
      </c>
      <c r="B1127" s="9" t="s">
        <v>1744</v>
      </c>
      <c r="C1127" s="9" t="s">
        <v>1745</v>
      </c>
      <c r="D1127" s="7">
        <v>247</v>
      </c>
      <c r="E1127" s="9" t="s">
        <v>1240</v>
      </c>
      <c r="F1127" s="7" t="s">
        <v>1473</v>
      </c>
      <c r="G1127" s="7">
        <v>228.7</v>
      </c>
      <c r="H1127" s="9" t="s">
        <v>1241</v>
      </c>
      <c r="I1127" s="9" t="s">
        <v>1242</v>
      </c>
      <c r="J1127" s="7">
        <v>2</v>
      </c>
      <c r="K1127" s="7">
        <v>915.4538</v>
      </c>
      <c r="L1127" s="7"/>
      <c r="M1127" s="7" t="str">
        <f>HYPERLINK("http://ms.phosphosite.org:5080/cgi-bin/plot-msms.cgi?MassType=1&amp;NumAxis=1&amp;Mod15=184&amp;Mod17=147&amp;Pep=GGLQPSGPPQFPPYRGM&amp;Dta=/var/www/html/dta/yong/23617.15525.2.dta&amp;Global_Mod=CS57.0215", "15525")</f>
        <v>15525</v>
      </c>
      <c r="N1127" s="10"/>
      <c r="O1127" s="10">
        <v>72.13</v>
      </c>
      <c r="P1127" s="10"/>
      <c r="Q1127" s="10">
        <v>2.6349999999999998</v>
      </c>
      <c r="R1127" s="10"/>
      <c r="S1127" s="10">
        <v>1.5399</v>
      </c>
      <c r="T1127" s="10"/>
      <c r="U1127" s="10">
        <v>0.24110000000000001</v>
      </c>
      <c r="V1127" s="7"/>
      <c r="W1127" s="7">
        <v>11</v>
      </c>
      <c r="X1127" s="10"/>
      <c r="Y1127" s="10">
        <v>2.62</v>
      </c>
      <c r="Z1127" s="11"/>
      <c r="AA1127" s="11">
        <v>1000</v>
      </c>
      <c r="AB1127" s="7" t="s">
        <v>13</v>
      </c>
    </row>
    <row r="1128" spans="1:28">
      <c r="A1128" s="9" t="s">
        <v>1157</v>
      </c>
      <c r="B1128" s="9" t="s">
        <v>1744</v>
      </c>
      <c r="C1128" s="9" t="s">
        <v>1745</v>
      </c>
      <c r="D1128" s="7">
        <v>247</v>
      </c>
      <c r="E1128" s="9" t="s">
        <v>1240</v>
      </c>
      <c r="F1128" s="7" t="s">
        <v>1473</v>
      </c>
      <c r="G1128" s="7">
        <v>228.7</v>
      </c>
      <c r="H1128" s="9" t="s">
        <v>1241</v>
      </c>
      <c r="I1128" s="9" t="s">
        <v>1243</v>
      </c>
      <c r="J1128" s="7">
        <v>4</v>
      </c>
      <c r="K1128" s="7">
        <v>1099.7741000000001</v>
      </c>
      <c r="L1128" s="7"/>
      <c r="M1128" s="7" t="str">
        <f>HYPERLINK("http://ms.phosphosite.org:5080/cgi-bin/plot-msms.cgi?MassType=1&amp;NumAxis=1&amp;Mod15=184&amp;Mod17=147&amp;Mod18=147&amp;Mod22=147&amp;Pep=GGLQPSGPPQFPPYRGMMPPFMYPPYLPFPPPYGPQGPY&amp;Dta=/var/www/html/dta/yong/23617.29940.4.dta&amp;Global_Mod=CS57.0215", "29940")</f>
        <v>29940</v>
      </c>
      <c r="N1128" s="10"/>
      <c r="O1128" s="10">
        <v>134.13999999999999</v>
      </c>
      <c r="P1128" s="10"/>
      <c r="Q1128" s="10">
        <v>2.8650000000000002</v>
      </c>
      <c r="R1128" s="10"/>
      <c r="S1128" s="10">
        <v>1.3115000000000001</v>
      </c>
      <c r="T1128" s="10"/>
      <c r="U1128" s="10">
        <v>4.6199999999999998E-2</v>
      </c>
      <c r="V1128" s="7"/>
      <c r="W1128" s="7">
        <v>12</v>
      </c>
      <c r="X1128" s="10"/>
      <c r="Y1128" s="10">
        <v>1.39</v>
      </c>
      <c r="Z1128" s="11"/>
      <c r="AA1128" s="11">
        <v>1000</v>
      </c>
      <c r="AB1128" s="7" t="s">
        <v>13</v>
      </c>
    </row>
    <row r="1129" spans="1:28" s="18" customFormat="1">
      <c r="A1129" s="9" t="s">
        <v>1157</v>
      </c>
      <c r="B1129" s="9" t="s">
        <v>1744</v>
      </c>
      <c r="C1129" s="9" t="s">
        <v>1745</v>
      </c>
      <c r="D1129" s="7">
        <v>247</v>
      </c>
      <c r="E1129" s="9" t="s">
        <v>1240</v>
      </c>
      <c r="F1129" s="7" t="s">
        <v>1473</v>
      </c>
      <c r="G1129" s="7">
        <v>228.7</v>
      </c>
      <c r="H1129" s="9" t="s">
        <v>1241</v>
      </c>
      <c r="I1129" s="9" t="s">
        <v>1243</v>
      </c>
      <c r="J1129" s="7">
        <v>4</v>
      </c>
      <c r="K1129" s="7">
        <v>1099.7741000000001</v>
      </c>
      <c r="L1129" s="7"/>
      <c r="M1129" s="7" t="str">
        <f>HYPERLINK("http://ms.phosphosite.org:5080/cgi-bin/plot-msms.cgi?MassType=1&amp;NumAxis=1&amp;Mod15=184&amp;Mod17=147&amp;Mod18=147&amp;Mod22=147&amp;Pep=GGLQPSGPPQFPPYRGMMPPFMYPPYLPFPPPYGPQGPY&amp;Dta=/var/www/html/dta/yong/23617.30989.4.dta&amp;Global_Mod=CS57.0215", "30989")</f>
        <v>30989</v>
      </c>
      <c r="N1129" s="10"/>
      <c r="O1129" s="10">
        <v>139.15</v>
      </c>
      <c r="P1129" s="10"/>
      <c r="Q1129" s="10">
        <v>4.0759999999999996</v>
      </c>
      <c r="R1129" s="10"/>
      <c r="S1129" s="10">
        <v>1.3599000000000001</v>
      </c>
      <c r="T1129" s="10"/>
      <c r="U1129" s="10">
        <v>0.23649999999999999</v>
      </c>
      <c r="V1129" s="7"/>
      <c r="W1129" s="7">
        <v>7</v>
      </c>
      <c r="X1129" s="10"/>
      <c r="Y1129" s="10">
        <v>2.84</v>
      </c>
      <c r="Z1129" s="11"/>
      <c r="AA1129" s="11">
        <v>1000</v>
      </c>
      <c r="AB1129" s="7" t="s">
        <v>13</v>
      </c>
    </row>
    <row r="1130" spans="1:28" s="18" customFormat="1">
      <c r="A1130" s="9" t="s">
        <v>1157</v>
      </c>
      <c r="B1130" s="9" t="s">
        <v>1744</v>
      </c>
      <c r="C1130" s="9" t="s">
        <v>1745</v>
      </c>
      <c r="D1130" s="7">
        <v>247</v>
      </c>
      <c r="E1130" s="9" t="s">
        <v>1240</v>
      </c>
      <c r="F1130" s="7" t="s">
        <v>1473</v>
      </c>
      <c r="G1130" s="7">
        <v>228.7</v>
      </c>
      <c r="H1130" s="9" t="s">
        <v>1241</v>
      </c>
      <c r="I1130" s="9" t="s">
        <v>1244</v>
      </c>
      <c r="J1130" s="7">
        <v>4</v>
      </c>
      <c r="K1130" s="7">
        <v>1095.7753</v>
      </c>
      <c r="L1130" s="7"/>
      <c r="M1130" s="7" t="str">
        <f>HYPERLINK("http://ms.phosphosite.org:5080/cgi-bin/plot-msms.cgi?MassType=1&amp;NumAxis=1&amp;Mod15=184&amp;Mod17=147&amp;Mod22=147&amp;Pep=GGLQPSGPPQFPPYRGMMPPFMYPPYLPFPPPYGPQGPY&amp;Dta=/var/www/html/dta/yong/23617.32247.4.dta&amp;Global_Mod=CS57.0215", "32247")</f>
        <v>32247</v>
      </c>
      <c r="N1130" s="10"/>
      <c r="O1130" s="10">
        <v>145.36000000000001</v>
      </c>
      <c r="P1130" s="10"/>
      <c r="Q1130" s="10">
        <v>3.0379999999999998</v>
      </c>
      <c r="R1130" s="10"/>
      <c r="S1130" s="10">
        <v>2.9390000000000001</v>
      </c>
      <c r="T1130" s="10"/>
      <c r="U1130" s="10">
        <v>9.6299999999999997E-2</v>
      </c>
      <c r="V1130" s="7"/>
      <c r="W1130" s="7">
        <v>9</v>
      </c>
      <c r="X1130" s="10"/>
      <c r="Y1130" s="10">
        <v>1.65</v>
      </c>
      <c r="Z1130" s="11"/>
      <c r="AA1130" s="11">
        <v>1000</v>
      </c>
      <c r="AB1130" s="7" t="s">
        <v>13</v>
      </c>
    </row>
    <row r="1131" spans="1:28">
      <c r="A1131" s="18" t="s">
        <v>1157</v>
      </c>
      <c r="B1131" s="9" t="s">
        <v>1744</v>
      </c>
      <c r="C1131" s="9" t="s">
        <v>1745</v>
      </c>
      <c r="D1131" s="19"/>
      <c r="E1131" s="18" t="s">
        <v>1240</v>
      </c>
      <c r="F1131" s="15" t="s">
        <v>1473</v>
      </c>
      <c r="G1131" s="19">
        <v>228.7</v>
      </c>
      <c r="H1131" s="18"/>
      <c r="I1131" s="18" t="s">
        <v>1246</v>
      </c>
      <c r="J1131" s="19">
        <v>2</v>
      </c>
      <c r="K1131" s="19">
        <v>806.41750000000002</v>
      </c>
      <c r="L1131" s="19" t="str">
        <f>HYPERLINK("http://ms.phosphosite.org:5080/cgi-bin/plot-msms.cgi?MassType=1&amp;NumAxis=1&amp;Mod15=170&amp;Pep=GGLQPSGPPQFPPYR&amp;Dta=/var/www/html/dta/yong/23616.14763.2.dta&amp;Global_Mod=CS57.0215", "14763")</f>
        <v>14763</v>
      </c>
      <c r="M1131" s="19" t="str">
        <f>HYPERLINK("http://ms.phosphosite.org:5080/cgi-bin/plot-msms.cgi?MassType=1&amp;NumAxis=1&amp;Mod15=170&amp;Pep=GGLQPSGPPQFPPYR&amp;Dta=/var/www/html/dta/yong/23617.15303.2.dta&amp;Global_Mod=CS57.0215", "15303")</f>
        <v>15303</v>
      </c>
      <c r="N1131" s="20">
        <v>69.7</v>
      </c>
      <c r="O1131" s="20">
        <v>71.22</v>
      </c>
      <c r="P1131" s="20">
        <v>2.7639999999999998</v>
      </c>
      <c r="Q1131" s="20">
        <v>2.282</v>
      </c>
      <c r="R1131" s="20">
        <v>0.8619</v>
      </c>
      <c r="S1131" s="20">
        <v>0.77170000000000005</v>
      </c>
      <c r="T1131" s="20">
        <v>0.29289999999999999</v>
      </c>
      <c r="U1131" s="20">
        <v>0.1699</v>
      </c>
      <c r="V1131" s="19">
        <v>1</v>
      </c>
      <c r="W1131" s="19">
        <v>1</v>
      </c>
      <c r="X1131" s="20">
        <v>3.05</v>
      </c>
      <c r="Y1131" s="20">
        <v>2.35</v>
      </c>
      <c r="Z1131" s="21">
        <v>1000</v>
      </c>
      <c r="AA1131" s="21">
        <v>1000</v>
      </c>
      <c r="AB1131" s="19" t="s">
        <v>13</v>
      </c>
    </row>
    <row r="1132" spans="1:28" s="18" customFormat="1">
      <c r="A1132" s="18" t="s">
        <v>1157</v>
      </c>
      <c r="B1132" s="9" t="s">
        <v>1744</v>
      </c>
      <c r="C1132" s="9" t="s">
        <v>1745</v>
      </c>
      <c r="D1132" s="19"/>
      <c r="E1132" s="18" t="s">
        <v>1240</v>
      </c>
      <c r="F1132" s="15" t="s">
        <v>1473</v>
      </c>
      <c r="G1132" s="19">
        <v>228.7</v>
      </c>
      <c r="I1132" s="18" t="s">
        <v>1246</v>
      </c>
      <c r="J1132" s="19">
        <v>2</v>
      </c>
      <c r="K1132" s="19">
        <v>806.41750000000002</v>
      </c>
      <c r="L1132" s="19" t="str">
        <f>HYPERLINK("http://ms.phosphosite.org:5080/cgi-bin/plot-msms.cgi?MassType=1&amp;NumAxis=1&amp;Mod15=170&amp;Pep=GGLQPSGPPQFPPYR&amp;Dta=/var/www/html/dta/yong/23616.14780.2.dta&amp;Global_Mod=CS57.0215", "14780")</f>
        <v>14780</v>
      </c>
      <c r="M1132" s="19" t="str">
        <f>HYPERLINK("http://ms.phosphosite.org:5080/cgi-bin/plot-msms.cgi?MassType=1&amp;NumAxis=1&amp;Mod15=170&amp;Pep=GGLQPSGPPQFPPYR&amp;Dta=/var/www/html/dta/yong/23617.15397.2.dta&amp;Global_Mod=CS57.0215", "15397")</f>
        <v>15397</v>
      </c>
      <c r="N1132" s="20">
        <v>69.78</v>
      </c>
      <c r="O1132" s="20">
        <v>71.62</v>
      </c>
      <c r="P1132" s="20">
        <v>3.08</v>
      </c>
      <c r="Q1132" s="20">
        <v>2.3140000000000001</v>
      </c>
      <c r="R1132" s="20">
        <v>1.9437</v>
      </c>
      <c r="S1132" s="20">
        <v>0.6482</v>
      </c>
      <c r="T1132" s="20">
        <v>0.15640000000000001</v>
      </c>
      <c r="U1132" s="20">
        <v>0.20680000000000001</v>
      </c>
      <c r="V1132" s="19">
        <v>1</v>
      </c>
      <c r="W1132" s="19">
        <v>1</v>
      </c>
      <c r="X1132" s="20">
        <v>2.31</v>
      </c>
      <c r="Y1132" s="20">
        <v>2.57</v>
      </c>
      <c r="Z1132" s="21">
        <v>1000</v>
      </c>
      <c r="AA1132" s="21">
        <v>1000</v>
      </c>
      <c r="AB1132" s="19" t="s">
        <v>13</v>
      </c>
    </row>
    <row r="1133" spans="1:28">
      <c r="A1133" s="18" t="s">
        <v>1157</v>
      </c>
      <c r="B1133" s="9" t="s">
        <v>1744</v>
      </c>
      <c r="C1133" s="9" t="s">
        <v>1745</v>
      </c>
      <c r="D1133" s="19"/>
      <c r="E1133" s="18" t="s">
        <v>1240</v>
      </c>
      <c r="F1133" s="15" t="s">
        <v>1473</v>
      </c>
      <c r="G1133" s="19">
        <v>228.7</v>
      </c>
      <c r="H1133" s="18"/>
      <c r="I1133" s="18" t="s">
        <v>1246</v>
      </c>
      <c r="J1133" s="19">
        <v>2</v>
      </c>
      <c r="K1133" s="19">
        <v>806.41750000000002</v>
      </c>
      <c r="L1133" s="19" t="str">
        <f>HYPERLINK("http://ms.phosphosite.org:5080/cgi-bin/plot-msms.cgi?MassType=1&amp;NumAxis=1&amp;Mod15=170&amp;Pep=GGLQPSGPPQFPPYR&amp;Dta=/var/www/html/dta/yong/23616.15296.2.dta&amp;Global_Mod=CS57.0215", "15296")</f>
        <v>15296</v>
      </c>
      <c r="M1133" s="19" t="str">
        <f>HYPERLINK("http://ms.phosphosite.org:5080/cgi-bin/plot-msms.cgi?MassType=1&amp;NumAxis=1&amp;Mod15=170&amp;Pep=GGLQPSGPPQFPPYR&amp;Dta=/var/www/html/dta/yong/23617.14988.2.dta&amp;Global_Mod=CS57.0215", "14988")</f>
        <v>14988</v>
      </c>
      <c r="N1133" s="20">
        <v>71.989999999999995</v>
      </c>
      <c r="O1133" s="20">
        <v>69.91</v>
      </c>
      <c r="P1133" s="20">
        <v>2.794</v>
      </c>
      <c r="Q1133" s="20">
        <v>2.6040000000000001</v>
      </c>
      <c r="R1133" s="20">
        <v>-1.4873000000000001</v>
      </c>
      <c r="S1133" s="20">
        <v>1.4256</v>
      </c>
      <c r="T1133" s="20">
        <v>0.30509999999999998</v>
      </c>
      <c r="U1133" s="20">
        <v>0.2283</v>
      </c>
      <c r="V1133" s="19">
        <v>1</v>
      </c>
      <c r="W1133" s="19">
        <v>1</v>
      </c>
      <c r="X1133" s="20">
        <v>3.05</v>
      </c>
      <c r="Y1133" s="20">
        <v>2.74</v>
      </c>
      <c r="Z1133" s="21">
        <v>1000</v>
      </c>
      <c r="AA1133" s="21">
        <v>1000</v>
      </c>
      <c r="AB1133" s="19" t="s">
        <v>13</v>
      </c>
    </row>
    <row r="1134" spans="1:28">
      <c r="A1134" s="18" t="s">
        <v>1157</v>
      </c>
      <c r="B1134" s="9" t="s">
        <v>1744</v>
      </c>
      <c r="C1134" s="9" t="s">
        <v>1745</v>
      </c>
      <c r="D1134" s="19"/>
      <c r="E1134" s="18" t="s">
        <v>1240</v>
      </c>
      <c r="F1134" s="15" t="s">
        <v>1473</v>
      </c>
      <c r="G1134" s="19">
        <v>228.7</v>
      </c>
      <c r="H1134" s="18"/>
      <c r="I1134" s="18" t="s">
        <v>1247</v>
      </c>
      <c r="J1134" s="19">
        <v>3</v>
      </c>
      <c r="K1134" s="19">
        <v>1461.3578</v>
      </c>
      <c r="L1134" s="19"/>
      <c r="M1134" s="19" t="str">
        <f>HYPERLINK("http://ms.phosphosite.org:5080/cgi-bin/plot-msms.cgi?MassType=1&amp;NumAxis=1&amp;Mod15=170&amp;Mod17=147&amp;Mod18=147&amp;Mod22=147&amp;Pep=GGLQPSGPPQFPPYRGMMPPFMYPPYLPFPPPYGPQGPY&amp;Dta=/var/www/html/dta/yong/23617.31543.3.dta&amp;Global_Mod=CS57.0215", "31543")</f>
        <v>31543</v>
      </c>
      <c r="N1134" s="20"/>
      <c r="O1134" s="20">
        <v>141.81</v>
      </c>
      <c r="P1134" s="20"/>
      <c r="Q1134" s="20">
        <v>2.6110000000000002</v>
      </c>
      <c r="R1134" s="20"/>
      <c r="S1134" s="20">
        <v>9.2766000000000002</v>
      </c>
      <c r="T1134" s="20"/>
      <c r="U1134" s="20">
        <v>0.1653</v>
      </c>
      <c r="V1134" s="19"/>
      <c r="W1134" s="19">
        <v>15</v>
      </c>
      <c r="X1134" s="20"/>
      <c r="Y1134" s="20">
        <v>1.59</v>
      </c>
      <c r="Z1134" s="21"/>
      <c r="AA1134" s="21">
        <v>1000</v>
      </c>
      <c r="AB1134" s="19" t="s">
        <v>13</v>
      </c>
    </row>
    <row r="1135" spans="1:28">
      <c r="A1135" s="13" t="s">
        <v>1157</v>
      </c>
      <c r="B1135" s="13" t="s">
        <v>1746</v>
      </c>
      <c r="C1135" s="13" t="s">
        <v>1747</v>
      </c>
      <c r="D1135" s="15"/>
      <c r="E1135" s="13" t="s">
        <v>1248</v>
      </c>
      <c r="F1135" s="15" t="s">
        <v>1474</v>
      </c>
      <c r="G1135" s="15">
        <v>316.7</v>
      </c>
      <c r="H1135" s="13"/>
      <c r="I1135" s="13" t="s">
        <v>1249</v>
      </c>
      <c r="J1135" s="15">
        <v>2</v>
      </c>
      <c r="K1135" s="15">
        <v>717.37840000000006</v>
      </c>
      <c r="L1135" s="15" t="str">
        <f>HYPERLINK("http://ms.phosphosite.org:5080/cgi-bin/plot-msms.cgi?MassType=1&amp;NumAxis=1&amp;Mod13=170&amp;Pep=LNGQQAALASQYR&amp;Dta=/var/www/html/dta/yong/23616.9585.2.dta&amp;Global_Mod=CS57.0215", "9585")</f>
        <v>9585</v>
      </c>
      <c r="M1135" s="15"/>
      <c r="N1135" s="16">
        <v>47.37</v>
      </c>
      <c r="O1135" s="16"/>
      <c r="P1135" s="16">
        <v>2.9529999999999998</v>
      </c>
      <c r="Q1135" s="16"/>
      <c r="R1135" s="16">
        <v>-14.8079</v>
      </c>
      <c r="S1135" s="16"/>
      <c r="T1135" s="16">
        <v>0.4153</v>
      </c>
      <c r="U1135" s="16"/>
      <c r="V1135" s="15">
        <v>1</v>
      </c>
      <c r="W1135" s="15"/>
      <c r="X1135" s="16">
        <v>2.41</v>
      </c>
      <c r="Y1135" s="16"/>
      <c r="Z1135" s="17">
        <v>1000</v>
      </c>
      <c r="AA1135" s="17"/>
      <c r="AB1135" s="15" t="s">
        <v>13</v>
      </c>
    </row>
    <row r="1136" spans="1:28">
      <c r="A1136" s="9" t="s">
        <v>1157</v>
      </c>
      <c r="B1136" s="9" t="s">
        <v>1748</v>
      </c>
      <c r="C1136" s="9" t="s">
        <v>1749</v>
      </c>
      <c r="D1136" s="7">
        <v>234</v>
      </c>
      <c r="E1136" s="9" t="s">
        <v>1250</v>
      </c>
      <c r="F1136" s="7" t="s">
        <v>1475</v>
      </c>
      <c r="G1136" s="7">
        <v>78.8</v>
      </c>
      <c r="H1136" s="9" t="s">
        <v>1251</v>
      </c>
      <c r="I1136" s="9" t="s">
        <v>1252</v>
      </c>
      <c r="J1136" s="7">
        <v>3</v>
      </c>
      <c r="K1136" s="7">
        <v>338.21359999999999</v>
      </c>
      <c r="L1136" s="7"/>
      <c r="M1136" s="7" t="str">
        <f>HYPERLINK("http://ms.phosphosite.org:5080/cgi-bin/plot-msms.cgi?MassType=1&amp;NumAxis=1&amp;Mod2=184&amp;Pep=LRQQLQAK&amp;Dta=/var/www/html/dta/yong/23617.2035.3.dta&amp;Global_Mod=CS57.0215", "2035")</f>
        <v>2035</v>
      </c>
      <c r="N1136" s="10"/>
      <c r="O1136" s="10">
        <v>15.27</v>
      </c>
      <c r="P1136" s="10"/>
      <c r="Q1136" s="10">
        <v>2.6150000000000002</v>
      </c>
      <c r="R1136" s="10"/>
      <c r="S1136" s="10">
        <v>0.52180000000000004</v>
      </c>
      <c r="T1136" s="10"/>
      <c r="U1136" s="10">
        <v>8.6400000000000005E-2</v>
      </c>
      <c r="V1136" s="7"/>
      <c r="W1136" s="7">
        <v>4</v>
      </c>
      <c r="X1136" s="10"/>
      <c r="Y1136" s="10">
        <v>1.08</v>
      </c>
      <c r="Z1136" s="11"/>
      <c r="AA1136" s="11">
        <v>1000</v>
      </c>
      <c r="AB1136" s="7" t="s">
        <v>13</v>
      </c>
    </row>
    <row r="1137" spans="1:28">
      <c r="A1137" s="3" t="s">
        <v>1157</v>
      </c>
      <c r="B1137" s="3" t="s">
        <v>1750</v>
      </c>
      <c r="C1137" s="3" t="s">
        <v>1751</v>
      </c>
      <c r="D1137" s="4">
        <v>929</v>
      </c>
      <c r="E1137" s="3" t="s">
        <v>1253</v>
      </c>
      <c r="F1137" s="7" t="s">
        <v>1476</v>
      </c>
      <c r="G1137" s="4">
        <v>120.6</v>
      </c>
      <c r="H1137" s="3" t="s">
        <v>1254</v>
      </c>
      <c r="I1137" s="3" t="s">
        <v>1255</v>
      </c>
      <c r="J1137" s="4">
        <v>5</v>
      </c>
      <c r="K1137" s="4">
        <v>869.85339999999997</v>
      </c>
      <c r="L1137" s="4" t="str">
        <f>HYPERLINK("http://ms.phosphosite.org:5080/cgi-bin/plot-msms.cgi?MassType=1&amp;NumAxis=1&amp;Mod10=184&amp;Pep=PFVPGQGDSRYPLLGQPLQYNPPAVLHGHIPNQQGQPGSR&amp;Dta=/var/www/html/dta/yong/23616.19887.5.dta&amp;Global_Mod=CS57.0215", "19887")</f>
        <v>19887</v>
      </c>
      <c r="M1137" s="4" t="str">
        <f>HYPERLINK("http://ms.phosphosite.org:5080/cgi-bin/plot-msms.cgi?MassType=1&amp;NumAxis=1&amp;Mod10=184&amp;Pep=PFVPGQGDSRYPLLGQPLQYNPPAVLHGHIPNQQGQPGSR&amp;Dta=/var/www/html/dta/yong/23617.20129.5.dta&amp;Global_Mod=CS57.0215", "20129")</f>
        <v>20129</v>
      </c>
      <c r="N1137" s="5">
        <v>91.38</v>
      </c>
      <c r="O1137" s="5">
        <v>91.69</v>
      </c>
      <c r="P1137" s="5">
        <v>3.4119999999999999</v>
      </c>
      <c r="Q1137" s="5">
        <v>3.7709999999999999</v>
      </c>
      <c r="R1137" s="5">
        <v>0.6411</v>
      </c>
      <c r="S1137" s="5">
        <v>1.2070000000000001</v>
      </c>
      <c r="T1137" s="5">
        <v>0.15029999999999999</v>
      </c>
      <c r="U1137" s="5">
        <v>0.27529999999999999</v>
      </c>
      <c r="V1137" s="4">
        <v>3</v>
      </c>
      <c r="W1137" s="4">
        <v>2</v>
      </c>
      <c r="X1137" s="5">
        <v>1.42</v>
      </c>
      <c r="Y1137" s="5">
        <v>2.16</v>
      </c>
      <c r="Z1137" s="6">
        <v>1000</v>
      </c>
      <c r="AA1137" s="6">
        <v>1000</v>
      </c>
      <c r="AB1137" s="4" t="s">
        <v>13</v>
      </c>
    </row>
    <row r="1138" spans="1:28">
      <c r="A1138" s="3" t="s">
        <v>1157</v>
      </c>
      <c r="B1138" s="3" t="s">
        <v>1750</v>
      </c>
      <c r="C1138" s="3" t="s">
        <v>1752</v>
      </c>
      <c r="D1138" s="4">
        <v>929</v>
      </c>
      <c r="E1138" s="3" t="s">
        <v>1253</v>
      </c>
      <c r="F1138" s="7" t="s">
        <v>1476</v>
      </c>
      <c r="G1138" s="4">
        <v>120.6</v>
      </c>
      <c r="H1138" s="3" t="s">
        <v>1254</v>
      </c>
      <c r="I1138" s="3" t="s">
        <v>1255</v>
      </c>
      <c r="J1138" s="4">
        <v>5</v>
      </c>
      <c r="K1138" s="4">
        <v>869.85339999999997</v>
      </c>
      <c r="L1138" s="4" t="str">
        <f>HYPERLINK("http://ms.phosphosite.org:5080/cgi-bin/plot-msms.cgi?MassType=1&amp;NumAxis=1&amp;Mod10=184&amp;Pep=PFVPGQGDSRYPLLGQPLQYNPPAVLHGHIPNQQGQPGSR&amp;Dta=/var/www/html/dta/yong/23616.19970.5.dta&amp;Global_Mod=CS57.0215", "19970")</f>
        <v>19970</v>
      </c>
      <c r="M1138" s="4"/>
      <c r="N1138" s="5">
        <v>91.72</v>
      </c>
      <c r="O1138" s="5"/>
      <c r="P1138" s="5">
        <v>4.54</v>
      </c>
      <c r="Q1138" s="5"/>
      <c r="R1138" s="5">
        <v>0.79890000000000005</v>
      </c>
      <c r="S1138" s="5"/>
      <c r="T1138" s="5">
        <v>0.28039999999999998</v>
      </c>
      <c r="U1138" s="5"/>
      <c r="V1138" s="4">
        <v>10</v>
      </c>
      <c r="W1138" s="4"/>
      <c r="X1138" s="5">
        <v>2.4700000000000002</v>
      </c>
      <c r="Y1138" s="5"/>
      <c r="Z1138" s="6">
        <v>1000</v>
      </c>
      <c r="AA1138" s="6"/>
      <c r="AB1138" s="4" t="s">
        <v>13</v>
      </c>
    </row>
    <row r="1139" spans="1:28">
      <c r="A1139" s="3" t="s">
        <v>1157</v>
      </c>
      <c r="B1139" s="3" t="s">
        <v>1750</v>
      </c>
      <c r="C1139" s="3" t="s">
        <v>1752</v>
      </c>
      <c r="D1139" s="4">
        <v>929</v>
      </c>
      <c r="E1139" s="3" t="s">
        <v>1253</v>
      </c>
      <c r="F1139" s="7" t="s">
        <v>1476</v>
      </c>
      <c r="G1139" s="4">
        <v>120.6</v>
      </c>
      <c r="H1139" s="3" t="s">
        <v>1254</v>
      </c>
      <c r="I1139" s="3" t="s">
        <v>1255</v>
      </c>
      <c r="J1139" s="4">
        <v>5</v>
      </c>
      <c r="K1139" s="4">
        <v>869.85339999999997</v>
      </c>
      <c r="L1139" s="4" t="str">
        <f>HYPERLINK("http://ms.phosphosite.org:5080/cgi-bin/plot-msms.cgi?MassType=1&amp;NumAxis=1&amp;Mod10=184&amp;Pep=PFVPGQGDSRYPLLGQPLQYNPPAVLHGHIPNQQGQPGSR&amp;Dta=/var/www/html/dta/yong/23616.20047.5.dta&amp;Global_Mod=CS57.0215", "20047")</f>
        <v>20047</v>
      </c>
      <c r="M1139" s="4" t="str">
        <f>HYPERLINK("http://ms.phosphosite.org:5080/cgi-bin/plot-msms.cgi?MassType=1&amp;NumAxis=1&amp;Mod10=184&amp;Pep=PFVPGQGDSRYPLLGQPLQYNPPAVLHGHIPNQQGQPGSR&amp;Dta=/var/www/html/dta/yong/23617.20047.5.dta&amp;Global_Mod=CS57.0215", "20047")</f>
        <v>20047</v>
      </c>
      <c r="N1139" s="5">
        <v>92.04</v>
      </c>
      <c r="O1139" s="5">
        <v>91.34</v>
      </c>
      <c r="P1139" s="5">
        <v>3.0990000000000002</v>
      </c>
      <c r="Q1139" s="5">
        <v>3.141</v>
      </c>
      <c r="R1139" s="5">
        <v>0.77559999999999996</v>
      </c>
      <c r="S1139" s="5">
        <v>1.0906</v>
      </c>
      <c r="T1139" s="5">
        <v>0.18729999999999999</v>
      </c>
      <c r="U1139" s="5">
        <v>0.14710000000000001</v>
      </c>
      <c r="V1139" s="4">
        <v>3</v>
      </c>
      <c r="W1139" s="4">
        <v>3</v>
      </c>
      <c r="X1139" s="5">
        <v>1.53</v>
      </c>
      <c r="Y1139" s="5">
        <v>1.25</v>
      </c>
      <c r="Z1139" s="6">
        <v>1000</v>
      </c>
      <c r="AA1139" s="6">
        <v>1000</v>
      </c>
      <c r="AB1139" s="4" t="s">
        <v>13</v>
      </c>
    </row>
    <row r="1140" spans="1:28">
      <c r="A1140" s="9" t="s">
        <v>1157</v>
      </c>
      <c r="B1140" s="9" t="s">
        <v>1753</v>
      </c>
      <c r="C1140" s="9" t="s">
        <v>1754</v>
      </c>
      <c r="D1140" s="7">
        <v>92</v>
      </c>
      <c r="E1140" s="9" t="s">
        <v>1256</v>
      </c>
      <c r="F1140" s="7" t="s">
        <v>1477</v>
      </c>
      <c r="G1140" s="7">
        <v>55.3</v>
      </c>
      <c r="H1140" s="9" t="s">
        <v>1257</v>
      </c>
      <c r="I1140" s="9" t="s">
        <v>1258</v>
      </c>
      <c r="J1140" s="7">
        <v>3</v>
      </c>
      <c r="K1140" s="7">
        <v>737.70270000000005</v>
      </c>
      <c r="L1140" s="7"/>
      <c r="M1140" s="7" t="str">
        <f>HYPERLINK("http://ms.phosphosite.org:5080/cgi-bin/plot-msms.cgi?MassType=1&amp;NumAxis=1&amp;Mod5=184&amp;Pep=VEHQRLSDPDSDKNQMRK&amp;Dta=/var/www/html/dta/yong/23617.17721.3.dta&amp;Global_Mod=CS57.0215", "17721")</f>
        <v>17721</v>
      </c>
      <c r="N1140" s="10"/>
      <c r="O1140" s="10">
        <v>81.400000000000006</v>
      </c>
      <c r="P1140" s="10"/>
      <c r="Q1140" s="10">
        <v>4.7350000000000003</v>
      </c>
      <c r="R1140" s="10"/>
      <c r="S1140" s="10">
        <v>5.9192999999999998</v>
      </c>
      <c r="T1140" s="10"/>
      <c r="U1140" s="10">
        <v>0.1326</v>
      </c>
      <c r="V1140" s="7"/>
      <c r="W1140" s="7">
        <v>5</v>
      </c>
      <c r="X1140" s="10"/>
      <c r="Y1140" s="10">
        <v>1.24</v>
      </c>
      <c r="Z1140" s="11"/>
      <c r="AA1140" s="11">
        <v>56</v>
      </c>
      <c r="AB1140" s="7" t="s">
        <v>13</v>
      </c>
    </row>
    <row r="1141" spans="1:28">
      <c r="A1141" s="13" t="s">
        <v>1157</v>
      </c>
      <c r="B1141" s="13" t="s">
        <v>1259</v>
      </c>
      <c r="C1141" s="13" t="s">
        <v>1259</v>
      </c>
      <c r="D1141" s="15">
        <v>394</v>
      </c>
      <c r="E1141" s="13" t="s">
        <v>1260</v>
      </c>
      <c r="F1141" s="15" t="s">
        <v>1478</v>
      </c>
      <c r="G1141" s="15">
        <v>64.099999999999994</v>
      </c>
      <c r="H1141" s="13" t="s">
        <v>1261</v>
      </c>
      <c r="I1141" s="13" t="s">
        <v>1263</v>
      </c>
      <c r="J1141" s="15">
        <v>3</v>
      </c>
      <c r="K1141" s="15">
        <v>480.58449999999999</v>
      </c>
      <c r="L1141" s="15" t="str">
        <f>HYPERLINK("http://ms.phosphosite.org:5080/cgi-bin/plot-msms.cgi?MassType=1&amp;NumAxis=1&amp;Mod3=184&amp;Mod14=170&amp;Pep=GPRGSYLGGYSAGR&amp;Dta=/var/www/html/dta/yong/23616.7603.3.dta&amp;Global_Mod=CS57.0215", "7603")</f>
        <v>7603</v>
      </c>
      <c r="M1141" s="15" t="str">
        <f>HYPERLINK("http://ms.phosphosite.org:5080/cgi-bin/plot-msms.cgi?MassType=1&amp;NumAxis=1&amp;Mod3=184&amp;Mod14=170&amp;Pep=GPRGSYLGGYSAGR&amp;Dta=/var/www/html/dta/yong/23617.7728.3.dta&amp;Global_Mod=CS57.0215", "7728")</f>
        <v>7728</v>
      </c>
      <c r="N1141" s="16">
        <v>39.03</v>
      </c>
      <c r="O1141" s="16">
        <v>39.270000000000003</v>
      </c>
      <c r="P1141" s="16">
        <v>4.069</v>
      </c>
      <c r="Q1141" s="16">
        <v>3.181</v>
      </c>
      <c r="R1141" s="16">
        <v>0.17460000000000001</v>
      </c>
      <c r="S1141" s="16">
        <v>-2.5000000000000001E-2</v>
      </c>
      <c r="T1141" s="16">
        <v>7.9600000000000004E-2</v>
      </c>
      <c r="U1141" s="16">
        <v>9.2600000000000002E-2</v>
      </c>
      <c r="V1141" s="15">
        <v>1</v>
      </c>
      <c r="W1141" s="15">
        <v>1</v>
      </c>
      <c r="X1141" s="16">
        <v>1.47</v>
      </c>
      <c r="Y1141" s="16">
        <v>1.25</v>
      </c>
      <c r="Z1141" s="17" t="s">
        <v>1306</v>
      </c>
      <c r="AA1141" s="17" t="s">
        <v>1306</v>
      </c>
      <c r="AB1141" s="15" t="s">
        <v>13</v>
      </c>
    </row>
    <row r="1142" spans="1:28">
      <c r="A1142" s="13" t="s">
        <v>1157</v>
      </c>
      <c r="B1142" s="13" t="s">
        <v>1259</v>
      </c>
      <c r="C1142" s="13" t="s">
        <v>1259</v>
      </c>
      <c r="D1142" s="15">
        <v>394</v>
      </c>
      <c r="E1142" s="13" t="s">
        <v>1260</v>
      </c>
      <c r="F1142" s="15" t="s">
        <v>1478</v>
      </c>
      <c r="G1142" s="15">
        <v>64.099999999999994</v>
      </c>
      <c r="H1142" s="13" t="s">
        <v>1261</v>
      </c>
      <c r="I1142" s="13" t="s">
        <v>1263</v>
      </c>
      <c r="J1142" s="15">
        <v>2</v>
      </c>
      <c r="K1142" s="15">
        <v>720.37310000000002</v>
      </c>
      <c r="L1142" s="15" t="str">
        <f>HYPERLINK("http://ms.phosphosite.org:5080/cgi-bin/plot-msms.cgi?MassType=1&amp;NumAxis=1&amp;Mod3=184&amp;Mod14=170&amp;Pep=GPRGSYLGGYSAGR&amp;Dta=/var/www/html/dta/yong/23616.7622.2.dta&amp;Global_Mod=CS57.0215", "7622")</f>
        <v>7622</v>
      </c>
      <c r="M1142" s="15" t="str">
        <f>HYPERLINK("http://ms.phosphosite.org:5080/cgi-bin/plot-msms.cgi?MassType=1&amp;NumAxis=1&amp;Mod3=184&amp;Mod14=170&amp;Pep=GPRGSYLGGYSAGR&amp;Dta=/var/www/html/dta/yong/23617.7751.2.dta&amp;Global_Mod=CS57.0215", "7751")</f>
        <v>7751</v>
      </c>
      <c r="N1142" s="16">
        <v>39.1</v>
      </c>
      <c r="O1142" s="16">
        <v>39.36</v>
      </c>
      <c r="P1142" s="16">
        <v>2.694</v>
      </c>
      <c r="Q1142" s="16">
        <v>3.258</v>
      </c>
      <c r="R1142" s="16">
        <v>1.0602</v>
      </c>
      <c r="S1142" s="16">
        <v>0.81520000000000004</v>
      </c>
      <c r="T1142" s="16">
        <v>9.4600000000000004E-2</v>
      </c>
      <c r="U1142" s="16">
        <v>0.1608</v>
      </c>
      <c r="V1142" s="15">
        <v>1</v>
      </c>
      <c r="W1142" s="15">
        <v>1</v>
      </c>
      <c r="X1142" s="16">
        <v>1.1200000000000001</v>
      </c>
      <c r="Y1142" s="16">
        <v>1.65</v>
      </c>
      <c r="Z1142" s="17" t="s">
        <v>1306</v>
      </c>
      <c r="AA1142" s="17" t="s">
        <v>1306</v>
      </c>
      <c r="AB1142" s="15" t="s">
        <v>13</v>
      </c>
    </row>
    <row r="1143" spans="1:28">
      <c r="A1143" s="13" t="s">
        <v>1157</v>
      </c>
      <c r="B1143" s="13" t="s">
        <v>1259</v>
      </c>
      <c r="C1143" s="13" t="s">
        <v>1259</v>
      </c>
      <c r="D1143" s="15">
        <v>394</v>
      </c>
      <c r="E1143" s="13" t="s">
        <v>1260</v>
      </c>
      <c r="F1143" s="15" t="s">
        <v>1478</v>
      </c>
      <c r="G1143" s="15">
        <v>64.099999999999994</v>
      </c>
      <c r="H1143" s="13" t="s">
        <v>1261</v>
      </c>
      <c r="I1143" s="13" t="s">
        <v>1262</v>
      </c>
      <c r="J1143" s="15">
        <v>3</v>
      </c>
      <c r="K1143" s="15">
        <v>536.61450000000002</v>
      </c>
      <c r="L1143" s="15" t="str">
        <f>HYPERLINK("http://ms.phosphosite.org:5080/cgi-bin/plot-msms.cgi?MassType=1&amp;NumAxis=1&amp;Mod5=184&amp;Mod16=170&amp;Pep=APGPRGSYLGGYSAGR&amp;Dta=/var/www/html/dta/yong/23616.8632.3.dta&amp;Global_Mod=CS57.0215", "8632")</f>
        <v>8632</v>
      </c>
      <c r="M1143" s="15" t="str">
        <f>HYPERLINK("http://ms.phosphosite.org:5080/cgi-bin/plot-msms.cgi?MassType=1&amp;NumAxis=1&amp;Mod5=184&amp;Mod16=170&amp;Pep=APGPRGSYLGGYSAGR&amp;Dta=/var/www/html/dta/yong/23617.8744.3.dta&amp;Global_Mod=CS57.0215", "8744")</f>
        <v>8744</v>
      </c>
      <c r="N1143" s="16">
        <v>43.32</v>
      </c>
      <c r="O1143" s="16">
        <v>43.43</v>
      </c>
      <c r="P1143" s="16">
        <v>3.31</v>
      </c>
      <c r="Q1143" s="16">
        <v>3.351</v>
      </c>
      <c r="R1143" s="16">
        <v>3.61E-2</v>
      </c>
      <c r="S1143" s="16">
        <v>0.53639999999999999</v>
      </c>
      <c r="T1143" s="16">
        <v>0.3165</v>
      </c>
      <c r="U1143" s="16">
        <v>0.37980000000000003</v>
      </c>
      <c r="V1143" s="15">
        <v>1</v>
      </c>
      <c r="W1143" s="15">
        <v>1</v>
      </c>
      <c r="X1143" s="16">
        <v>2.57</v>
      </c>
      <c r="Y1143" s="16">
        <v>2.91</v>
      </c>
      <c r="Z1143" s="17" t="s">
        <v>1306</v>
      </c>
      <c r="AA1143" s="17" t="s">
        <v>1306</v>
      </c>
      <c r="AB1143" s="15" t="s">
        <v>13</v>
      </c>
    </row>
    <row r="1144" spans="1:28">
      <c r="A1144" s="3" t="s">
        <v>1157</v>
      </c>
      <c r="B1144" s="3" t="s">
        <v>1259</v>
      </c>
      <c r="C1144" s="3" t="s">
        <v>1259</v>
      </c>
      <c r="D1144" s="4" t="s">
        <v>1519</v>
      </c>
      <c r="E1144" s="3" t="s">
        <v>1260</v>
      </c>
      <c r="F1144" s="7" t="s">
        <v>1478</v>
      </c>
      <c r="G1144" s="4">
        <v>64.099999999999994</v>
      </c>
      <c r="H1144" s="3" t="s">
        <v>1264</v>
      </c>
      <c r="I1144" s="3" t="s">
        <v>1267</v>
      </c>
      <c r="J1144" s="4">
        <v>3</v>
      </c>
      <c r="K1144" s="4">
        <v>677.35709999999995</v>
      </c>
      <c r="L1144" s="4" t="str">
        <f>HYPERLINK("http://ms.phosphosite.org:5080/cgi-bin/plot-msms.cgi?MassType=1&amp;NumAxis=1&amp;Mod3=184&amp;Mod14=184&amp;Pep=GPRGSYLGGYSAGRGIYSR&amp;Dta=/var/www/html/dta/yong/23616.10329.3.dta&amp;Global_Mod=CS57.0215", "10329")</f>
        <v>10329</v>
      </c>
      <c r="M1144" s="4"/>
      <c r="N1144" s="5">
        <v>50.52</v>
      </c>
      <c r="O1144" s="5"/>
      <c r="P1144" s="5">
        <v>2.8969999999999998</v>
      </c>
      <c r="Q1144" s="5"/>
      <c r="R1144" s="5">
        <v>0.40410000000000001</v>
      </c>
      <c r="S1144" s="5"/>
      <c r="T1144" s="5">
        <v>0.23089999999999999</v>
      </c>
      <c r="U1144" s="5"/>
      <c r="V1144" s="4">
        <v>2</v>
      </c>
      <c r="W1144" s="4"/>
      <c r="X1144" s="5">
        <v>1.77</v>
      </c>
      <c r="Y1144" s="5"/>
      <c r="Z1144" s="6" t="s">
        <v>1306</v>
      </c>
      <c r="AA1144" s="6"/>
      <c r="AB1144" s="4" t="s">
        <v>13</v>
      </c>
    </row>
    <row r="1145" spans="1:28">
      <c r="A1145" s="3" t="s">
        <v>1157</v>
      </c>
      <c r="B1145" s="3" t="s">
        <v>1259</v>
      </c>
      <c r="C1145" s="3" t="s">
        <v>1259</v>
      </c>
      <c r="D1145" s="4" t="s">
        <v>1519</v>
      </c>
      <c r="E1145" s="3" t="s">
        <v>1260</v>
      </c>
      <c r="F1145" s="7" t="s">
        <v>1478</v>
      </c>
      <c r="G1145" s="4">
        <v>64.099999999999994</v>
      </c>
      <c r="H1145" s="3" t="s">
        <v>1264</v>
      </c>
      <c r="I1145" s="3" t="s">
        <v>1265</v>
      </c>
      <c r="J1145" s="4">
        <v>3</v>
      </c>
      <c r="K1145" s="4">
        <v>597.98820000000001</v>
      </c>
      <c r="L1145" s="4" t="str">
        <f>HYPERLINK("http://ms.phosphosite.org:5080/cgi-bin/plot-msms.cgi?MassType=1&amp;NumAxis=1&amp;Mod5=184&amp;Mod16=184&amp;Pep=APGPRGSYLGGYSAGRGI&amp;Dta=/var/www/html/dta/yong/23616.12392.3.dta&amp;Global_Mod=CS57.0215", "12392")</f>
        <v>12392</v>
      </c>
      <c r="M1145" s="4"/>
      <c r="N1145" s="5">
        <v>59.34</v>
      </c>
      <c r="O1145" s="5"/>
      <c r="P1145" s="5">
        <v>3.109</v>
      </c>
      <c r="Q1145" s="5"/>
      <c r="R1145" s="5">
        <v>1.5705</v>
      </c>
      <c r="S1145" s="5"/>
      <c r="T1145" s="5">
        <v>0.28849999999999998</v>
      </c>
      <c r="U1145" s="5"/>
      <c r="V1145" s="4">
        <v>2</v>
      </c>
      <c r="W1145" s="4"/>
      <c r="X1145" s="5">
        <v>2.12</v>
      </c>
      <c r="Y1145" s="5"/>
      <c r="Z1145" s="6" t="s">
        <v>1306</v>
      </c>
      <c r="AA1145" s="6"/>
      <c r="AB1145" s="4" t="s">
        <v>13</v>
      </c>
    </row>
    <row r="1146" spans="1:28" s="18" customFormat="1">
      <c r="A1146" s="3" t="s">
        <v>1157</v>
      </c>
      <c r="B1146" s="3" t="s">
        <v>1259</v>
      </c>
      <c r="C1146" s="3" t="s">
        <v>1259</v>
      </c>
      <c r="D1146" s="4" t="s">
        <v>1519</v>
      </c>
      <c r="E1146" s="3" t="s">
        <v>1260</v>
      </c>
      <c r="F1146" s="7" t="s">
        <v>1478</v>
      </c>
      <c r="G1146" s="4">
        <v>64.099999999999994</v>
      </c>
      <c r="H1146" s="3" t="s">
        <v>1264</v>
      </c>
      <c r="I1146" s="3" t="s">
        <v>1266</v>
      </c>
      <c r="J1146" s="4">
        <v>3</v>
      </c>
      <c r="K1146" s="4">
        <v>652.34259999999995</v>
      </c>
      <c r="L1146" s="4" t="str">
        <f>HYPERLINK("http://ms.phosphosite.org:5080/cgi-bin/plot-msms.cgi?MassType=1&amp;NumAxis=1&amp;Mod5=184&amp;Mod16=184&amp;Pep=APGPRGSYLGGYSAGRGIY&amp;Dta=/var/www/html/dta/yong/23616.13628.3.dta&amp;Global_Mod=CS57.0215", "13628")</f>
        <v>13628</v>
      </c>
      <c r="M1146" s="4" t="str">
        <f>HYPERLINK("http://ms.phosphosite.org:5080/cgi-bin/plot-msms.cgi?MassType=1&amp;NumAxis=1&amp;Mod5=184&amp;Mod16=184&amp;Pep=APGPRGSYLGGYSAGRGIY&amp;Dta=/var/www/html/dta/yong/23617.13759.3.dta&amp;Global_Mod=CS57.0215", "13759")</f>
        <v>13759</v>
      </c>
      <c r="N1146" s="5">
        <v>64.739999999999995</v>
      </c>
      <c r="O1146" s="5">
        <v>64.56</v>
      </c>
      <c r="P1146" s="5">
        <v>4.1120000000000001</v>
      </c>
      <c r="Q1146" s="5">
        <v>3.9319999999999999</v>
      </c>
      <c r="R1146" s="5">
        <v>0.16420000000000001</v>
      </c>
      <c r="S1146" s="5">
        <v>-0.1123</v>
      </c>
      <c r="T1146" s="5">
        <v>0.39319999999999999</v>
      </c>
      <c r="U1146" s="5">
        <v>0.4546</v>
      </c>
      <c r="V1146" s="4">
        <v>1</v>
      </c>
      <c r="W1146" s="4">
        <v>1</v>
      </c>
      <c r="X1146" s="5">
        <v>3.03</v>
      </c>
      <c r="Y1146" s="5">
        <v>3.29</v>
      </c>
      <c r="Z1146" s="6" t="s">
        <v>1306</v>
      </c>
      <c r="AA1146" s="6" t="s">
        <v>1306</v>
      </c>
      <c r="AB1146" s="4" t="s">
        <v>13</v>
      </c>
    </row>
    <row r="1147" spans="1:28">
      <c r="A1147" s="9" t="s">
        <v>1157</v>
      </c>
      <c r="B1147" s="9" t="s">
        <v>1755</v>
      </c>
      <c r="C1147" s="9" t="s">
        <v>1756</v>
      </c>
      <c r="D1147" s="7" t="s">
        <v>1816</v>
      </c>
      <c r="E1147" s="9" t="s">
        <v>1268</v>
      </c>
      <c r="F1147" s="7" t="s">
        <v>1479</v>
      </c>
      <c r="G1147" s="7">
        <v>155.9</v>
      </c>
      <c r="H1147" s="9" t="s">
        <v>1269</v>
      </c>
      <c r="I1147" s="9" t="s">
        <v>1270</v>
      </c>
      <c r="J1147" s="7">
        <v>4</v>
      </c>
      <c r="K1147" s="7">
        <v>471.2638</v>
      </c>
      <c r="L1147" s="7" t="str">
        <f>HYPERLINK("http://ms.phosphosite.org:5080/cgi-bin/plot-msms.cgi?MassType=1&amp;NumAxis=1&amp;Mod2=184&amp;Mod8=184&amp;Pep=PREPFLSRDPFHSLK&amp;Dta=/var/www/html/dta/yong/23616.13493.4.dta&amp;Global_Mod=CS57.0215", "13493")</f>
        <v>13493</v>
      </c>
      <c r="M1147" s="7" t="str">
        <f>HYPERLINK("http://ms.phosphosite.org:5080/cgi-bin/plot-msms.cgi?MassType=1&amp;NumAxis=1&amp;Mod2=184&amp;Mod8=184&amp;Pep=PREPFLSRDPFHSLK&amp;Dta=/var/www/html/dta/yong/23617.13624.4.dta&amp;Global_Mod=CS57.0215", "13624")</f>
        <v>13624</v>
      </c>
      <c r="N1147" s="10">
        <v>64.13</v>
      </c>
      <c r="O1147" s="10">
        <v>63.97</v>
      </c>
      <c r="P1147" s="10">
        <v>2.7919999999999998</v>
      </c>
      <c r="Q1147" s="10">
        <v>2.8490000000000002</v>
      </c>
      <c r="R1147" s="10">
        <v>0.43259999999999998</v>
      </c>
      <c r="S1147" s="10">
        <v>0.2162</v>
      </c>
      <c r="T1147" s="10">
        <v>0.33789999999999998</v>
      </c>
      <c r="U1147" s="10">
        <v>0.31759999999999999</v>
      </c>
      <c r="V1147" s="7">
        <v>1</v>
      </c>
      <c r="W1147" s="7">
        <v>1</v>
      </c>
      <c r="X1147" s="10">
        <v>2.34</v>
      </c>
      <c r="Y1147" s="10">
        <v>2.2400000000000002</v>
      </c>
      <c r="Z1147" s="11" t="s">
        <v>1306</v>
      </c>
      <c r="AA1147" s="11" t="s">
        <v>1306</v>
      </c>
      <c r="AB1147" s="7" t="s">
        <v>13</v>
      </c>
    </row>
    <row r="1148" spans="1:28" s="18" customFormat="1">
      <c r="A1148" s="9" t="s">
        <v>1157</v>
      </c>
      <c r="B1148" s="9" t="s">
        <v>1757</v>
      </c>
      <c r="C1148" s="9" t="s">
        <v>1758</v>
      </c>
      <c r="D1148" s="7" t="s">
        <v>1816</v>
      </c>
      <c r="E1148" s="9" t="s">
        <v>1268</v>
      </c>
      <c r="F1148" s="7" t="s">
        <v>1479</v>
      </c>
      <c r="G1148" s="7">
        <v>155.9</v>
      </c>
      <c r="H1148" s="9" t="s">
        <v>1269</v>
      </c>
      <c r="I1148" s="9" t="s">
        <v>1270</v>
      </c>
      <c r="J1148" s="7">
        <v>5</v>
      </c>
      <c r="K1148" s="7">
        <v>377.21249999999998</v>
      </c>
      <c r="L1148" s="7"/>
      <c r="M1148" s="7" t="str">
        <f>HYPERLINK("http://ms.phosphosite.org:5080/cgi-bin/plot-msms.cgi?MassType=1&amp;NumAxis=1&amp;Mod2=184&amp;Mod8=184&amp;Pep=PREPFLSRDPFHSLK&amp;Dta=/var/www/html/dta/yong/23617.13667.5.dta&amp;Global_Mod=CS57.0215", "13667")</f>
        <v>13667</v>
      </c>
      <c r="N1148" s="10"/>
      <c r="O1148" s="10">
        <v>64.16</v>
      </c>
      <c r="P1148" s="10"/>
      <c r="Q1148" s="10">
        <v>3.919</v>
      </c>
      <c r="R1148" s="10"/>
      <c r="S1148" s="10">
        <v>-0.1578</v>
      </c>
      <c r="T1148" s="10"/>
      <c r="U1148" s="10">
        <v>0.38090000000000002</v>
      </c>
      <c r="V1148" s="7"/>
      <c r="W1148" s="7">
        <v>1</v>
      </c>
      <c r="X1148" s="10"/>
      <c r="Y1148" s="10">
        <v>2.92</v>
      </c>
      <c r="Z1148" s="11"/>
      <c r="AA1148" s="11" t="s">
        <v>1306</v>
      </c>
      <c r="AB1148" s="7" t="s">
        <v>13</v>
      </c>
    </row>
    <row r="1149" spans="1:28" s="18" customFormat="1">
      <c r="A1149" s="3" t="s">
        <v>1157</v>
      </c>
      <c r="B1149" s="3" t="s">
        <v>1759</v>
      </c>
      <c r="C1149" s="3" t="s">
        <v>1760</v>
      </c>
      <c r="D1149" s="4">
        <v>1366</v>
      </c>
      <c r="E1149" s="3" t="s">
        <v>1268</v>
      </c>
      <c r="F1149" s="7" t="s">
        <v>1479</v>
      </c>
      <c r="G1149" s="4">
        <v>155.9</v>
      </c>
      <c r="H1149" s="3" t="s">
        <v>1271</v>
      </c>
      <c r="I1149" s="3" t="s">
        <v>1272</v>
      </c>
      <c r="J1149" s="4">
        <v>5</v>
      </c>
      <c r="K1149" s="4">
        <v>779.59360000000004</v>
      </c>
      <c r="L1149" s="4" t="str">
        <f>HYPERLINK("http://ms.phosphosite.org:5080/cgi-bin/plot-msms.cgi?MassType=1&amp;NumAxis=1&amp;Mod2=184&amp;Pep=VRESLTLPSHSLEHLGPPHGGGGGGGSNSSSGPPLGPSHR&amp;Dta=/var/www/html/dta/yong/23616.11687.5.dta&amp;Global_Mod=CS57.0215", "11687")</f>
        <v>11687</v>
      </c>
      <c r="M1149" s="4" t="str">
        <f>HYPERLINK("http://ms.phosphosite.org:5080/cgi-bin/plot-msms.cgi?MassType=1&amp;NumAxis=1&amp;Mod2=184&amp;Pep=VRESLTLPSHSLEHLGPPHGGGGGGGSNSSSGPPLGPSHR&amp;Dta=/var/www/html/dta/yong/23617.11785.5.dta&amp;Global_Mod=CS57.0215", "11785")</f>
        <v>11785</v>
      </c>
      <c r="N1149" s="5">
        <v>56.25</v>
      </c>
      <c r="O1149" s="5">
        <v>56.1</v>
      </c>
      <c r="P1149" s="5">
        <v>4.8259999999999996</v>
      </c>
      <c r="Q1149" s="5">
        <v>3.774</v>
      </c>
      <c r="R1149" s="5">
        <v>0.59760000000000002</v>
      </c>
      <c r="S1149" s="5">
        <v>0.4819</v>
      </c>
      <c r="T1149" s="5">
        <v>0.4103</v>
      </c>
      <c r="U1149" s="5">
        <v>0.24540000000000001</v>
      </c>
      <c r="V1149" s="4">
        <v>1</v>
      </c>
      <c r="W1149" s="4">
        <v>1</v>
      </c>
      <c r="X1149" s="5">
        <v>3.28</v>
      </c>
      <c r="Y1149" s="5">
        <v>2.04</v>
      </c>
      <c r="Z1149" s="6">
        <v>1000</v>
      </c>
      <c r="AA1149" s="6">
        <v>1000</v>
      </c>
      <c r="AB1149" s="4" t="s">
        <v>13</v>
      </c>
    </row>
    <row r="1150" spans="1:28" s="18" customFormat="1">
      <c r="A1150" s="9" t="s">
        <v>1157</v>
      </c>
      <c r="B1150" s="9" t="s">
        <v>1273</v>
      </c>
      <c r="C1150" s="9" t="s">
        <v>1274</v>
      </c>
      <c r="D1150" s="7">
        <v>602</v>
      </c>
      <c r="E1150" s="9" t="s">
        <v>1275</v>
      </c>
      <c r="F1150" s="7" t="s">
        <v>1480</v>
      </c>
      <c r="G1150" s="7">
        <v>75.400000000000006</v>
      </c>
      <c r="H1150" s="9" t="s">
        <v>1276</v>
      </c>
      <c r="I1150" s="9" t="s">
        <v>1279</v>
      </c>
      <c r="J1150" s="7">
        <v>4</v>
      </c>
      <c r="K1150" s="7">
        <v>684.11710000000005</v>
      </c>
      <c r="L1150" s="7" t="str">
        <f>HYPERLINK("http://ms.phosphosite.org:5080/cgi-bin/plot-msms.cgi?MassType=1&amp;NumAxis=1&amp;Mod1=147&amp;Mod15=184&amp;Pep=MGLLSPSGIGGVSPRHALTSPSLGGQGR&amp;Dta=/var/www/html/dta/yong/23616.15454.4.dta&amp;Global_Mod=CS57.0215", "15454")</f>
        <v>15454</v>
      </c>
      <c r="M1150" s="7" t="str">
        <f>HYPERLINK("http://ms.phosphosite.org:5080/cgi-bin/plot-msms.cgi?MassType=1&amp;NumAxis=1&amp;Mod1=147&amp;Mod15=184&amp;Pep=MGLLSPSGIGGVSPRHALTSPSLGGQGR&amp;Dta=/var/www/html/dta/yong/23617.15612.4.dta&amp;Global_Mod=CS57.0215", "15612")</f>
        <v>15612</v>
      </c>
      <c r="N1150" s="10">
        <v>72.62</v>
      </c>
      <c r="O1150" s="10">
        <v>72.489999999999995</v>
      </c>
      <c r="P1150" s="10">
        <v>3.0859999999999999</v>
      </c>
      <c r="Q1150" s="10">
        <v>3.3519999999999999</v>
      </c>
      <c r="R1150" s="10">
        <v>0.58299999999999996</v>
      </c>
      <c r="S1150" s="10">
        <v>0.34920000000000001</v>
      </c>
      <c r="T1150" s="10">
        <v>0.2014</v>
      </c>
      <c r="U1150" s="10">
        <v>0.27739999999999998</v>
      </c>
      <c r="V1150" s="7">
        <v>1</v>
      </c>
      <c r="W1150" s="7">
        <v>2</v>
      </c>
      <c r="X1150" s="10">
        <v>1.75</v>
      </c>
      <c r="Y1150" s="10">
        <v>2.33</v>
      </c>
      <c r="Z1150" s="11">
        <v>1000</v>
      </c>
      <c r="AA1150" s="11">
        <v>1000</v>
      </c>
      <c r="AB1150" s="7" t="s">
        <v>13</v>
      </c>
    </row>
    <row r="1151" spans="1:28" s="18" customFormat="1">
      <c r="A1151" s="9" t="s">
        <v>1157</v>
      </c>
      <c r="B1151" s="9" t="s">
        <v>1273</v>
      </c>
      <c r="C1151" s="9" t="s">
        <v>1274</v>
      </c>
      <c r="D1151" s="7">
        <v>602</v>
      </c>
      <c r="E1151" s="9" t="s">
        <v>1275</v>
      </c>
      <c r="F1151" s="7" t="s">
        <v>1480</v>
      </c>
      <c r="G1151" s="7">
        <v>75.400000000000006</v>
      </c>
      <c r="H1151" s="9" t="s">
        <v>1276</v>
      </c>
      <c r="I1151" s="9" t="s">
        <v>1279</v>
      </c>
      <c r="J1151" s="7">
        <v>3</v>
      </c>
      <c r="K1151" s="7">
        <v>911.82029999999997</v>
      </c>
      <c r="L1151" s="7" t="str">
        <f>HYPERLINK("http://ms.phosphosite.org:5080/cgi-bin/plot-msms.cgi?MassType=1&amp;NumAxis=1&amp;Mod1=147&amp;Mod15=184&amp;Pep=MGLLSPSGIGGVSPRHALTSPSLGGQGR&amp;Dta=/var/www/html/dta/yong/23616.15479.3.dta&amp;Global_Mod=CS57.0215", "15479")</f>
        <v>15479</v>
      </c>
      <c r="M1151" s="7" t="str">
        <f>HYPERLINK("http://ms.phosphosite.org:5080/cgi-bin/plot-msms.cgi?MassType=1&amp;NumAxis=1&amp;Mod1=147&amp;Mod15=184&amp;Pep=MGLLSPSGIGGVSPRHALTSPSLGGQGR&amp;Dta=/var/www/html/dta/yong/23617.15647.3.dta&amp;Global_Mod=CS57.0215", "15647")</f>
        <v>15647</v>
      </c>
      <c r="N1151" s="10">
        <v>72.72</v>
      </c>
      <c r="O1151" s="10">
        <v>72.62</v>
      </c>
      <c r="P1151" s="10">
        <v>2.855</v>
      </c>
      <c r="Q1151" s="10">
        <v>3.0960000000000001</v>
      </c>
      <c r="R1151" s="10">
        <v>0.89219999999999999</v>
      </c>
      <c r="S1151" s="10">
        <v>0.98109999999999997</v>
      </c>
      <c r="T1151" s="10">
        <v>0.1482</v>
      </c>
      <c r="U1151" s="10">
        <v>0.2266</v>
      </c>
      <c r="V1151" s="7">
        <v>1</v>
      </c>
      <c r="W1151" s="7">
        <v>1</v>
      </c>
      <c r="X1151" s="10">
        <v>1.35</v>
      </c>
      <c r="Y1151" s="10">
        <v>1.93</v>
      </c>
      <c r="Z1151" s="11">
        <v>1000</v>
      </c>
      <c r="AA1151" s="11">
        <v>1000</v>
      </c>
      <c r="AB1151" s="7" t="s">
        <v>13</v>
      </c>
    </row>
    <row r="1152" spans="1:28" s="18" customFormat="1">
      <c r="A1152" s="9" t="s">
        <v>1157</v>
      </c>
      <c r="B1152" s="9" t="s">
        <v>1273</v>
      </c>
      <c r="C1152" s="9" t="s">
        <v>1274</v>
      </c>
      <c r="D1152" s="7">
        <v>602</v>
      </c>
      <c r="E1152" s="9" t="s">
        <v>1275</v>
      </c>
      <c r="F1152" s="7" t="s">
        <v>1480</v>
      </c>
      <c r="G1152" s="7">
        <v>75.400000000000006</v>
      </c>
      <c r="H1152" s="9" t="s">
        <v>1276</v>
      </c>
      <c r="I1152" s="9" t="s">
        <v>1279</v>
      </c>
      <c r="J1152" s="7">
        <v>4</v>
      </c>
      <c r="K1152" s="7">
        <v>684.11710000000005</v>
      </c>
      <c r="L1152" s="7" t="str">
        <f>HYPERLINK("http://ms.phosphosite.org:5080/cgi-bin/plot-msms.cgi?MassType=1&amp;NumAxis=1&amp;Mod1=147&amp;Mod15=184&amp;Pep=MGLLSPSGIGGVSPRHALTSPSLGGQGR&amp;Dta=/var/www/html/dta/yong/23616.15617.4.dta&amp;Global_Mod=CS57.0215", "15617")</f>
        <v>15617</v>
      </c>
      <c r="M1152" s="7" t="str">
        <f>HYPERLINK("http://ms.phosphosite.org:5080/cgi-bin/plot-msms.cgi?MassType=1&amp;NumAxis=1&amp;Mod1=147&amp;Mod15=184&amp;Pep=MGLLSPSGIGGVSPRHALTSPSLGGQGR&amp;Dta=/var/www/html/dta/yong/23617.15773.4.dta&amp;Global_Mod=CS57.0215", "15773")</f>
        <v>15773</v>
      </c>
      <c r="N1152" s="10">
        <v>73.319999999999993</v>
      </c>
      <c r="O1152" s="10">
        <v>73.16</v>
      </c>
      <c r="P1152" s="10">
        <v>4.5220000000000002</v>
      </c>
      <c r="Q1152" s="10">
        <v>3.8980000000000001</v>
      </c>
      <c r="R1152" s="10">
        <v>0.58650000000000002</v>
      </c>
      <c r="S1152" s="10">
        <v>0.35139999999999999</v>
      </c>
      <c r="T1152" s="10">
        <v>0.35770000000000002</v>
      </c>
      <c r="U1152" s="10">
        <v>0.32400000000000001</v>
      </c>
      <c r="V1152" s="7">
        <v>1</v>
      </c>
      <c r="W1152" s="7">
        <v>1</v>
      </c>
      <c r="X1152" s="10">
        <v>3.05</v>
      </c>
      <c r="Y1152" s="10">
        <v>2.76</v>
      </c>
      <c r="Z1152" s="11">
        <v>1000</v>
      </c>
      <c r="AA1152" s="11">
        <v>1000</v>
      </c>
      <c r="AB1152" s="7" t="s">
        <v>13</v>
      </c>
    </row>
    <row r="1153" spans="1:28">
      <c r="A1153" s="9" t="s">
        <v>1157</v>
      </c>
      <c r="B1153" s="9" t="s">
        <v>1273</v>
      </c>
      <c r="C1153" s="9" t="s">
        <v>1274</v>
      </c>
      <c r="D1153" s="7">
        <v>602</v>
      </c>
      <c r="E1153" s="9" t="s">
        <v>1275</v>
      </c>
      <c r="F1153" s="7" t="s">
        <v>1480</v>
      </c>
      <c r="G1153" s="7">
        <v>75.400000000000006</v>
      </c>
      <c r="H1153" s="9" t="s">
        <v>1276</v>
      </c>
      <c r="I1153" s="9" t="s">
        <v>1278</v>
      </c>
      <c r="J1153" s="7">
        <v>3</v>
      </c>
      <c r="K1153" s="7">
        <v>598.32950000000005</v>
      </c>
      <c r="L1153" s="7" t="str">
        <f>HYPERLINK("http://ms.phosphosite.org:5080/cgi-bin/plot-msms.cgi?MassType=1&amp;NumAxis=1&amp;Mod1=147&amp;Mod15=184&amp;Pep=MGLLSPSGIGGVSPRHAL&amp;Dta=/var/www/html/dta/yong/23616.15912.3.dta&amp;Global_Mod=CS57.0215", "15912")</f>
        <v>15912</v>
      </c>
      <c r="M1153" s="7"/>
      <c r="N1153" s="10">
        <v>74.48</v>
      </c>
      <c r="O1153" s="10"/>
      <c r="P1153" s="10">
        <v>2.7280000000000002</v>
      </c>
      <c r="Q1153" s="10"/>
      <c r="R1153" s="10">
        <v>1.2813000000000001</v>
      </c>
      <c r="S1153" s="10"/>
      <c r="T1153" s="10">
        <v>0.2044</v>
      </c>
      <c r="U1153" s="10"/>
      <c r="V1153" s="7">
        <v>1</v>
      </c>
      <c r="W1153" s="7"/>
      <c r="X1153" s="10">
        <v>1.71</v>
      </c>
      <c r="Y1153" s="10"/>
      <c r="Z1153" s="11">
        <v>1000</v>
      </c>
      <c r="AA1153" s="11"/>
      <c r="AB1153" s="7" t="s">
        <v>13</v>
      </c>
    </row>
    <row r="1154" spans="1:28">
      <c r="A1154" s="9" t="s">
        <v>1157</v>
      </c>
      <c r="B1154" s="9" t="s">
        <v>1273</v>
      </c>
      <c r="C1154" s="9" t="s">
        <v>1274</v>
      </c>
      <c r="D1154" s="7">
        <v>602</v>
      </c>
      <c r="E1154" s="9" t="s">
        <v>1275</v>
      </c>
      <c r="F1154" s="7" t="s">
        <v>1480</v>
      </c>
      <c r="G1154" s="7">
        <v>75.400000000000006</v>
      </c>
      <c r="H1154" s="9" t="s">
        <v>1276</v>
      </c>
      <c r="I1154" s="9" t="s">
        <v>1279</v>
      </c>
      <c r="J1154" s="7">
        <v>3</v>
      </c>
      <c r="K1154" s="7">
        <v>911.82029999999997</v>
      </c>
      <c r="L1154" s="7"/>
      <c r="M1154" s="7" t="str">
        <f>HYPERLINK("http://ms.phosphosite.org:5080/cgi-bin/plot-msms.cgi?MassType=1&amp;NumAxis=1&amp;Mod1=147&amp;Mod15=184&amp;Pep=MGLLSPSGIGGVSPRHALTSPSLGGQGR&amp;Dta=/var/www/html/dta/yong/23617.15656.3.dta&amp;Global_Mod=CS57.0215", "15656")</f>
        <v>15656</v>
      </c>
      <c r="N1154" s="10"/>
      <c r="O1154" s="10">
        <v>72.66</v>
      </c>
      <c r="P1154" s="10"/>
      <c r="Q1154" s="10">
        <v>3.0339999999999998</v>
      </c>
      <c r="R1154" s="10"/>
      <c r="S1154" s="10">
        <v>1.0604</v>
      </c>
      <c r="T1154" s="10"/>
      <c r="U1154" s="10">
        <v>0.22989999999999999</v>
      </c>
      <c r="V1154" s="7"/>
      <c r="W1154" s="7">
        <v>1</v>
      </c>
      <c r="X1154" s="10"/>
      <c r="Y1154" s="10">
        <v>1.92</v>
      </c>
      <c r="Z1154" s="11"/>
      <c r="AA1154" s="11">
        <v>1000</v>
      </c>
      <c r="AB1154" s="7" t="s">
        <v>13</v>
      </c>
    </row>
    <row r="1155" spans="1:28">
      <c r="A1155" s="9" t="s">
        <v>1157</v>
      </c>
      <c r="B1155" s="9" t="s">
        <v>1273</v>
      </c>
      <c r="C1155" s="9" t="s">
        <v>1274</v>
      </c>
      <c r="D1155" s="7">
        <v>602</v>
      </c>
      <c r="E1155" s="9" t="s">
        <v>1275</v>
      </c>
      <c r="F1155" s="7" t="s">
        <v>1480</v>
      </c>
      <c r="G1155" s="7">
        <v>75.400000000000006</v>
      </c>
      <c r="H1155" s="9" t="s">
        <v>1276</v>
      </c>
      <c r="I1155" s="9" t="s">
        <v>1280</v>
      </c>
      <c r="J1155" s="7">
        <v>4</v>
      </c>
      <c r="K1155" s="7">
        <v>680.11829999999998</v>
      </c>
      <c r="L1155" s="7"/>
      <c r="M1155" s="7" t="str">
        <f>HYPERLINK("http://ms.phosphosite.org:5080/cgi-bin/plot-msms.cgi?MassType=1&amp;NumAxis=1&amp;Mod15=184&amp;Pep=MGLLSPSGIGGVSPRHALTSPSLGGQGR&amp;Dta=/var/www/html/dta/yong/23617.17042.4.dta&amp;Global_Mod=CS57.0215", "17042")</f>
        <v>17042</v>
      </c>
      <c r="N1155" s="10"/>
      <c r="O1155" s="10">
        <v>78.540000000000006</v>
      </c>
      <c r="P1155" s="10"/>
      <c r="Q1155" s="10">
        <v>2.9430000000000001</v>
      </c>
      <c r="R1155" s="10"/>
      <c r="S1155" s="10">
        <v>-5.4999999999999997E-3</v>
      </c>
      <c r="T1155" s="10"/>
      <c r="U1155" s="10">
        <v>0.17660000000000001</v>
      </c>
      <c r="V1155" s="7"/>
      <c r="W1155" s="7">
        <v>1</v>
      </c>
      <c r="X1155" s="10"/>
      <c r="Y1155" s="10">
        <v>1.62</v>
      </c>
      <c r="Z1155" s="11"/>
      <c r="AA1155" s="11">
        <v>1000</v>
      </c>
      <c r="AB1155" s="7" t="s">
        <v>13</v>
      </c>
    </row>
    <row r="1156" spans="1:28">
      <c r="A1156" s="9" t="s">
        <v>1157</v>
      </c>
      <c r="B1156" s="9" t="s">
        <v>1273</v>
      </c>
      <c r="C1156" s="9" t="s">
        <v>1274</v>
      </c>
      <c r="D1156" s="7">
        <v>602</v>
      </c>
      <c r="E1156" s="9" t="s">
        <v>1275</v>
      </c>
      <c r="F1156" s="7" t="s">
        <v>1480</v>
      </c>
      <c r="G1156" s="7">
        <v>75.400000000000006</v>
      </c>
      <c r="H1156" s="9" t="s">
        <v>1276</v>
      </c>
      <c r="I1156" s="9" t="s">
        <v>1280</v>
      </c>
      <c r="J1156" s="7">
        <v>4</v>
      </c>
      <c r="K1156" s="7">
        <v>680.11829999999998</v>
      </c>
      <c r="L1156" s="7"/>
      <c r="M1156" s="7" t="str">
        <f>HYPERLINK("http://ms.phosphosite.org:5080/cgi-bin/plot-msms.cgi?MassType=1&amp;NumAxis=1&amp;Mod15=184&amp;Pep=MGLLSPSGIGGVSPRHALTSPSLGGQGR&amp;Dta=/var/www/html/dta/yong/23617.17059.4.dta&amp;Global_Mod=CS57.0215", "17059")</f>
        <v>17059</v>
      </c>
      <c r="N1156" s="10"/>
      <c r="O1156" s="10">
        <v>78.61</v>
      </c>
      <c r="P1156" s="10"/>
      <c r="Q1156" s="10">
        <v>3.1280000000000001</v>
      </c>
      <c r="R1156" s="10"/>
      <c r="S1156" s="10">
        <v>-5.4999999999999997E-3</v>
      </c>
      <c r="T1156" s="10"/>
      <c r="U1156" s="10">
        <v>7.8399999999999997E-2</v>
      </c>
      <c r="V1156" s="7"/>
      <c r="W1156" s="7">
        <v>35</v>
      </c>
      <c r="X1156" s="10"/>
      <c r="Y1156" s="10">
        <v>1.1100000000000001</v>
      </c>
      <c r="Z1156" s="11"/>
      <c r="AA1156" s="11">
        <v>1000</v>
      </c>
      <c r="AB1156" s="7" t="s">
        <v>13</v>
      </c>
    </row>
    <row r="1157" spans="1:28">
      <c r="A1157" s="9" t="s">
        <v>1157</v>
      </c>
      <c r="B1157" s="9" t="s">
        <v>1273</v>
      </c>
      <c r="C1157" s="9" t="s">
        <v>1274</v>
      </c>
      <c r="D1157" s="7">
        <v>602</v>
      </c>
      <c r="E1157" s="9" t="s">
        <v>1275</v>
      </c>
      <c r="F1157" s="7" t="s">
        <v>1480</v>
      </c>
      <c r="G1157" s="7">
        <v>75.400000000000006</v>
      </c>
      <c r="H1157" s="9" t="s">
        <v>1276</v>
      </c>
      <c r="I1157" s="9" t="s">
        <v>1277</v>
      </c>
      <c r="J1157" s="7">
        <v>4</v>
      </c>
      <c r="K1157" s="7">
        <v>508.78160000000003</v>
      </c>
      <c r="L1157" s="7"/>
      <c r="M1157" s="7" t="str">
        <f>HYPERLINK("http://ms.phosphosite.org:5080/cgi-bin/plot-msms.cgi?MassType=1&amp;NumAxis=1&amp;Mod8=184&amp;Pep=GIGGVSPRHALTSPSLGGQGR&amp;Dta=/var/www/html/dta/yong/23617.9509.4.dta&amp;Global_Mod=CS57.0215", "9509")</f>
        <v>9509</v>
      </c>
      <c r="N1157" s="10"/>
      <c r="O1157" s="10">
        <v>46.61</v>
      </c>
      <c r="P1157" s="10"/>
      <c r="Q1157" s="10">
        <v>2.8719999999999999</v>
      </c>
      <c r="R1157" s="10"/>
      <c r="S1157" s="10">
        <v>-0.312</v>
      </c>
      <c r="T1157" s="10"/>
      <c r="U1157" s="10">
        <v>0.18379999999999999</v>
      </c>
      <c r="V1157" s="7"/>
      <c r="W1157" s="7">
        <v>57</v>
      </c>
      <c r="X1157" s="10"/>
      <c r="Y1157" s="10">
        <v>1.67</v>
      </c>
      <c r="Z1157" s="11"/>
      <c r="AA1157" s="11">
        <v>1000</v>
      </c>
      <c r="AB1157" s="7" t="s">
        <v>13</v>
      </c>
    </row>
    <row r="1158" spans="1:28">
      <c r="A1158" s="13" t="s">
        <v>1157</v>
      </c>
      <c r="B1158" s="13" t="s">
        <v>1281</v>
      </c>
      <c r="C1158" s="13" t="s">
        <v>1282</v>
      </c>
      <c r="D1158" s="15">
        <v>497</v>
      </c>
      <c r="E1158" s="13" t="s">
        <v>1283</v>
      </c>
      <c r="F1158" s="15" t="s">
        <v>1481</v>
      </c>
      <c r="G1158" s="15">
        <v>139.19999999999999</v>
      </c>
      <c r="H1158" s="13" t="s">
        <v>1284</v>
      </c>
      <c r="I1158" s="13" t="s">
        <v>1285</v>
      </c>
      <c r="J1158" s="15">
        <v>2</v>
      </c>
      <c r="K1158" s="15">
        <v>1165.1297999999999</v>
      </c>
      <c r="L1158" s="15" t="str">
        <f>HYPERLINK("http://ms.phosphosite.org:5080/cgi-bin/plot-msms.cgi?MassType=1&amp;NumAxis=1&amp;Mod2=170&amp;Mod4=184&amp;Pep=YRQRSPSPAPAPAPAAAAGPPTR&amp;Dta=/var/www/html/dta/yong/23616.32379.2.dta&amp;Global_Mod=CS57.0215", "32379")</f>
        <v>32379</v>
      </c>
      <c r="M1158" s="15"/>
      <c r="N1158" s="16">
        <v>146.15</v>
      </c>
      <c r="O1158" s="16"/>
      <c r="P1158" s="16">
        <v>1.9490000000000001</v>
      </c>
      <c r="Q1158" s="16"/>
      <c r="R1158" s="16">
        <v>1.0992999999999999</v>
      </c>
      <c r="S1158" s="16"/>
      <c r="T1158" s="16">
        <v>0.25040000000000001</v>
      </c>
      <c r="U1158" s="16"/>
      <c r="V1158" s="15">
        <v>1</v>
      </c>
      <c r="W1158" s="15"/>
      <c r="X1158" s="16">
        <v>1.44</v>
      </c>
      <c r="Y1158" s="16"/>
      <c r="Z1158" s="17" t="s">
        <v>1306</v>
      </c>
      <c r="AA1158" s="17"/>
      <c r="AB1158" s="15" t="s">
        <v>13</v>
      </c>
    </row>
    <row r="1159" spans="1:28">
      <c r="A1159" s="18" t="s">
        <v>1157</v>
      </c>
      <c r="B1159" s="18" t="s">
        <v>1286</v>
      </c>
      <c r="C1159" s="18" t="s">
        <v>1287</v>
      </c>
      <c r="D1159" s="19">
        <v>228</v>
      </c>
      <c r="E1159" s="18" t="s">
        <v>1288</v>
      </c>
      <c r="F1159" s="15" t="s">
        <v>1482</v>
      </c>
      <c r="G1159" s="19">
        <v>46.4</v>
      </c>
      <c r="H1159" s="18" t="s">
        <v>1289</v>
      </c>
      <c r="I1159" s="18" t="s">
        <v>1290</v>
      </c>
      <c r="J1159" s="19">
        <v>3</v>
      </c>
      <c r="K1159" s="19">
        <v>898.09310000000005</v>
      </c>
      <c r="L1159" s="19" t="str">
        <f>HYPERLINK("http://ms.phosphosite.org:5080/cgi-bin/plot-msms.cgi?MassType=1&amp;NumAxis=1&amp;Mod1=147&amp;Mod5=170&amp;Mod11=184&amp;Mod18=147&amp;Pep=MVDNRGFMVTRSYTVGVMMMHR&amp;Dta=/var/www/html/dta/yong/23616.29131.3.dta&amp;Global_Mod=CS57.0215", "29131")</f>
        <v>29131</v>
      </c>
      <c r="M1159" s="19"/>
      <c r="N1159" s="20">
        <v>130.6</v>
      </c>
      <c r="O1159" s="20"/>
      <c r="P1159" s="20">
        <v>2.71</v>
      </c>
      <c r="Q1159" s="20"/>
      <c r="R1159" s="20">
        <v>0.71619999999999995</v>
      </c>
      <c r="S1159" s="20"/>
      <c r="T1159" s="20">
        <v>0.18779999999999999</v>
      </c>
      <c r="U1159" s="20"/>
      <c r="V1159" s="19">
        <v>228</v>
      </c>
      <c r="W1159" s="19"/>
      <c r="X1159" s="20">
        <v>1.32</v>
      </c>
      <c r="Y1159" s="20"/>
      <c r="Z1159" s="21" t="s">
        <v>1306</v>
      </c>
      <c r="AA1159" s="21"/>
      <c r="AB1159" s="19" t="s">
        <v>13</v>
      </c>
    </row>
    <row r="1160" spans="1:28" s="18" customFormat="1">
      <c r="A1160" s="18" t="s">
        <v>1157</v>
      </c>
      <c r="B1160" s="18" t="s">
        <v>1286</v>
      </c>
      <c r="C1160" s="18" t="s">
        <v>1287</v>
      </c>
      <c r="D1160" s="19">
        <v>228</v>
      </c>
      <c r="E1160" s="18" t="s">
        <v>1288</v>
      </c>
      <c r="F1160" s="15" t="s">
        <v>1482</v>
      </c>
      <c r="G1160" s="19">
        <v>46.4</v>
      </c>
      <c r="H1160" s="18" t="s">
        <v>1289</v>
      </c>
      <c r="I1160" s="18" t="s">
        <v>1291</v>
      </c>
      <c r="J1160" s="19">
        <v>3</v>
      </c>
      <c r="K1160" s="19">
        <v>898.09310000000005</v>
      </c>
      <c r="L1160" s="19" t="str">
        <f>HYPERLINK("http://ms.phosphosite.org:5080/cgi-bin/plot-msms.cgi?MassType=1&amp;NumAxis=1&amp;Mod1=147&amp;Mod5=170&amp;Mod11=184&amp;Mod20=147&amp;Pep=MVDNRGFMVTRSYTVGVMMMHR&amp;Dta=/var/www/html/dta/yong/23616.31185.3.dta&amp;Global_Mod=CS57.0215", "31185")</f>
        <v>31185</v>
      </c>
      <c r="M1160" s="19" t="str">
        <f>HYPERLINK("http://ms.phosphosite.org:5080/cgi-bin/plot-msms.cgi?MassType=1&amp;NumAxis=1&amp;Mod1=147&amp;Mod5=170&amp;Mod11=184&amp;Mod20=147&amp;Pep=MVDNRGFMVTRSYTVGVMMMHR&amp;Dta=/var/www/html/dta/yong/23617.33838.3.dta&amp;Global_Mod=CS57.0215", "33838")</f>
        <v>33838</v>
      </c>
      <c r="N1160" s="20">
        <v>140.24</v>
      </c>
      <c r="O1160" s="20">
        <v>153.43</v>
      </c>
      <c r="P1160" s="20">
        <v>3.33</v>
      </c>
      <c r="Q1160" s="20">
        <v>2.7120000000000002</v>
      </c>
      <c r="R1160" s="20">
        <v>1.4790000000000001</v>
      </c>
      <c r="S1160" s="20">
        <v>0.69289999999999996</v>
      </c>
      <c r="T1160" s="20">
        <v>0.1173</v>
      </c>
      <c r="U1160" s="20">
        <v>0.1394</v>
      </c>
      <c r="V1160" s="19">
        <v>52</v>
      </c>
      <c r="W1160" s="19">
        <v>4</v>
      </c>
      <c r="X1160" s="20">
        <v>1.1200000000000001</v>
      </c>
      <c r="Y1160" s="20">
        <v>1.1599999999999999</v>
      </c>
      <c r="Z1160" s="21" t="s">
        <v>1306</v>
      </c>
      <c r="AA1160" s="21" t="s">
        <v>1306</v>
      </c>
      <c r="AB1160" s="19" t="s">
        <v>13</v>
      </c>
    </row>
    <row r="1161" spans="1:28" s="18" customFormat="1">
      <c r="A1161" s="9" t="s">
        <v>1157</v>
      </c>
      <c r="B1161" s="9" t="s">
        <v>1761</v>
      </c>
      <c r="C1161" s="9" t="s">
        <v>1761</v>
      </c>
      <c r="D1161" s="7">
        <v>471</v>
      </c>
      <c r="E1161" s="9" t="s">
        <v>1292</v>
      </c>
      <c r="F1161" s="7" t="s">
        <v>1483</v>
      </c>
      <c r="G1161" s="7">
        <v>60.6</v>
      </c>
      <c r="H1161" s="9" t="s">
        <v>1293</v>
      </c>
      <c r="I1161" s="9" t="s">
        <v>1294</v>
      </c>
      <c r="J1161" s="7">
        <v>4</v>
      </c>
      <c r="K1161" s="7">
        <v>377.22919999999999</v>
      </c>
      <c r="L1161" s="7" t="str">
        <f>HYPERLINK("http://ms.phosphosite.org:5080/cgi-bin/plot-msms.cgi?MassType=1&amp;NumAxis=1&amp;Mod9=184&amp;Pep=VGHFPVSIRQPLK&amp;Dta=/var/www/html/dta/yong/23616.11270.4.dta&amp;Global_Mod=CS57.0215", "11270")</f>
        <v>11270</v>
      </c>
      <c r="M1161" s="7"/>
      <c r="N1161" s="10">
        <v>54.42</v>
      </c>
      <c r="O1161" s="10"/>
      <c r="P1161" s="10">
        <v>2.33</v>
      </c>
      <c r="Q1161" s="10"/>
      <c r="R1161" s="10">
        <v>0.39650000000000002</v>
      </c>
      <c r="S1161" s="10"/>
      <c r="T1161" s="10">
        <v>0.16830000000000001</v>
      </c>
      <c r="U1161" s="10"/>
      <c r="V1161" s="7">
        <v>2</v>
      </c>
      <c r="W1161" s="7"/>
      <c r="X1161" s="10">
        <v>1.41</v>
      </c>
      <c r="Y1161" s="10"/>
      <c r="Z1161" s="11">
        <v>1000</v>
      </c>
      <c r="AA1161" s="11"/>
      <c r="AB1161" s="7" t="s">
        <v>13</v>
      </c>
    </row>
    <row r="1162" spans="1:28">
      <c r="A1162" s="3" t="s">
        <v>1157</v>
      </c>
      <c r="B1162" s="3" t="s">
        <v>1762</v>
      </c>
      <c r="C1162" s="3" t="s">
        <v>1763</v>
      </c>
      <c r="D1162" s="4">
        <v>481</v>
      </c>
      <c r="E1162" s="3" t="s">
        <v>1295</v>
      </c>
      <c r="F1162" s="7" t="s">
        <v>1484</v>
      </c>
      <c r="G1162" s="4">
        <v>66.2</v>
      </c>
      <c r="H1162" s="3" t="s">
        <v>1296</v>
      </c>
      <c r="I1162" s="3" t="s">
        <v>1297</v>
      </c>
      <c r="J1162" s="4">
        <v>3</v>
      </c>
      <c r="K1162" s="4">
        <v>600.70000000000005</v>
      </c>
      <c r="L1162" s="4" t="str">
        <f>HYPERLINK("http://ms.phosphosite.org:5080/cgi-bin/plot-msms.cgi?MassType=1&amp;NumAxis=1&amp;Mod2=184&amp;Pep=VRINLQQQPPPLQIK&amp;Dta=/var/www/html/dta/yong/23616.14394.3.dta&amp;Global_Mod=CS57.0215", "14394")</f>
        <v>14394</v>
      </c>
      <c r="M1162" s="4" t="str">
        <f>HYPERLINK("http://ms.phosphosite.org:5080/cgi-bin/plot-msms.cgi?MassType=1&amp;NumAxis=1&amp;Mod2=184&amp;Pep=VRINLQQQPPPLQIK&amp;Dta=/var/www/html/dta/yong/23617.14689.3.dta&amp;Global_Mod=CS57.0215", "14689")</f>
        <v>14689</v>
      </c>
      <c r="N1162" s="5">
        <v>68.12</v>
      </c>
      <c r="O1162" s="5">
        <v>68.650000000000006</v>
      </c>
      <c r="P1162" s="5">
        <v>3.7719999999999998</v>
      </c>
      <c r="Q1162" s="5">
        <v>2.7930000000000001</v>
      </c>
      <c r="R1162" s="5">
        <v>0.73029999999999995</v>
      </c>
      <c r="S1162" s="5">
        <v>0.71830000000000005</v>
      </c>
      <c r="T1162" s="5">
        <v>0.21709999999999999</v>
      </c>
      <c r="U1162" s="5">
        <v>0.1012</v>
      </c>
      <c r="V1162" s="4">
        <v>5</v>
      </c>
      <c r="W1162" s="4">
        <v>1</v>
      </c>
      <c r="X1162" s="5">
        <v>2.08</v>
      </c>
      <c r="Y1162" s="5">
        <v>1.17</v>
      </c>
      <c r="Z1162" s="6">
        <v>1000</v>
      </c>
      <c r="AA1162" s="6">
        <v>1000</v>
      </c>
      <c r="AB1162" s="4" t="s">
        <v>13</v>
      </c>
    </row>
    <row r="1163" spans="1:28">
      <c r="A1163" s="3" t="s">
        <v>1157</v>
      </c>
      <c r="B1163" s="3" t="s">
        <v>1763</v>
      </c>
      <c r="C1163" s="3" t="s">
        <v>1763</v>
      </c>
      <c r="D1163" s="4">
        <v>481</v>
      </c>
      <c r="E1163" s="3" t="s">
        <v>1295</v>
      </c>
      <c r="F1163" s="7" t="s">
        <v>1484</v>
      </c>
      <c r="G1163" s="4">
        <v>66.2</v>
      </c>
      <c r="H1163" s="3" t="s">
        <v>1296</v>
      </c>
      <c r="I1163" s="3" t="s">
        <v>1297</v>
      </c>
      <c r="J1163" s="4">
        <v>3</v>
      </c>
      <c r="K1163" s="4">
        <v>600.70000000000005</v>
      </c>
      <c r="L1163" s="4" t="str">
        <f>HYPERLINK("http://ms.phosphosite.org:5080/cgi-bin/plot-msms.cgi?MassType=1&amp;NumAxis=1&amp;Mod2=184&amp;Pep=VRINLQQQPPPLQIK&amp;Dta=/var/www/html/dta/yong/23616.14563.3.dta&amp;Global_Mod=CS57.0215", "14563")</f>
        <v>14563</v>
      </c>
      <c r="M1163" s="4" t="str">
        <f>HYPERLINK("http://ms.phosphosite.org:5080/cgi-bin/plot-msms.cgi?MassType=1&amp;NumAxis=1&amp;Mod2=184&amp;Pep=VRINLQQQPPPLQIK&amp;Dta=/var/www/html/dta/yong/23617.14521.3.dta&amp;Global_Mod=CS57.0215", "14521")</f>
        <v>14521</v>
      </c>
      <c r="N1163" s="5">
        <v>68.84</v>
      </c>
      <c r="O1163" s="5">
        <v>67.95</v>
      </c>
      <c r="P1163" s="5">
        <v>2.8959999999999999</v>
      </c>
      <c r="Q1163" s="5">
        <v>3.0409999999999999</v>
      </c>
      <c r="R1163" s="5">
        <v>0.79549999999999998</v>
      </c>
      <c r="S1163" s="5">
        <v>0.65129999999999999</v>
      </c>
      <c r="T1163" s="5">
        <v>0.1734</v>
      </c>
      <c r="U1163" s="5">
        <v>0.26500000000000001</v>
      </c>
      <c r="V1163" s="4">
        <v>1</v>
      </c>
      <c r="W1163" s="4">
        <v>4</v>
      </c>
      <c r="X1163" s="5">
        <v>1.58</v>
      </c>
      <c r="Y1163" s="5">
        <v>2.17</v>
      </c>
      <c r="Z1163" s="6">
        <v>1000</v>
      </c>
      <c r="AA1163" s="6">
        <v>1000</v>
      </c>
      <c r="AB1163" s="4" t="s">
        <v>13</v>
      </c>
    </row>
    <row r="1164" spans="1:28">
      <c r="A1164" s="3" t="s">
        <v>1157</v>
      </c>
      <c r="B1164" s="3" t="s">
        <v>1298</v>
      </c>
      <c r="C1164" s="3" t="s">
        <v>1298</v>
      </c>
      <c r="D1164" s="4">
        <v>800</v>
      </c>
      <c r="E1164" s="3" t="s">
        <v>1299</v>
      </c>
      <c r="F1164" s="7" t="s">
        <v>1485</v>
      </c>
      <c r="G1164" s="4">
        <v>105.3</v>
      </c>
      <c r="H1164" s="3" t="s">
        <v>1300</v>
      </c>
      <c r="I1164" s="3" t="s">
        <v>1301</v>
      </c>
      <c r="J1164" s="4">
        <v>4</v>
      </c>
      <c r="K1164" s="4">
        <v>803.42</v>
      </c>
      <c r="L1164" s="4" t="str">
        <f>HYPERLINK("http://ms.phosphosite.org:5080/cgi-bin/plot-msms.cgi?MassType=1&amp;NumAxis=1&amp;Mod15=184&amp;Pep=SAPFFIPTIPGLVPRYAAPEQNNDPQQSK&amp;Dta=/var/www/html/dta/yong/23616.26613.4.dta&amp;Global_Mod=CS57.0215", "26613")</f>
        <v>26613</v>
      </c>
      <c r="M1164" s="4" t="str">
        <f>HYPERLINK("http://ms.phosphosite.org:5080/cgi-bin/plot-msms.cgi?MassType=1&amp;NumAxis=1&amp;Mod15=184&amp;Pep=SAPFFIPTIPGLVPRYAAPEQNNDPQQSK&amp;Dta=/var/www/html/dta/yong/23617.26762.4.dta&amp;Global_Mod=CS57.0215", "26762")</f>
        <v>26762</v>
      </c>
      <c r="N1164" s="5">
        <v>119</v>
      </c>
      <c r="O1164" s="5">
        <v>119.15</v>
      </c>
      <c r="P1164" s="5">
        <v>3.121</v>
      </c>
      <c r="Q1164" s="5">
        <v>3.7189999999999999</v>
      </c>
      <c r="R1164" s="5">
        <v>1.1371</v>
      </c>
      <c r="S1164" s="5">
        <v>1.2462</v>
      </c>
      <c r="T1164" s="5">
        <v>0.23300000000000001</v>
      </c>
      <c r="U1164" s="5">
        <v>0.29499999999999998</v>
      </c>
      <c r="V1164" s="4">
        <v>5</v>
      </c>
      <c r="W1164" s="4">
        <v>1</v>
      </c>
      <c r="X1164" s="5">
        <v>1.88</v>
      </c>
      <c r="Y1164" s="5">
        <v>2.36</v>
      </c>
      <c r="Z1164" s="6">
        <v>1000</v>
      </c>
      <c r="AA1164" s="6">
        <v>1000</v>
      </c>
      <c r="AB1164" s="4" t="s">
        <v>13</v>
      </c>
    </row>
    <row r="1165" spans="1:28">
      <c r="A1165" s="3" t="s">
        <v>1157</v>
      </c>
      <c r="B1165" s="3" t="s">
        <v>1298</v>
      </c>
      <c r="C1165" s="3" t="s">
        <v>1298</v>
      </c>
      <c r="D1165" s="4">
        <v>800</v>
      </c>
      <c r="E1165" s="3" t="s">
        <v>1299</v>
      </c>
      <c r="F1165" s="7" t="s">
        <v>1485</v>
      </c>
      <c r="G1165" s="4">
        <v>105.3</v>
      </c>
      <c r="H1165" s="3" t="s">
        <v>1300</v>
      </c>
      <c r="I1165" s="3" t="s">
        <v>1301</v>
      </c>
      <c r="J1165" s="4">
        <v>4</v>
      </c>
      <c r="K1165" s="4">
        <v>803.42</v>
      </c>
      <c r="L1165" s="4" t="str">
        <f>HYPERLINK("http://ms.phosphosite.org:5080/cgi-bin/plot-msms.cgi?MassType=1&amp;NumAxis=1&amp;Mod15=184&amp;Pep=SAPFFIPTIPGLVPRYAAPEQNNDPQQSK&amp;Dta=/var/www/html/dta/yong/23616.26639.4.dta&amp;Global_Mod=CS57.0215", "26639")</f>
        <v>26639</v>
      </c>
      <c r="M1165" s="4"/>
      <c r="N1165" s="5">
        <v>119.11</v>
      </c>
      <c r="O1165" s="5"/>
      <c r="P1165" s="5">
        <v>3.1749999999999998</v>
      </c>
      <c r="Q1165" s="5"/>
      <c r="R1165" s="5">
        <v>1.1371</v>
      </c>
      <c r="S1165" s="5"/>
      <c r="T1165" s="5">
        <v>0.15140000000000001</v>
      </c>
      <c r="U1165" s="5"/>
      <c r="V1165" s="4">
        <v>132</v>
      </c>
      <c r="W1165" s="4"/>
      <c r="X1165" s="5">
        <v>1.39</v>
      </c>
      <c r="Y1165" s="5"/>
      <c r="Z1165" s="6">
        <v>1000</v>
      </c>
      <c r="AA1165" s="6"/>
      <c r="AB1165" s="4" t="s">
        <v>13</v>
      </c>
    </row>
    <row r="1166" spans="1:28">
      <c r="A1166" s="3" t="s">
        <v>1157</v>
      </c>
      <c r="B1166" s="3" t="s">
        <v>1298</v>
      </c>
      <c r="C1166" s="3" t="s">
        <v>1298</v>
      </c>
      <c r="D1166" s="4">
        <v>800</v>
      </c>
      <c r="E1166" s="3" t="s">
        <v>1299</v>
      </c>
      <c r="F1166" s="7" t="s">
        <v>1485</v>
      </c>
      <c r="G1166" s="4">
        <v>105.3</v>
      </c>
      <c r="H1166" s="3" t="s">
        <v>1300</v>
      </c>
      <c r="I1166" s="3" t="s">
        <v>1301</v>
      </c>
      <c r="J1166" s="4">
        <v>4</v>
      </c>
      <c r="K1166" s="4">
        <v>803.42</v>
      </c>
      <c r="L1166" s="4" t="str">
        <f>HYPERLINK("http://ms.phosphosite.org:5080/cgi-bin/plot-msms.cgi?MassType=1&amp;NumAxis=1&amp;Mod15=184&amp;Pep=SAPFFIPTIPGLVPRYAAPEQNNDPQQSK&amp;Dta=/var/www/html/dta/yong/23616.26661.4.dta&amp;Global_Mod=CS57.0215", "26661")</f>
        <v>26661</v>
      </c>
      <c r="M1166" s="4"/>
      <c r="N1166" s="5">
        <v>119.2</v>
      </c>
      <c r="O1166" s="5"/>
      <c r="P1166" s="5">
        <v>3.0840000000000001</v>
      </c>
      <c r="Q1166" s="5"/>
      <c r="R1166" s="5">
        <v>1.1371</v>
      </c>
      <c r="S1166" s="5"/>
      <c r="T1166" s="5">
        <v>0.15859999999999999</v>
      </c>
      <c r="U1166" s="5"/>
      <c r="V1166" s="4">
        <v>1</v>
      </c>
      <c r="W1166" s="4"/>
      <c r="X1166" s="5">
        <v>1.45</v>
      </c>
      <c r="Y1166" s="5"/>
      <c r="Z1166" s="6">
        <v>1000</v>
      </c>
      <c r="AA1166" s="6"/>
      <c r="AB1166" s="4" t="s">
        <v>13</v>
      </c>
    </row>
    <row r="1167" spans="1:28">
      <c r="A1167" s="3" t="s">
        <v>1157</v>
      </c>
      <c r="B1167" s="3" t="s">
        <v>1764</v>
      </c>
      <c r="C1167" s="3" t="s">
        <v>1764</v>
      </c>
      <c r="D1167" s="4" t="s">
        <v>1817</v>
      </c>
      <c r="E1167" s="3" t="s">
        <v>1302</v>
      </c>
      <c r="F1167" s="7" t="s">
        <v>1486</v>
      </c>
      <c r="G1167" s="4">
        <v>122.6</v>
      </c>
      <c r="H1167" s="3" t="s">
        <v>1303</v>
      </c>
      <c r="I1167" s="3" t="s">
        <v>1304</v>
      </c>
      <c r="J1167" s="4">
        <v>3</v>
      </c>
      <c r="K1167" s="4">
        <v>651.67510000000004</v>
      </c>
      <c r="L1167" s="4" t="str">
        <f>HYPERLINK("http://ms.phosphosite.org:5080/cgi-bin/plot-msms.cgi?MassType=1&amp;NumAxis=1&amp;Mod6=184&amp;Mod13=184&amp;Pep=SSGSSRGSLASSRGSLASSR&amp;Dta=/var/www/html/dta/yong/23616.4268.3.dta&amp;Global_Mod=CS57.0215", "4268")</f>
        <v>4268</v>
      </c>
      <c r="M1167" s="4" t="str">
        <f>HYPERLINK("http://ms.phosphosite.org:5080/cgi-bin/plot-msms.cgi?MassType=1&amp;NumAxis=1&amp;Mod6=184&amp;Mod13=184&amp;Pep=SSGSSRGSLASSRGSLASSR&amp;Dta=/var/www/html/dta/yong/23617.4349.3.dta&amp;Global_Mod=CS57.0215", "4349")</f>
        <v>4349</v>
      </c>
      <c r="N1167" s="5">
        <v>25.17</v>
      </c>
      <c r="O1167" s="5">
        <v>25.17</v>
      </c>
      <c r="P1167" s="5">
        <v>2.843</v>
      </c>
      <c r="Q1167" s="5">
        <v>2.9769999999999999</v>
      </c>
      <c r="R1167" s="5">
        <v>1.7885</v>
      </c>
      <c r="S1167" s="5">
        <v>0.59309999999999996</v>
      </c>
      <c r="T1167" s="5">
        <v>0.2301</v>
      </c>
      <c r="U1167" s="5">
        <v>0.2132</v>
      </c>
      <c r="V1167" s="4">
        <v>1</v>
      </c>
      <c r="W1167" s="4">
        <v>17</v>
      </c>
      <c r="X1167" s="5">
        <v>1.65</v>
      </c>
      <c r="Y1167" s="5">
        <v>1.6</v>
      </c>
      <c r="Z1167" s="6" t="s">
        <v>1306</v>
      </c>
      <c r="AA1167" s="6" t="s">
        <v>1306</v>
      </c>
      <c r="AB1167" s="4" t="s">
        <v>13</v>
      </c>
    </row>
    <row r="1168" spans="1:28">
      <c r="A1168" s="3" t="s">
        <v>12</v>
      </c>
      <c r="B1168" s="24" t="s">
        <v>1818</v>
      </c>
      <c r="C1168" t="s">
        <v>1818</v>
      </c>
      <c r="D1168" s="4">
        <v>270</v>
      </c>
      <c r="E1168" s="3" t="s">
        <v>1819</v>
      </c>
      <c r="F1168" s="3" t="s">
        <v>1820</v>
      </c>
      <c r="G1168" s="4">
        <v>628.70000000000005</v>
      </c>
      <c r="H1168" s="3" t="s">
        <v>1821</v>
      </c>
      <c r="I1168" s="3" t="s">
        <v>1822</v>
      </c>
      <c r="J1168" s="4">
        <v>3</v>
      </c>
      <c r="K1168" s="4">
        <v>761.08010000000002</v>
      </c>
      <c r="L1168" s="4" t="str">
        <f>HYPERLINK("http://ms.phosphosite.org:5080/cgi-bin/plot-msms.cgi?MassType=1&amp;NumAxis=1&amp;Mod7=170&amp;Pep=GLDLGGRGGVQVPAVDISSSLGGR&amp;Dta=/var/www/html/dta/yong/23612.15066.3.dta&amp;Global_Mod=CS57.0215", "15066")</f>
        <v>15066</v>
      </c>
      <c r="M1168" s="4" t="str">
        <f>HYPERLINK("http://ms.phosphosite.org:5080/cgi-bin/plot-msms.cgi?MassType=1&amp;NumAxis=1&amp;Mod7=170&amp;Pep=GLDLGGRGGVQVPAVDISSSLGGR&amp;Dta=/var/www/html/dta/yong/23613.15128.3.dta&amp;Global_Mod=CS57.0215", "15128")</f>
        <v>15128</v>
      </c>
      <c r="N1168" s="5">
        <v>61.88</v>
      </c>
      <c r="O1168" s="5">
        <v>61.85</v>
      </c>
      <c r="P1168" s="5">
        <v>3.63</v>
      </c>
      <c r="Q1168" s="5">
        <v>4.1289999999999996</v>
      </c>
      <c r="R1168" s="5">
        <v>-0.19539999999999999</v>
      </c>
      <c r="S1168" s="5">
        <v>0.62609999999999999</v>
      </c>
      <c r="T1168" s="5">
        <v>0.32090000000000002</v>
      </c>
      <c r="U1168" s="5">
        <v>0.36399999999999999</v>
      </c>
      <c r="V1168" s="4">
        <v>1</v>
      </c>
      <c r="W1168" s="4">
        <v>1</v>
      </c>
      <c r="X1168" s="5">
        <v>2</v>
      </c>
      <c r="Y1168" s="5">
        <v>2.2999999999999998</v>
      </c>
      <c r="Z1168" s="6">
        <v>1000</v>
      </c>
      <c r="AA1168" s="6">
        <v>1000</v>
      </c>
      <c r="AB1168" s="4" t="s">
        <v>13</v>
      </c>
    </row>
    <row r="1169" spans="1:28">
      <c r="A1169" s="3" t="s">
        <v>12</v>
      </c>
      <c r="B1169" s="24" t="s">
        <v>1818</v>
      </c>
      <c r="C1169" t="s">
        <v>1818</v>
      </c>
      <c r="D1169" s="4">
        <v>270</v>
      </c>
      <c r="E1169" s="3" t="s">
        <v>1819</v>
      </c>
      <c r="F1169" s="3" t="s">
        <v>1820</v>
      </c>
      <c r="G1169" s="4">
        <v>628.70000000000005</v>
      </c>
      <c r="H1169" s="3" t="s">
        <v>1821</v>
      </c>
      <c r="I1169" s="3" t="s">
        <v>1822</v>
      </c>
      <c r="J1169" s="4">
        <v>3</v>
      </c>
      <c r="K1169" s="4">
        <v>761.08010000000002</v>
      </c>
      <c r="L1169" s="4" t="str">
        <f>HYPERLINK("http://ms.phosphosite.org:5080/cgi-bin/plot-msms.cgi?MassType=1&amp;NumAxis=1&amp;Mod7=170&amp;Pep=GLDLGGRGGVQVPAVDISSSLGGR&amp;Dta=/var/www/html/dta/yong/23612.15039.3.dta&amp;Global_Mod=CS57.0215", "15039")</f>
        <v>15039</v>
      </c>
      <c r="M1169" s="4"/>
      <c r="N1169" s="5">
        <v>61.79</v>
      </c>
      <c r="O1169" s="5"/>
      <c r="P1169" s="5">
        <v>4.9059999999999997</v>
      </c>
      <c r="Q1169" s="5"/>
      <c r="R1169" s="5">
        <v>1.6937</v>
      </c>
      <c r="S1169" s="5"/>
      <c r="T1169" s="5">
        <v>0.437</v>
      </c>
      <c r="U1169" s="5"/>
      <c r="V1169" s="4">
        <v>1</v>
      </c>
      <c r="W1169" s="4"/>
      <c r="X1169" s="5">
        <v>2.78</v>
      </c>
      <c r="Y1169" s="5"/>
      <c r="Z1169" s="6">
        <v>1000</v>
      </c>
      <c r="AA1169" s="6"/>
      <c r="AB1169" s="4" t="s">
        <v>13</v>
      </c>
    </row>
    <row r="1170" spans="1:28" ht="15">
      <c r="A1170" s="3" t="s">
        <v>12</v>
      </c>
      <c r="B1170" s="24" t="s">
        <v>1823</v>
      </c>
      <c r="C1170" t="s">
        <v>1823</v>
      </c>
      <c r="D1170" s="4">
        <v>96</v>
      </c>
      <c r="E1170" s="3" t="s">
        <v>1824</v>
      </c>
      <c r="F1170" s="25" t="s">
        <v>1825</v>
      </c>
      <c r="G1170" s="4">
        <v>31.2</v>
      </c>
      <c r="H1170" s="3" t="s">
        <v>1826</v>
      </c>
      <c r="I1170" s="3" t="s">
        <v>1827</v>
      </c>
      <c r="J1170" s="4">
        <v>3</v>
      </c>
      <c r="K1170" s="4">
        <v>563.96879999999999</v>
      </c>
      <c r="L1170" s="4" t="str">
        <f>HYPERLINK("http://ms.phosphosite.org:5080/cgi-bin/plot-msms.cgi?MassType=1&amp;NumAxis=1&amp;Mod2=170&amp;Pep=GRGFSIVTDTPELQR&amp;Dta=/var/www/html/dta/yong/23612.11252.3.dta&amp;Global_Mod=CS57.0215", "11252")</f>
        <v>11252</v>
      </c>
      <c r="M1170" s="4" t="str">
        <f>HYPERLINK("http://ms.phosphosite.org:5080/cgi-bin/plot-msms.cgi?MassType=1&amp;NumAxis=1&amp;Mod2=170&amp;Pep=GRGFSIVTDTPELQR&amp;Dta=/var/www/html/dta/yong/23613.11345.3.dta&amp;Global_Mod=CS57.0215", "11345")</f>
        <v>11345</v>
      </c>
      <c r="N1170" s="5">
        <v>48.3</v>
      </c>
      <c r="O1170" s="5">
        <v>48.35</v>
      </c>
      <c r="P1170" s="5">
        <v>2.2149999999999999</v>
      </c>
      <c r="Q1170" s="5">
        <v>2.8069999999999999</v>
      </c>
      <c r="R1170" s="5">
        <v>0.18890000000000001</v>
      </c>
      <c r="S1170" s="5">
        <v>0.54569999999999996</v>
      </c>
      <c r="T1170" s="5">
        <v>0.18260000000000001</v>
      </c>
      <c r="U1170" s="5">
        <v>0.24940000000000001</v>
      </c>
      <c r="V1170" s="4">
        <v>2</v>
      </c>
      <c r="W1170" s="4">
        <v>1</v>
      </c>
      <c r="X1170" s="5">
        <v>1.1399999999999999</v>
      </c>
      <c r="Y1170" s="5">
        <v>1.56</v>
      </c>
      <c r="Z1170" s="6">
        <v>1000</v>
      </c>
      <c r="AA1170" s="6">
        <v>1000</v>
      </c>
      <c r="AB1170" s="4" t="s">
        <v>13</v>
      </c>
    </row>
    <row r="1171" spans="1:28" ht="15">
      <c r="A1171" s="3" t="s">
        <v>12</v>
      </c>
      <c r="B1171" s="24" t="s">
        <v>1828</v>
      </c>
      <c r="C1171" s="26" t="s">
        <v>1829</v>
      </c>
      <c r="D1171" s="4">
        <v>132</v>
      </c>
      <c r="E1171" s="3" t="s">
        <v>1824</v>
      </c>
      <c r="F1171" s="25" t="s">
        <v>1825</v>
      </c>
      <c r="G1171" s="4">
        <v>31.2</v>
      </c>
      <c r="H1171" s="3" t="s">
        <v>1830</v>
      </c>
      <c r="I1171" s="3" t="s">
        <v>1831</v>
      </c>
      <c r="J1171" s="4">
        <v>3</v>
      </c>
      <c r="K1171" s="4">
        <v>553.62139999999999</v>
      </c>
      <c r="L1171" s="4" t="str">
        <f>HYPERLINK("http://ms.phosphosite.org:5080/cgi-bin/plot-msms.cgi?MassType=1&amp;NumAxis=1&amp;Mod2=170&amp;Pep=GRGFTPVVDDPVTER&amp;Dta=/var/www/html/dta/yong/23612.9436.3.dta&amp;Global_Mod=CS57.0215", "9436")</f>
        <v>9436</v>
      </c>
      <c r="M1171" s="4"/>
      <c r="N1171" s="5">
        <v>42.01</v>
      </c>
      <c r="O1171" s="5"/>
      <c r="P1171" s="5">
        <v>3.5209999999999999</v>
      </c>
      <c r="Q1171" s="5"/>
      <c r="R1171" s="5">
        <v>-0.14410000000000001</v>
      </c>
      <c r="S1171" s="5"/>
      <c r="T1171" s="5">
        <v>7.7299999999999994E-2</v>
      </c>
      <c r="U1171" s="5"/>
      <c r="V1171" s="4">
        <v>15</v>
      </c>
      <c r="W1171" s="4"/>
      <c r="X1171" s="5">
        <v>0.85</v>
      </c>
      <c r="Y1171" s="5"/>
      <c r="Z1171" s="6">
        <v>1000</v>
      </c>
      <c r="AA1171" s="6"/>
      <c r="AB1171" s="4" t="s">
        <v>13</v>
      </c>
    </row>
    <row r="1172" spans="1:28">
      <c r="A1172" s="3" t="s">
        <v>12</v>
      </c>
      <c r="B1172" s="24" t="s">
        <v>1832</v>
      </c>
      <c r="C1172" s="26" t="s">
        <v>1832</v>
      </c>
      <c r="D1172" s="4">
        <v>1203</v>
      </c>
      <c r="E1172" s="3" t="s">
        <v>1833</v>
      </c>
      <c r="F1172" s="3" t="s">
        <v>1834</v>
      </c>
      <c r="G1172" s="4">
        <v>247.6</v>
      </c>
      <c r="H1172" s="3" t="s">
        <v>1835</v>
      </c>
      <c r="I1172" s="3" t="s">
        <v>1836</v>
      </c>
      <c r="J1172" s="4">
        <v>2</v>
      </c>
      <c r="K1172" s="4">
        <v>811.40570000000002</v>
      </c>
      <c r="L1172" s="4" t="str">
        <f>HYPERLINK("http://ms.phosphosite.org:5080/cgi-bin/plot-msms.cgi?MassType=1&amp;NumAxis=1&amp;Mod2=170&amp;Pep=GRGAANDSTQFTVAGR&amp;Dta=/var/www/html/dta/yong/23612.5512.2.dta&amp;Global_Mod=CS57.0215", "5512")</f>
        <v>5512</v>
      </c>
      <c r="M1172" s="4" t="str">
        <f>HYPERLINK("http://ms.phosphosite.org:5080/cgi-bin/plot-msms.cgi?MassType=1&amp;NumAxis=1&amp;Mod2=170&amp;Pep=GRGAANDSTQFTVAGR&amp;Dta=/var/www/html/dta/yong/23613.5552.2.dta&amp;Global_Mod=CS57.0215", "5552")</f>
        <v>5552</v>
      </c>
      <c r="N1172" s="5">
        <v>27.73</v>
      </c>
      <c r="O1172" s="5">
        <v>27.7</v>
      </c>
      <c r="P1172" s="5">
        <v>4.0129999999999999</v>
      </c>
      <c r="Q1172" s="5">
        <v>4.0439999999999996</v>
      </c>
      <c r="R1172" s="5">
        <v>0.66800000000000004</v>
      </c>
      <c r="S1172" s="5">
        <v>1.4367000000000001</v>
      </c>
      <c r="T1172" s="5">
        <v>0.3659</v>
      </c>
      <c r="U1172" s="5">
        <v>0.33889999999999998</v>
      </c>
      <c r="V1172" s="4">
        <v>1</v>
      </c>
      <c r="W1172" s="4">
        <v>1</v>
      </c>
      <c r="X1172" s="5">
        <v>2.33</v>
      </c>
      <c r="Y1172" s="5">
        <v>2.16</v>
      </c>
      <c r="Z1172" s="6">
        <v>1000</v>
      </c>
      <c r="AA1172" s="6">
        <v>1000</v>
      </c>
      <c r="AB1172" s="4" t="s">
        <v>13</v>
      </c>
    </row>
    <row r="1173" spans="1:28">
      <c r="A1173" s="3" t="s">
        <v>12</v>
      </c>
      <c r="B1173" s="24" t="s">
        <v>1832</v>
      </c>
      <c r="C1173" s="26" t="s">
        <v>1832</v>
      </c>
      <c r="D1173" s="4">
        <v>1203</v>
      </c>
      <c r="E1173" s="3" t="s">
        <v>1833</v>
      </c>
      <c r="F1173" s="3" t="s">
        <v>1834</v>
      </c>
      <c r="G1173" s="4">
        <v>247.6</v>
      </c>
      <c r="H1173" s="3" t="s">
        <v>1835</v>
      </c>
      <c r="I1173" s="3" t="s">
        <v>1836</v>
      </c>
      <c r="J1173" s="4">
        <v>3</v>
      </c>
      <c r="K1173" s="4">
        <v>541.27290000000005</v>
      </c>
      <c r="L1173" s="4" t="str">
        <f>HYPERLINK("http://ms.phosphosite.org:5080/cgi-bin/plot-msms.cgi?MassType=1&amp;NumAxis=1&amp;Mod2=170&amp;Pep=GRGAANDSTQFTVAGR&amp;Dta=/var/www/html/dta/yong/23612.5489.3.dta&amp;Global_Mod=CS57.0215", "5489")</f>
        <v>5489</v>
      </c>
      <c r="M1173" s="4" t="str">
        <f>HYPERLINK("http://ms.phosphosite.org:5080/cgi-bin/plot-msms.cgi?MassType=1&amp;NumAxis=1&amp;Mod2=170&amp;Pep=GRGAANDSTQFTVAGR&amp;Dta=/var/www/html/dta/yong/23613.5532.3.dta&amp;Global_Mod=CS57.0215", "5532")</f>
        <v>5532</v>
      </c>
      <c r="N1173" s="5">
        <v>27.65</v>
      </c>
      <c r="O1173" s="5">
        <v>27.62</v>
      </c>
      <c r="P1173" s="5">
        <v>3.86</v>
      </c>
      <c r="Q1173" s="5">
        <v>3.3450000000000002</v>
      </c>
      <c r="R1173" s="5">
        <v>0.59379999999999999</v>
      </c>
      <c r="S1173" s="5">
        <v>0.64410000000000001</v>
      </c>
      <c r="T1173" s="5">
        <v>0.22040000000000001</v>
      </c>
      <c r="U1173" s="5">
        <v>0.18740000000000001</v>
      </c>
      <c r="V1173" s="4">
        <v>1</v>
      </c>
      <c r="W1173" s="4">
        <v>7</v>
      </c>
      <c r="X1173" s="5">
        <v>1.65</v>
      </c>
      <c r="Y1173" s="5">
        <v>1.36</v>
      </c>
      <c r="Z1173" s="6">
        <v>1000</v>
      </c>
      <c r="AA1173" s="6">
        <v>1000</v>
      </c>
      <c r="AB1173" s="4" t="s">
        <v>13</v>
      </c>
    </row>
    <row r="1174" spans="1:28">
      <c r="A1174" s="3" t="s">
        <v>12</v>
      </c>
      <c r="B1174" s="24" t="s">
        <v>1837</v>
      </c>
      <c r="C1174" t="s">
        <v>1838</v>
      </c>
      <c r="D1174" s="4">
        <v>183</v>
      </c>
      <c r="E1174" s="3" t="s">
        <v>1839</v>
      </c>
      <c r="F1174" s="3" t="s">
        <v>1840</v>
      </c>
      <c r="G1174" s="4">
        <v>22.6</v>
      </c>
      <c r="H1174" s="3" t="s">
        <v>1841</v>
      </c>
      <c r="I1174" s="3" t="s">
        <v>1842</v>
      </c>
      <c r="J1174" s="4">
        <v>3</v>
      </c>
      <c r="K1174" s="4">
        <v>727.67740000000003</v>
      </c>
      <c r="L1174" s="4" t="str">
        <f>HYPERLINK("http://ms.phosphosite.org:5080/cgi-bin/plot-msms.cgi?MassType=1&amp;NumAxis=1&amp;Mod7=147&amp;Mod11=170&amp;Mod18=147&amp;Pep=HVIGLQMGSNRGASQAGMTGY&amp;Dta=/var/www/html/dta/yong/23612.6734.3.dta&amp;Global_Mod=CS57.0215", "6734")</f>
        <v>6734</v>
      </c>
      <c r="M1174" s="4" t="str">
        <f>HYPERLINK("http://ms.phosphosite.org:5080/cgi-bin/plot-msms.cgi?MassType=1&amp;NumAxis=1&amp;Mod7=147&amp;Mod11=170&amp;Mod18=147&amp;Pep=HVIGLQMGSNRGASQAGMTGY&amp;Dta=/var/www/html/dta/yong/23613.6794.3.dta&amp;Global_Mod=CS57.0215", "6794")</f>
        <v>6794</v>
      </c>
      <c r="N1174" s="5">
        <v>32.299999999999997</v>
      </c>
      <c r="O1174" s="5">
        <v>32.36</v>
      </c>
      <c r="P1174" s="5">
        <v>3.3</v>
      </c>
      <c r="Q1174" s="5">
        <v>3.206</v>
      </c>
      <c r="R1174" s="5">
        <v>1.1597999999999999</v>
      </c>
      <c r="S1174" s="5">
        <v>1.2826</v>
      </c>
      <c r="T1174" s="5">
        <v>0.45440000000000003</v>
      </c>
      <c r="U1174" s="5">
        <v>0.48630000000000001</v>
      </c>
      <c r="V1174" s="4">
        <v>1</v>
      </c>
      <c r="W1174" s="4">
        <v>1</v>
      </c>
      <c r="X1174" s="5">
        <v>2.66</v>
      </c>
      <c r="Y1174" s="5">
        <v>2.77</v>
      </c>
      <c r="Z1174" s="6">
        <v>1000</v>
      </c>
      <c r="AA1174" s="6">
        <v>1000</v>
      </c>
      <c r="AB1174" s="4" t="s">
        <v>13</v>
      </c>
    </row>
    <row r="1175" spans="1:28">
      <c r="A1175" s="3" t="s">
        <v>12</v>
      </c>
      <c r="B1175" s="24" t="s">
        <v>1837</v>
      </c>
      <c r="C1175" t="s">
        <v>1838</v>
      </c>
      <c r="D1175" s="4">
        <v>183</v>
      </c>
      <c r="E1175" s="3" t="s">
        <v>1839</v>
      </c>
      <c r="F1175" s="3" t="s">
        <v>1840</v>
      </c>
      <c r="G1175" s="4">
        <v>22.6</v>
      </c>
      <c r="H1175" s="3" t="s">
        <v>1841</v>
      </c>
      <c r="I1175" s="3" t="s">
        <v>1843</v>
      </c>
      <c r="J1175" s="4">
        <v>3</v>
      </c>
      <c r="K1175" s="4">
        <v>798.71820000000002</v>
      </c>
      <c r="L1175" s="4" t="str">
        <f>HYPERLINK("http://ms.phosphosite.org:5080/cgi-bin/plot-msms.cgi?MassType=1&amp;NumAxis=1&amp;Mod7=147&amp;Mod11=170&amp;Mod18=147&amp;Pep=HVIGLQMGSNRGASQAGMTGYGR&amp;Dta=/var/www/html/dta/yong/23612.5291.3.dta&amp;Global_Mod=CS57.0215", "5291")</f>
        <v>5291</v>
      </c>
      <c r="M1175" s="4" t="str">
        <f>HYPERLINK("http://ms.phosphosite.org:5080/cgi-bin/plot-msms.cgi?MassType=1&amp;NumAxis=1&amp;Mod7=147&amp;Mod11=170&amp;Mod18=147&amp;Pep=HVIGLQMGSNRGASQAGMTGYGR&amp;Dta=/var/www/html/dta/yong/23613.5351.3.dta&amp;Global_Mod=CS57.0215", "5351")</f>
        <v>5351</v>
      </c>
      <c r="N1175" s="5">
        <v>26.92</v>
      </c>
      <c r="O1175" s="5">
        <v>26.96</v>
      </c>
      <c r="P1175" s="5">
        <v>2.0630000000000002</v>
      </c>
      <c r="Q1175" s="5">
        <v>2.8740000000000001</v>
      </c>
      <c r="R1175" s="5">
        <v>1.5084</v>
      </c>
      <c r="S1175" s="5">
        <v>1.1779999999999999</v>
      </c>
      <c r="T1175" s="5">
        <v>0.2006</v>
      </c>
      <c r="U1175" s="5">
        <v>0.34620000000000001</v>
      </c>
      <c r="V1175" s="4">
        <v>1</v>
      </c>
      <c r="W1175" s="4">
        <v>1</v>
      </c>
      <c r="X1175" s="5">
        <v>1.1299999999999999</v>
      </c>
      <c r="Y1175" s="5">
        <v>1.99</v>
      </c>
      <c r="Z1175" s="6">
        <v>1000</v>
      </c>
      <c r="AA1175" s="6">
        <v>1000</v>
      </c>
      <c r="AB1175" s="4" t="s">
        <v>13</v>
      </c>
    </row>
    <row r="1176" spans="1:28">
      <c r="A1176" s="3" t="s">
        <v>12</v>
      </c>
      <c r="B1176" s="24" t="s">
        <v>1837</v>
      </c>
      <c r="C1176" t="s">
        <v>1838</v>
      </c>
      <c r="D1176" s="4">
        <v>183</v>
      </c>
      <c r="E1176" s="3" t="s">
        <v>1839</v>
      </c>
      <c r="F1176" s="3" t="s">
        <v>1840</v>
      </c>
      <c r="G1176" s="4">
        <v>22.6</v>
      </c>
      <c r="H1176" s="3" t="s">
        <v>1841</v>
      </c>
      <c r="I1176" s="3" t="s">
        <v>1844</v>
      </c>
      <c r="J1176" s="4">
        <v>3</v>
      </c>
      <c r="K1176" s="4">
        <v>793.38660000000004</v>
      </c>
      <c r="L1176" s="4" t="str">
        <f>HYPERLINK("http://ms.phosphosite.org:5080/cgi-bin/plot-msms.cgi?MassType=1&amp;NumAxis=1&amp;Mod11=170&amp;Mod18=147&amp;Pep=HVIGLQMGSNRGASQAGMTGYGR&amp;Dta=/var/www/html/dta/yong/23612.7046.3.dta&amp;Global_Mod=CS57.0215", "7046")</f>
        <v>7046</v>
      </c>
      <c r="M1176" s="4"/>
      <c r="N1176" s="5">
        <v>33.450000000000003</v>
      </c>
      <c r="O1176" s="5"/>
      <c r="P1176" s="5">
        <v>3.0329999999999999</v>
      </c>
      <c r="Q1176" s="5"/>
      <c r="R1176" s="5">
        <v>1.5044999999999999</v>
      </c>
      <c r="S1176" s="5"/>
      <c r="T1176" s="5">
        <v>0.25669999999999998</v>
      </c>
      <c r="U1176" s="5"/>
      <c r="V1176" s="4">
        <v>1</v>
      </c>
      <c r="W1176" s="4"/>
      <c r="X1176" s="5">
        <v>1.59</v>
      </c>
      <c r="Y1176" s="5"/>
      <c r="Z1176" s="6">
        <v>1000</v>
      </c>
      <c r="AA1176" s="6"/>
      <c r="AB1176" s="4" t="s">
        <v>13</v>
      </c>
    </row>
    <row r="1177" spans="1:28">
      <c r="A1177" s="3" t="s">
        <v>12</v>
      </c>
      <c r="B1177" s="24" t="s">
        <v>1845</v>
      </c>
      <c r="C1177" s="26" t="s">
        <v>1846</v>
      </c>
      <c r="D1177" s="4" t="s">
        <v>1847</v>
      </c>
      <c r="E1177" s="3" t="s">
        <v>18</v>
      </c>
      <c r="F1177" s="3" t="s">
        <v>1848</v>
      </c>
      <c r="G1177" s="4">
        <v>51.2</v>
      </c>
      <c r="H1177" s="3" t="s">
        <v>1849</v>
      </c>
      <c r="I1177" s="3" t="s">
        <v>1850</v>
      </c>
      <c r="J1177" s="4">
        <v>3</v>
      </c>
      <c r="K1177" s="4">
        <v>573.96389999999997</v>
      </c>
      <c r="L1177" s="4" t="str">
        <f>HYPERLINK("http://ms.phosphosite.org:5080/cgi-bin/plot-msms.cgi?MassType=1&amp;NumAxis=1&amp;Mod8=170&amp;Mod17=170&amp;Pep=DNDSGGSRPPLLPPGGR&amp;Dta=/var/www/html/dta/yong/23612.7795.3.dta&amp;Global_Mod=CS57.0215", "7795")</f>
        <v>7795</v>
      </c>
      <c r="M1177" s="4" t="str">
        <f>HYPERLINK("http://ms.phosphosite.org:5080/cgi-bin/plot-msms.cgi?MassType=1&amp;NumAxis=1&amp;Mod8=170&amp;Mod17=170&amp;Pep=DNDSGGSRPPLLPPGGR&amp;Dta=/var/www/html/dta/yong/23613.7865.3.dta&amp;Global_Mod=CS57.0215", "7865")</f>
        <v>7865</v>
      </c>
      <c r="N1177" s="5">
        <v>36.1</v>
      </c>
      <c r="O1177" s="5">
        <v>36.25</v>
      </c>
      <c r="P1177" s="5">
        <v>2.944</v>
      </c>
      <c r="Q1177" s="5">
        <v>2.786</v>
      </c>
      <c r="R1177" s="5">
        <v>0.24179999999999999</v>
      </c>
      <c r="S1177" s="5">
        <v>0.18029999999999999</v>
      </c>
      <c r="T1177" s="5">
        <v>9.9299999999999999E-2</v>
      </c>
      <c r="U1177" s="5">
        <v>0.15640000000000001</v>
      </c>
      <c r="V1177" s="4">
        <v>1</v>
      </c>
      <c r="W1177" s="4">
        <v>1</v>
      </c>
      <c r="X1177" s="5">
        <v>1.05</v>
      </c>
      <c r="Y1177" s="5">
        <v>1.26</v>
      </c>
      <c r="Z1177" s="6" t="s">
        <v>1306</v>
      </c>
      <c r="AA1177" s="6" t="s">
        <v>1306</v>
      </c>
      <c r="AB1177" s="4" t="s">
        <v>13</v>
      </c>
    </row>
    <row r="1178" spans="1:28">
      <c r="A1178" s="3" t="s">
        <v>12</v>
      </c>
      <c r="B1178" s="24" t="s">
        <v>1845</v>
      </c>
      <c r="C1178" s="26" t="s">
        <v>1846</v>
      </c>
      <c r="D1178" s="4" t="s">
        <v>1847</v>
      </c>
      <c r="E1178" s="3" t="s">
        <v>18</v>
      </c>
      <c r="F1178" s="3" t="s">
        <v>1848</v>
      </c>
      <c r="G1178" s="4">
        <v>51.2</v>
      </c>
      <c r="H1178" s="3" t="s">
        <v>1849</v>
      </c>
      <c r="I1178" s="3" t="s">
        <v>1850</v>
      </c>
      <c r="J1178" s="4">
        <v>3</v>
      </c>
      <c r="K1178" s="4">
        <v>573.96389999999997</v>
      </c>
      <c r="L1178" s="4" t="str">
        <f>HYPERLINK("http://ms.phosphosite.org:5080/cgi-bin/plot-msms.cgi?MassType=1&amp;NumAxis=1&amp;Mod8=170&amp;Mod17=170&amp;Pep=DNDSGGSRPPLLPPGGR&amp;Dta=/var/www/html/dta/yong/23612.7728.3.dta&amp;Global_Mod=CS57.0215", "7728")</f>
        <v>7728</v>
      </c>
      <c r="M1178" s="4"/>
      <c r="N1178" s="5">
        <v>35.880000000000003</v>
      </c>
      <c r="O1178" s="5"/>
      <c r="P1178" s="5">
        <v>2.8740000000000001</v>
      </c>
      <c r="Q1178" s="5"/>
      <c r="R1178" s="5">
        <v>-0.22839999999999999</v>
      </c>
      <c r="S1178" s="5"/>
      <c r="T1178" s="5">
        <v>0.17899999999999999</v>
      </c>
      <c r="U1178" s="5"/>
      <c r="V1178" s="4">
        <v>4</v>
      </c>
      <c r="W1178" s="4"/>
      <c r="X1178" s="5">
        <v>1.41</v>
      </c>
      <c r="Y1178" s="5"/>
      <c r="Z1178" s="6" t="s">
        <v>1306</v>
      </c>
      <c r="AA1178" s="6"/>
      <c r="AB1178" s="4" t="s">
        <v>13</v>
      </c>
    </row>
    <row r="1179" spans="1:28">
      <c r="A1179" s="3" t="s">
        <v>21</v>
      </c>
      <c r="B1179" s="24" t="s">
        <v>1851</v>
      </c>
      <c r="C1179" t="s">
        <v>1851</v>
      </c>
      <c r="D1179" s="4">
        <v>233</v>
      </c>
      <c r="E1179" s="3" t="s">
        <v>1852</v>
      </c>
      <c r="F1179" s="3" t="s">
        <v>1853</v>
      </c>
      <c r="G1179" s="4">
        <v>76.099999999999994</v>
      </c>
      <c r="H1179" s="3" t="s">
        <v>1854</v>
      </c>
      <c r="I1179" s="3" t="s">
        <v>1855</v>
      </c>
      <c r="J1179" s="4">
        <v>3</v>
      </c>
      <c r="K1179" s="4">
        <v>900.45370000000003</v>
      </c>
      <c r="L1179" s="4" t="str">
        <f>HYPERLINK("http://ms.phosphosite.org:5080/cgi-bin/plot-msms.cgi?MassType=1&amp;NumAxis=1&amp;Mod25=170&amp;Pep=PFVPPAASSEPLSTPWNELNYVGGR&amp;Dta=/var/www/html/dta/yong/23612.18585.3.dta&amp;Global_Mod=CS57.0215", "18585")</f>
        <v>18585</v>
      </c>
      <c r="M1179" s="4" t="str">
        <f>HYPERLINK("http://ms.phosphosite.org:5080/cgi-bin/plot-msms.cgi?MassType=1&amp;NumAxis=1&amp;Mod25=170&amp;Pep=PFVPPAASSEPLSTPWNELNYVGGR&amp;Dta=/var/www/html/dta/yong/23613.18682.3.dta&amp;Global_Mod=CS57.0215", "18682")</f>
        <v>18682</v>
      </c>
      <c r="N1179" s="5">
        <v>76.8</v>
      </c>
      <c r="O1179" s="5">
        <v>76.81</v>
      </c>
      <c r="P1179" s="5">
        <v>4.2160000000000002</v>
      </c>
      <c r="Q1179" s="5">
        <v>4.1609999999999996</v>
      </c>
      <c r="R1179" s="5">
        <v>2.1299999999999999E-2</v>
      </c>
      <c r="S1179" s="5">
        <v>-5.4699999999999999E-2</v>
      </c>
      <c r="T1179" s="5">
        <v>0.34710000000000002</v>
      </c>
      <c r="U1179" s="5">
        <v>0.44030000000000002</v>
      </c>
      <c r="V1179" s="4">
        <v>1</v>
      </c>
      <c r="W1179" s="4">
        <v>1</v>
      </c>
      <c r="X1179" s="5">
        <v>2.56</v>
      </c>
      <c r="Y1179" s="5">
        <v>2.98</v>
      </c>
      <c r="Z1179" s="6">
        <v>1000</v>
      </c>
      <c r="AA1179" s="6">
        <v>1000</v>
      </c>
      <c r="AB1179" s="4" t="s">
        <v>13</v>
      </c>
    </row>
    <row r="1180" spans="1:28">
      <c r="A1180" s="3" t="s">
        <v>21</v>
      </c>
      <c r="B1180" s="24" t="s">
        <v>1851</v>
      </c>
      <c r="C1180" t="s">
        <v>1851</v>
      </c>
      <c r="D1180" s="4">
        <v>233</v>
      </c>
      <c r="E1180" s="3" t="s">
        <v>1852</v>
      </c>
      <c r="F1180" s="3" t="s">
        <v>1853</v>
      </c>
      <c r="G1180" s="4">
        <v>76.099999999999994</v>
      </c>
      <c r="H1180" s="3" t="s">
        <v>1854</v>
      </c>
      <c r="I1180" s="3" t="s">
        <v>1855</v>
      </c>
      <c r="J1180" s="4">
        <v>3</v>
      </c>
      <c r="K1180" s="4">
        <v>900.45370000000003</v>
      </c>
      <c r="L1180" s="4" t="str">
        <f>HYPERLINK("http://ms.phosphosite.org:5080/cgi-bin/plot-msms.cgi?MassType=1&amp;NumAxis=1&amp;Mod25=170&amp;Pep=PFVPPAASSEPLSTPWNELNYVGGR&amp;Dta=/var/www/html/dta/yong/23612.18631.3.dta&amp;Global_Mod=CS57.0215", "18631")</f>
        <v>18631</v>
      </c>
      <c r="M1180" s="4" t="str">
        <f>HYPERLINK("http://ms.phosphosite.org:5080/cgi-bin/plot-msms.cgi?MassType=1&amp;NumAxis=1&amp;Mod25=170&amp;Pep=PFVPPAASSEPLSTPWNELNYVGGR&amp;Dta=/var/www/html/dta/yong/23613.18702.3.dta&amp;Global_Mod=CS57.0215", "18702")</f>
        <v>18702</v>
      </c>
      <c r="N1180" s="5">
        <v>77.010000000000005</v>
      </c>
      <c r="O1180" s="5">
        <v>76.91</v>
      </c>
      <c r="P1180" s="5">
        <v>3.9940000000000002</v>
      </c>
      <c r="Q1180" s="5">
        <v>4.8179999999999996</v>
      </c>
      <c r="R1180" s="5">
        <v>1.2601</v>
      </c>
      <c r="S1180" s="5">
        <v>0.20180000000000001</v>
      </c>
      <c r="T1180" s="5">
        <v>0.36259999999999998</v>
      </c>
      <c r="U1180" s="5">
        <v>0.49419999999999997</v>
      </c>
      <c r="V1180" s="4">
        <v>1</v>
      </c>
      <c r="W1180" s="4">
        <v>1</v>
      </c>
      <c r="X1180" s="5">
        <v>2.57</v>
      </c>
      <c r="Y1180" s="5">
        <v>3.39</v>
      </c>
      <c r="Z1180" s="6">
        <v>1000</v>
      </c>
      <c r="AA1180" s="6">
        <v>1000</v>
      </c>
      <c r="AB1180" s="4" t="s">
        <v>13</v>
      </c>
    </row>
    <row r="1181" spans="1:28">
      <c r="A1181" s="3" t="s">
        <v>21</v>
      </c>
      <c r="B1181" s="24" t="s">
        <v>1851</v>
      </c>
      <c r="C1181" t="s">
        <v>1851</v>
      </c>
      <c r="D1181" s="4">
        <v>233</v>
      </c>
      <c r="E1181" s="3" t="s">
        <v>1852</v>
      </c>
      <c r="F1181" s="3" t="s">
        <v>1853</v>
      </c>
      <c r="G1181" s="4">
        <v>76.099999999999994</v>
      </c>
      <c r="H1181" s="3" t="s">
        <v>1854</v>
      </c>
      <c r="I1181" s="3" t="s">
        <v>1855</v>
      </c>
      <c r="J1181" s="4">
        <v>3</v>
      </c>
      <c r="K1181" s="4">
        <v>900.45370000000003</v>
      </c>
      <c r="L1181" s="4" t="str">
        <f>HYPERLINK("http://ms.phosphosite.org:5080/cgi-bin/plot-msms.cgi?MassType=1&amp;NumAxis=1&amp;Mod25=170&amp;Pep=PFVPPAASSEPLSTPWNELNYVGGR&amp;Dta=/var/www/html/dta/yong/23612.18601.3.dta&amp;Global_Mod=CS57.0215", "18601")</f>
        <v>18601</v>
      </c>
      <c r="M1181" s="4"/>
      <c r="N1181" s="5">
        <v>76.87</v>
      </c>
      <c r="O1181" s="5"/>
      <c r="P1181" s="5">
        <v>4.1449999999999996</v>
      </c>
      <c r="Q1181" s="5"/>
      <c r="R1181" s="5">
        <v>0.41160000000000002</v>
      </c>
      <c r="S1181" s="5"/>
      <c r="T1181" s="5">
        <v>0.3216</v>
      </c>
      <c r="U1181" s="5"/>
      <c r="V1181" s="4">
        <v>1</v>
      </c>
      <c r="W1181" s="4"/>
      <c r="X1181" s="5">
        <v>2.44</v>
      </c>
      <c r="Y1181" s="5"/>
      <c r="Z1181" s="6">
        <v>1000</v>
      </c>
      <c r="AA1181" s="6"/>
      <c r="AB1181" s="4" t="s">
        <v>13</v>
      </c>
    </row>
    <row r="1182" spans="1:28">
      <c r="A1182" s="3" t="s">
        <v>21</v>
      </c>
      <c r="B1182" s="24" t="s">
        <v>1851</v>
      </c>
      <c r="C1182" t="s">
        <v>1851</v>
      </c>
      <c r="D1182" s="4">
        <v>233</v>
      </c>
      <c r="E1182" s="3" t="s">
        <v>1852</v>
      </c>
      <c r="F1182" s="3" t="s">
        <v>1853</v>
      </c>
      <c r="G1182" s="4">
        <v>76.099999999999994</v>
      </c>
      <c r="H1182" s="3" t="s">
        <v>1854</v>
      </c>
      <c r="I1182" s="3" t="s">
        <v>1856</v>
      </c>
      <c r="J1182" s="4">
        <v>2</v>
      </c>
      <c r="K1182" s="4">
        <v>1451.2063000000001</v>
      </c>
      <c r="L1182" s="4" t="str">
        <f>HYPERLINK("http://ms.phosphosite.org:5080/cgi-bin/plot-msms.cgi?MassType=1&amp;NumAxis=1&amp;Mod27=170&amp;Pep=SDPFVPPAASSEPLSTPWNELNYVGGR&amp;Dta=/var/www/html/dta/yong/23612.19140.2.dta&amp;Global_Mod=CS57.0215", "19140")</f>
        <v>19140</v>
      </c>
      <c r="M1182" s="4" t="str">
        <f>HYPERLINK("http://ms.phosphosite.org:5080/cgi-bin/plot-msms.cgi?MassType=1&amp;NumAxis=1&amp;Mod27=170&amp;Pep=SDPFVPPAASSEPLSTPWNELNYVGGR&amp;Dta=/var/www/html/dta/yong/23613.19216.2.dta&amp;Global_Mod=CS57.0215", "19216")</f>
        <v>19216</v>
      </c>
      <c r="N1182" s="5">
        <v>79.400000000000006</v>
      </c>
      <c r="O1182" s="5">
        <v>79.319999999999993</v>
      </c>
      <c r="P1182" s="5">
        <v>3.6890000000000001</v>
      </c>
      <c r="Q1182" s="5">
        <v>3.9039999999999999</v>
      </c>
      <c r="R1182" s="5">
        <v>1.9298</v>
      </c>
      <c r="S1182" s="5">
        <v>1.8144</v>
      </c>
      <c r="T1182" s="5">
        <v>0.52180000000000004</v>
      </c>
      <c r="U1182" s="5">
        <v>0.49280000000000002</v>
      </c>
      <c r="V1182" s="4">
        <v>1</v>
      </c>
      <c r="W1182" s="4">
        <v>1</v>
      </c>
      <c r="X1182" s="5">
        <v>3.18</v>
      </c>
      <c r="Y1182" s="5">
        <v>3.07</v>
      </c>
      <c r="Z1182" s="6">
        <v>1000</v>
      </c>
      <c r="AA1182" s="6">
        <v>1000</v>
      </c>
      <c r="AB1182" s="4" t="s">
        <v>13</v>
      </c>
    </row>
    <row r="1183" spans="1:28">
      <c r="A1183" s="3" t="s">
        <v>21</v>
      </c>
      <c r="B1183" s="24" t="s">
        <v>1851</v>
      </c>
      <c r="C1183" t="s">
        <v>1851</v>
      </c>
      <c r="D1183" s="4">
        <v>233</v>
      </c>
      <c r="E1183" s="3" t="s">
        <v>1852</v>
      </c>
      <c r="F1183" s="3" t="s">
        <v>1853</v>
      </c>
      <c r="G1183" s="4">
        <v>76.099999999999994</v>
      </c>
      <c r="H1183" s="3" t="s">
        <v>1854</v>
      </c>
      <c r="I1183" s="3" t="s">
        <v>1856</v>
      </c>
      <c r="J1183" s="4">
        <v>2</v>
      </c>
      <c r="K1183" s="4">
        <v>1451.2063000000001</v>
      </c>
      <c r="L1183" s="4" t="str">
        <f>HYPERLINK("http://ms.phosphosite.org:5080/cgi-bin/plot-msms.cgi?MassType=1&amp;NumAxis=1&amp;Mod27=170&amp;Pep=SDPFVPPAASSEPLSTPWNELNYVGGR&amp;Dta=/var/www/html/dta/yong/23612.19165.2.dta&amp;Global_Mod=CS57.0215", "19165")</f>
        <v>19165</v>
      </c>
      <c r="M1183" s="4"/>
      <c r="N1183" s="5">
        <v>79.53</v>
      </c>
      <c r="O1183" s="5"/>
      <c r="P1183" s="5">
        <v>3.64</v>
      </c>
      <c r="Q1183" s="5"/>
      <c r="R1183" s="5">
        <v>1.9298</v>
      </c>
      <c r="S1183" s="5"/>
      <c r="T1183" s="5">
        <v>0.53759999999999997</v>
      </c>
      <c r="U1183" s="5"/>
      <c r="V1183" s="4">
        <v>1</v>
      </c>
      <c r="W1183" s="4"/>
      <c r="X1183" s="5">
        <v>3.25</v>
      </c>
      <c r="Y1183" s="5"/>
      <c r="Z1183" s="6">
        <v>1000</v>
      </c>
      <c r="AA1183" s="6"/>
      <c r="AB1183" s="4" t="s">
        <v>13</v>
      </c>
    </row>
    <row r="1184" spans="1:28">
      <c r="A1184" s="3" t="s">
        <v>21</v>
      </c>
      <c r="B1184" s="24" t="s">
        <v>1851</v>
      </c>
      <c r="C1184" t="s">
        <v>1851</v>
      </c>
      <c r="D1184" s="4">
        <v>233</v>
      </c>
      <c r="E1184" s="3" t="s">
        <v>1852</v>
      </c>
      <c r="F1184" s="3" t="s">
        <v>1853</v>
      </c>
      <c r="G1184" s="4">
        <v>76.099999999999994</v>
      </c>
      <c r="H1184" s="3" t="s">
        <v>1854</v>
      </c>
      <c r="I1184" s="3" t="s">
        <v>1856</v>
      </c>
      <c r="J1184" s="4">
        <v>3</v>
      </c>
      <c r="K1184" s="4">
        <v>967.8066</v>
      </c>
      <c r="L1184" s="4" t="str">
        <f>HYPERLINK("http://ms.phosphosite.org:5080/cgi-bin/plot-msms.cgi?MassType=1&amp;NumAxis=1&amp;Mod27=170&amp;Pep=SDPFVPPAASSEPLSTPWNELNYVGGR&amp;Dta=/var/www/html/dta/yong/23612.19102.3.dta&amp;Global_Mod=CS57.0215", "19102")</f>
        <v>19102</v>
      </c>
      <c r="M1184" s="4" t="str">
        <f>HYPERLINK("http://ms.phosphosite.org:5080/cgi-bin/plot-msms.cgi?MassType=1&amp;NumAxis=1&amp;Mod27=170&amp;Pep=SDPFVPPAASSEPLSTPWNELNYVGGR&amp;Dta=/var/www/html/dta/yong/23613.19173.3.dta&amp;Global_Mod=CS57.0215", "19173")</f>
        <v>19173</v>
      </c>
      <c r="N1184" s="5">
        <v>79.23</v>
      </c>
      <c r="O1184" s="5">
        <v>79.12</v>
      </c>
      <c r="P1184" s="5">
        <v>3.9089999999999998</v>
      </c>
      <c r="Q1184" s="5">
        <v>3.5979999999999999</v>
      </c>
      <c r="R1184" s="5">
        <v>1.1306</v>
      </c>
      <c r="S1184" s="5">
        <v>1.1137999999999999</v>
      </c>
      <c r="T1184" s="5">
        <v>0.314</v>
      </c>
      <c r="U1184" s="5">
        <v>0.34749999999999998</v>
      </c>
      <c r="V1184" s="4">
        <v>1</v>
      </c>
      <c r="W1184" s="4">
        <v>1</v>
      </c>
      <c r="X1184" s="5">
        <v>2.2999999999999998</v>
      </c>
      <c r="Y1184" s="5">
        <v>2.37</v>
      </c>
      <c r="Z1184" s="6">
        <v>1000</v>
      </c>
      <c r="AA1184" s="6">
        <v>1000</v>
      </c>
      <c r="AB1184" s="4" t="s">
        <v>13</v>
      </c>
    </row>
    <row r="1185" spans="1:28">
      <c r="A1185" s="3" t="s">
        <v>21</v>
      </c>
      <c r="B1185" s="24" t="s">
        <v>1851</v>
      </c>
      <c r="C1185" t="s">
        <v>1851</v>
      </c>
      <c r="D1185" s="4">
        <v>233</v>
      </c>
      <c r="E1185" s="3" t="s">
        <v>1852</v>
      </c>
      <c r="F1185" s="3" t="s">
        <v>1853</v>
      </c>
      <c r="G1185" s="4">
        <v>76.099999999999994</v>
      </c>
      <c r="H1185" s="3" t="s">
        <v>1854</v>
      </c>
      <c r="I1185" s="3" t="s">
        <v>1856</v>
      </c>
      <c r="J1185" s="4">
        <v>3</v>
      </c>
      <c r="K1185" s="4">
        <v>967.8066</v>
      </c>
      <c r="L1185" s="4" t="str">
        <f>HYPERLINK("http://ms.phosphosite.org:5080/cgi-bin/plot-msms.cgi?MassType=1&amp;NumAxis=1&amp;Mod27=170&amp;Pep=SDPFVPPAASSEPLSTPWNELNYVGGR&amp;Dta=/var/www/html/dta/yong/23612.19095.3.dta&amp;Global_Mod=CS57.0215", "19095")</f>
        <v>19095</v>
      </c>
      <c r="M1185" s="4"/>
      <c r="N1185" s="5">
        <v>79.19</v>
      </c>
      <c r="O1185" s="5"/>
      <c r="P1185" s="5">
        <v>3.41</v>
      </c>
      <c r="Q1185" s="5"/>
      <c r="R1185" s="5">
        <v>1.1306</v>
      </c>
      <c r="S1185" s="5"/>
      <c r="T1185" s="5">
        <v>0.25719999999999998</v>
      </c>
      <c r="U1185" s="5"/>
      <c r="V1185" s="4">
        <v>1</v>
      </c>
      <c r="W1185" s="4"/>
      <c r="X1185" s="5">
        <v>1.92</v>
      </c>
      <c r="Y1185" s="5"/>
      <c r="Z1185" s="6">
        <v>1000</v>
      </c>
      <c r="AA1185" s="6"/>
      <c r="AB1185" s="4" t="s">
        <v>13</v>
      </c>
    </row>
    <row r="1186" spans="1:28">
      <c r="A1186" s="3" t="s">
        <v>21</v>
      </c>
      <c r="B1186" s="24" t="s">
        <v>1851</v>
      </c>
      <c r="C1186" t="s">
        <v>1851</v>
      </c>
      <c r="D1186" s="4">
        <v>233</v>
      </c>
      <c r="E1186" s="3" t="s">
        <v>1852</v>
      </c>
      <c r="F1186" s="3" t="s">
        <v>1853</v>
      </c>
      <c r="G1186" s="4">
        <v>76.099999999999994</v>
      </c>
      <c r="H1186" s="3" t="s">
        <v>1854</v>
      </c>
      <c r="I1186" s="3" t="s">
        <v>1857</v>
      </c>
      <c r="J1186" s="4">
        <v>2</v>
      </c>
      <c r="K1186" s="4">
        <v>753.87040000000002</v>
      </c>
      <c r="L1186" s="4" t="str">
        <f>HYPERLINK("http://ms.phosphosite.org:5080/cgi-bin/plot-msms.cgi?MassType=1&amp;NumAxis=1&amp;Mod13=170&amp;Pep=STPWNELNYVGGR&amp;Dta=/var/www/html/dta/yong/23612.13661.2.dta&amp;Global_Mod=CS57.0215", "13661")</f>
        <v>13661</v>
      </c>
      <c r="M1186" s="4" t="str">
        <f>HYPERLINK("http://ms.phosphosite.org:5080/cgi-bin/plot-msms.cgi?MassType=1&amp;NumAxis=1&amp;Mod13=170&amp;Pep=STPWNELNYVGGR&amp;Dta=/var/www/html/dta/yong/23613.13773.2.dta&amp;Global_Mod=CS57.0215", "13773")</f>
        <v>13773</v>
      </c>
      <c r="N1186" s="5">
        <v>56.66</v>
      </c>
      <c r="O1186" s="5">
        <v>56.69</v>
      </c>
      <c r="P1186" s="5">
        <v>3.3260000000000001</v>
      </c>
      <c r="Q1186" s="5">
        <v>3.5110000000000001</v>
      </c>
      <c r="R1186" s="5">
        <v>0.14699999999999999</v>
      </c>
      <c r="S1186" s="5">
        <v>-4.3400000000000001E-2</v>
      </c>
      <c r="T1186" s="5">
        <v>0.3448</v>
      </c>
      <c r="U1186" s="5">
        <v>0.3543</v>
      </c>
      <c r="V1186" s="4">
        <v>1</v>
      </c>
      <c r="W1186" s="4">
        <v>1</v>
      </c>
      <c r="X1186" s="5">
        <v>2.46</v>
      </c>
      <c r="Y1186" s="5">
        <v>2.5299999999999998</v>
      </c>
      <c r="Z1186" s="6">
        <v>1000</v>
      </c>
      <c r="AA1186" s="6">
        <v>1000</v>
      </c>
      <c r="AB1186" s="4" t="s">
        <v>13</v>
      </c>
    </row>
    <row r="1187" spans="1:28">
      <c r="A1187" s="3" t="s">
        <v>21</v>
      </c>
      <c r="B1187" s="24" t="s">
        <v>1851</v>
      </c>
      <c r="C1187" t="s">
        <v>1851</v>
      </c>
      <c r="D1187" s="4">
        <v>188</v>
      </c>
      <c r="E1187" s="3" t="s">
        <v>1852</v>
      </c>
      <c r="F1187" s="3" t="s">
        <v>1853</v>
      </c>
      <c r="G1187" s="4">
        <v>76.099999999999994</v>
      </c>
      <c r="H1187" s="3" t="s">
        <v>1858</v>
      </c>
      <c r="I1187" s="3" t="s">
        <v>1859</v>
      </c>
      <c r="J1187" s="4">
        <v>2</v>
      </c>
      <c r="K1187" s="4">
        <v>456.7158</v>
      </c>
      <c r="L1187" s="4" t="str">
        <f>HYPERLINK("http://ms.phosphosite.org:5080/cgi-bin/plot-msms.cgi?MassType=1&amp;NumAxis=1&amp;Mod7=147&amp;Mod8=170&amp;Pep=GSLDGFMR&amp;Dta=/var/www/html/dta/yong/23612.7284.2.dta&amp;Global_Mod=CS57.0215", "7284")</f>
        <v>7284</v>
      </c>
      <c r="M1187" s="4" t="str">
        <f>HYPERLINK("http://ms.phosphosite.org:5080/cgi-bin/plot-msms.cgi?MassType=1&amp;NumAxis=1&amp;Mod7=147&amp;Mod8=170&amp;Pep=GSLDGFMR&amp;Dta=/var/www/html/dta/yong/23613.7348.2.dta&amp;Global_Mod=CS57.0215", "7348")</f>
        <v>7348</v>
      </c>
      <c r="N1187" s="5">
        <v>34.29</v>
      </c>
      <c r="O1187" s="5">
        <v>34.369999999999997</v>
      </c>
      <c r="P1187" s="5">
        <v>2.2509999999999999</v>
      </c>
      <c r="Q1187" s="5">
        <v>2.2909999999999999</v>
      </c>
      <c r="R1187" s="5">
        <v>-0.13009999999999999</v>
      </c>
      <c r="S1187" s="5">
        <v>-0.1215</v>
      </c>
      <c r="T1187" s="5">
        <v>0.1517</v>
      </c>
      <c r="U1187" s="5">
        <v>0.19409999999999999</v>
      </c>
      <c r="V1187" s="4">
        <v>1</v>
      </c>
      <c r="W1187" s="4">
        <v>1</v>
      </c>
      <c r="X1187" s="5">
        <v>1.34</v>
      </c>
      <c r="Y1187" s="5">
        <v>1.54</v>
      </c>
      <c r="Z1187" s="6">
        <v>1000</v>
      </c>
      <c r="AA1187" s="6">
        <v>1000</v>
      </c>
      <c r="AB1187" s="4" t="s">
        <v>13</v>
      </c>
    </row>
    <row r="1188" spans="1:28">
      <c r="A1188" s="3" t="s">
        <v>21</v>
      </c>
      <c r="B1188" s="24" t="s">
        <v>1851</v>
      </c>
      <c r="C1188" t="s">
        <v>1851</v>
      </c>
      <c r="D1188" s="4">
        <v>277</v>
      </c>
      <c r="E1188" s="3" t="s">
        <v>1852</v>
      </c>
      <c r="F1188" s="3" t="s">
        <v>1853</v>
      </c>
      <c r="G1188" s="4">
        <v>76.099999999999994</v>
      </c>
      <c r="H1188" s="3" t="s">
        <v>1860</v>
      </c>
      <c r="I1188" s="3" t="s">
        <v>1861</v>
      </c>
      <c r="J1188" s="4">
        <v>4</v>
      </c>
      <c r="K1188" s="4">
        <v>1135.7497000000001</v>
      </c>
      <c r="L1188" s="4"/>
      <c r="M1188" s="4" t="str">
        <f>HYPERLINK("http://ms.phosphosite.org:5080/cgi-bin/plot-msms.cgi?MassType=1&amp;NumAxis=1&amp;Mod19=147&amp;Mod26=147&amp;Mod38=147&amp;Mod44=170&amp;Pep=GLGGPSPSRPPPSLFSQSMAPDYGVMGMQGAGGYDSTMPYGCGR&amp;Dta=/var/www/html/dta/yong/23613.14308.4.dta&amp;Global_Mod=CS57.0215", "14308")</f>
        <v>14308</v>
      </c>
      <c r="N1188" s="5"/>
      <c r="O1188" s="5">
        <v>58.7</v>
      </c>
      <c r="P1188" s="5"/>
      <c r="Q1188" s="5">
        <v>3.8740000000000001</v>
      </c>
      <c r="R1188" s="5"/>
      <c r="S1188" s="5">
        <v>1.7646999999999999</v>
      </c>
      <c r="T1188" s="5"/>
      <c r="U1188" s="5">
        <v>0.23380000000000001</v>
      </c>
      <c r="V1188" s="4"/>
      <c r="W1188" s="4">
        <v>2</v>
      </c>
      <c r="X1188" s="5"/>
      <c r="Y1188" s="5">
        <v>1.66</v>
      </c>
      <c r="Z1188" s="6"/>
      <c r="AA1188" s="6">
        <v>1000</v>
      </c>
      <c r="AB1188" s="4" t="s">
        <v>13</v>
      </c>
    </row>
    <row r="1189" spans="1:28">
      <c r="A1189" s="3" t="s">
        <v>21</v>
      </c>
      <c r="B1189" s="24" t="s">
        <v>1851</v>
      </c>
      <c r="C1189" t="s">
        <v>1851</v>
      </c>
      <c r="D1189" s="4">
        <v>277</v>
      </c>
      <c r="E1189" s="3" t="s">
        <v>1852</v>
      </c>
      <c r="F1189" s="3" t="s">
        <v>1853</v>
      </c>
      <c r="G1189" s="4">
        <v>76.099999999999994</v>
      </c>
      <c r="H1189" s="3" t="s">
        <v>1860</v>
      </c>
      <c r="I1189" s="3" t="s">
        <v>1862</v>
      </c>
      <c r="J1189" s="4">
        <v>4</v>
      </c>
      <c r="K1189" s="4">
        <v>1135.7497000000001</v>
      </c>
      <c r="L1189" s="4" t="str">
        <f>HYPERLINK("http://ms.phosphosite.org:5080/cgi-bin/plot-msms.cgi?MassType=1&amp;NumAxis=1&amp;Mod19=147&amp;Mod28=147&amp;Mod38=147&amp;Mod44=170&amp;Pep=GLGGPSPSRPPPSLFSQSMAPDYGVMGMQGAGGYDSTMPYGCGR&amp;Dta=/var/www/html/dta/yong/23612.14215.4.dta&amp;Global_Mod=CS57.0215", "14215")</f>
        <v>14215</v>
      </c>
      <c r="M1189" s="4" t="str">
        <f>HYPERLINK("http://ms.phosphosite.org:5080/cgi-bin/plot-msms.cgi?MassType=1&amp;NumAxis=1&amp;Mod19=147&amp;Mod28=147&amp;Mod38=147&amp;Mod44=170&amp;Pep=GLGGPSPSRPPPSLFSQSMAPDYGVMGMQGAGGYDSTMPYGCGR&amp;Dta=/var/www/html/dta/yong/23613.14545.4.dta&amp;Global_Mod=CS57.0215", "14545")</f>
        <v>14545</v>
      </c>
      <c r="N1189" s="5">
        <v>58.66</v>
      </c>
      <c r="O1189" s="5">
        <v>59.57</v>
      </c>
      <c r="P1189" s="5">
        <v>4.0140000000000002</v>
      </c>
      <c r="Q1189" s="5">
        <v>3.399</v>
      </c>
      <c r="R1189" s="5">
        <v>-0.24460000000000001</v>
      </c>
      <c r="S1189" s="5">
        <v>0.86319999999999997</v>
      </c>
      <c r="T1189" s="5">
        <v>0.34429999999999999</v>
      </c>
      <c r="U1189" s="5">
        <v>0.12939999999999999</v>
      </c>
      <c r="V1189" s="4">
        <v>2</v>
      </c>
      <c r="W1189" s="4">
        <v>2</v>
      </c>
      <c r="X1189" s="5">
        <v>2.34</v>
      </c>
      <c r="Y1189" s="5">
        <v>1.1000000000000001</v>
      </c>
      <c r="Z1189" s="6">
        <v>1000</v>
      </c>
      <c r="AA1189" s="6">
        <v>1000</v>
      </c>
      <c r="AB1189" s="4" t="s">
        <v>13</v>
      </c>
    </row>
    <row r="1190" spans="1:28">
      <c r="A1190" s="3" t="s">
        <v>21</v>
      </c>
      <c r="B1190" s="24" t="s">
        <v>1851</v>
      </c>
      <c r="C1190" t="s">
        <v>1851</v>
      </c>
      <c r="D1190" s="4">
        <v>277</v>
      </c>
      <c r="E1190" s="3" t="s">
        <v>1852</v>
      </c>
      <c r="F1190" s="3" t="s">
        <v>1853</v>
      </c>
      <c r="G1190" s="4">
        <v>76.099999999999994</v>
      </c>
      <c r="H1190" s="3" t="s">
        <v>1863</v>
      </c>
      <c r="I1190" s="3" t="s">
        <v>1864</v>
      </c>
      <c r="J1190" s="4">
        <v>2</v>
      </c>
      <c r="K1190" s="4">
        <v>955.87689999999998</v>
      </c>
      <c r="L1190" s="4" t="str">
        <f>HYPERLINK("http://ms.phosphosite.org:5080/cgi-bin/plot-msms.cgi?MassType=1&amp;NumAxis=1&amp;Mod2=147&amp;Mod12=147&amp;Mod18=170&amp;Pep=GMQGAGGYDSTMPYGCGR&amp;Dta=/var/www/html/dta/yong/23612.5711.2.dta&amp;Global_Mod=CS57.0215", "5711")</f>
        <v>5711</v>
      </c>
      <c r="M1190" s="4" t="str">
        <f>HYPERLINK("http://ms.phosphosite.org:5080/cgi-bin/plot-msms.cgi?MassType=1&amp;NumAxis=1&amp;Mod2=147&amp;Mod12=147&amp;Mod18=170&amp;Pep=GMQGAGGYDSTMPYGCGR&amp;Dta=/var/www/html/dta/yong/23613.5737.2.dta&amp;Global_Mod=CS57.0215", "5737")</f>
        <v>5737</v>
      </c>
      <c r="N1190" s="5">
        <v>28.49</v>
      </c>
      <c r="O1190" s="5">
        <v>28.39</v>
      </c>
      <c r="P1190" s="5">
        <v>5.0750000000000002</v>
      </c>
      <c r="Q1190" s="5">
        <v>5.2160000000000002</v>
      </c>
      <c r="R1190" s="5">
        <v>0.622</v>
      </c>
      <c r="S1190" s="5">
        <v>0.3619</v>
      </c>
      <c r="T1190" s="5">
        <v>0.54779999999999995</v>
      </c>
      <c r="U1190" s="5">
        <v>0.47020000000000001</v>
      </c>
      <c r="V1190" s="4">
        <v>1</v>
      </c>
      <c r="W1190" s="4">
        <v>1</v>
      </c>
      <c r="X1190" s="5">
        <v>3.75</v>
      </c>
      <c r="Y1190" s="5">
        <v>3.41</v>
      </c>
      <c r="Z1190" s="6">
        <v>1000</v>
      </c>
      <c r="AA1190" s="6">
        <v>1000</v>
      </c>
      <c r="AB1190" s="4" t="s">
        <v>13</v>
      </c>
    </row>
    <row r="1191" spans="1:28">
      <c r="A1191" s="3" t="s">
        <v>21</v>
      </c>
      <c r="B1191" s="24" t="s">
        <v>1851</v>
      </c>
      <c r="C1191" t="s">
        <v>1851</v>
      </c>
      <c r="D1191" s="4">
        <v>277</v>
      </c>
      <c r="E1191" s="3" t="s">
        <v>1852</v>
      </c>
      <c r="F1191" s="3" t="s">
        <v>1853</v>
      </c>
      <c r="G1191" s="4">
        <v>76.099999999999994</v>
      </c>
      <c r="H1191" s="3" t="s">
        <v>1863</v>
      </c>
      <c r="I1191" s="3" t="s">
        <v>1864</v>
      </c>
      <c r="J1191" s="4">
        <v>2</v>
      </c>
      <c r="K1191" s="4">
        <v>955.87689999999998</v>
      </c>
      <c r="L1191" s="4"/>
      <c r="M1191" s="4" t="str">
        <f>HYPERLINK("http://ms.phosphosite.org:5080/cgi-bin/plot-msms.cgi?MassType=1&amp;NumAxis=1&amp;Mod2=147&amp;Mod12=147&amp;Mod18=170&amp;Pep=GMQGAGGYDSTMPYGCGR&amp;Dta=/var/www/html/dta/yong/23613.5759.2.dta&amp;Global_Mod=CS57.0215", "5759")</f>
        <v>5759</v>
      </c>
      <c r="N1191" s="5"/>
      <c r="O1191" s="5">
        <v>28.47</v>
      </c>
      <c r="P1191" s="5"/>
      <c r="Q1191" s="5">
        <v>4.9939999999999998</v>
      </c>
      <c r="R1191" s="5"/>
      <c r="S1191" s="5">
        <v>0.37759999999999999</v>
      </c>
      <c r="T1191" s="5"/>
      <c r="U1191" s="5">
        <v>0.49080000000000001</v>
      </c>
      <c r="V1191" s="4"/>
      <c r="W1191" s="4">
        <v>1</v>
      </c>
      <c r="X1191" s="5"/>
      <c r="Y1191" s="5">
        <v>3.46</v>
      </c>
      <c r="Z1191" s="6"/>
      <c r="AA1191" s="6">
        <v>1000</v>
      </c>
      <c r="AB1191" s="4" t="s">
        <v>13</v>
      </c>
    </row>
    <row r="1192" spans="1:28">
      <c r="A1192" s="3" t="s">
        <v>21</v>
      </c>
      <c r="B1192" s="24" t="s">
        <v>1851</v>
      </c>
      <c r="C1192" t="s">
        <v>1851</v>
      </c>
      <c r="D1192" s="4">
        <v>277</v>
      </c>
      <c r="E1192" s="3" t="s">
        <v>1852</v>
      </c>
      <c r="F1192" s="3" t="s">
        <v>1853</v>
      </c>
      <c r="G1192" s="4">
        <v>76.099999999999994</v>
      </c>
      <c r="H1192" s="3" t="s">
        <v>1863</v>
      </c>
      <c r="I1192" s="3" t="s">
        <v>1865</v>
      </c>
      <c r="J1192" s="4">
        <v>2</v>
      </c>
      <c r="K1192" s="4">
        <v>853.84849999999994</v>
      </c>
      <c r="L1192" s="4" t="str">
        <f>HYPERLINK("http://ms.phosphosite.org:5080/cgi-bin/plot-msms.cgi?MassType=1&amp;NumAxis=1&amp;Mod10=147&amp;Mod16=170&amp;Pep=QGAGGYDSTMPYGCGR&amp;Dta=/var/www/html/dta/yong/23612.5601.2.dta&amp;Global_Mod=CS57.0215", "5601")</f>
        <v>5601</v>
      </c>
      <c r="M1192" s="4" t="str">
        <f>HYPERLINK("http://ms.phosphosite.org:5080/cgi-bin/plot-msms.cgi?MassType=1&amp;NumAxis=1&amp;Mod10=147&amp;Mod16=170&amp;Pep=QGAGGYDSTMPYGCGR&amp;Dta=/var/www/html/dta/yong/23613.5640.2.dta&amp;Global_Mod=CS57.0215", "5640")</f>
        <v>5640</v>
      </c>
      <c r="N1192" s="5">
        <v>28.08</v>
      </c>
      <c r="O1192" s="5">
        <v>28.02</v>
      </c>
      <c r="P1192" s="5">
        <v>4.3849999999999998</v>
      </c>
      <c r="Q1192" s="5">
        <v>4.1769999999999996</v>
      </c>
      <c r="R1192" s="5">
        <v>0.87080000000000002</v>
      </c>
      <c r="S1192" s="5">
        <v>0.99650000000000005</v>
      </c>
      <c r="T1192" s="5">
        <v>0.38400000000000001</v>
      </c>
      <c r="U1192" s="5">
        <v>0.38030000000000003</v>
      </c>
      <c r="V1192" s="4">
        <v>1</v>
      </c>
      <c r="W1192" s="4">
        <v>1</v>
      </c>
      <c r="X1192" s="5">
        <v>2.81</v>
      </c>
      <c r="Y1192" s="5">
        <v>2.75</v>
      </c>
      <c r="Z1192" s="6">
        <v>1000</v>
      </c>
      <c r="AA1192" s="6">
        <v>1000</v>
      </c>
      <c r="AB1192" s="4" t="s">
        <v>13</v>
      </c>
    </row>
    <row r="1193" spans="1:28">
      <c r="A1193" s="3" t="s">
        <v>21</v>
      </c>
      <c r="B1193" s="24" t="s">
        <v>1851</v>
      </c>
      <c r="C1193" t="s">
        <v>1851</v>
      </c>
      <c r="D1193" s="4">
        <v>277</v>
      </c>
      <c r="E1193" s="3" t="s">
        <v>1852</v>
      </c>
      <c r="F1193" s="3" t="s">
        <v>1853</v>
      </c>
      <c r="G1193" s="4">
        <v>76.099999999999994</v>
      </c>
      <c r="H1193" s="3" t="s">
        <v>1863</v>
      </c>
      <c r="I1193" s="3" t="s">
        <v>1866</v>
      </c>
      <c r="J1193" s="4">
        <v>2</v>
      </c>
      <c r="K1193" s="4">
        <v>845.85109999999997</v>
      </c>
      <c r="L1193" s="4" t="str">
        <f>HYPERLINK("http://ms.phosphosite.org:5080/cgi-bin/plot-msms.cgi?MassType=1&amp;NumAxis=1&amp;Mod16=170&amp;Pep=QGAGGYDSTMPYGCGR&amp;Dta=/var/www/html/dta/yong/23612.7767.2.dta&amp;Global_Mod=CS57.0215", "7767")</f>
        <v>7767</v>
      </c>
      <c r="M1193" s="4" t="str">
        <f>HYPERLINK("http://ms.phosphosite.org:5080/cgi-bin/plot-msms.cgi?MassType=1&amp;NumAxis=1&amp;Mod16=170&amp;Pep=QGAGGYDSTMPYGCGR&amp;Dta=/var/www/html/dta/yong/23613.7800.2.dta&amp;Global_Mod=CS57.0215", "7800")</f>
        <v>7800</v>
      </c>
      <c r="N1193" s="5">
        <v>36</v>
      </c>
      <c r="O1193" s="5">
        <v>36.01</v>
      </c>
      <c r="P1193" s="5">
        <v>4.2210000000000001</v>
      </c>
      <c r="Q1193" s="5">
        <v>4.1120000000000001</v>
      </c>
      <c r="R1193" s="5">
        <v>9.64E-2</v>
      </c>
      <c r="S1193" s="5">
        <v>0.94259999999999999</v>
      </c>
      <c r="T1193" s="5">
        <v>0.63</v>
      </c>
      <c r="U1193" s="5">
        <v>0.61019999999999996</v>
      </c>
      <c r="V1193" s="4">
        <v>1</v>
      </c>
      <c r="W1193" s="4">
        <v>1</v>
      </c>
      <c r="X1193" s="5">
        <v>4.01</v>
      </c>
      <c r="Y1193" s="5">
        <v>3.87</v>
      </c>
      <c r="Z1193" s="6">
        <v>1000</v>
      </c>
      <c r="AA1193" s="6">
        <v>1000</v>
      </c>
      <c r="AB1193" s="4" t="s">
        <v>13</v>
      </c>
    </row>
    <row r="1194" spans="1:28">
      <c r="A1194" s="3" t="s">
        <v>21</v>
      </c>
      <c r="B1194" s="24" t="s">
        <v>1851</v>
      </c>
      <c r="C1194" t="s">
        <v>1851</v>
      </c>
      <c r="D1194" s="4">
        <v>277</v>
      </c>
      <c r="E1194" s="3" t="s">
        <v>1852</v>
      </c>
      <c r="F1194" s="3" t="s">
        <v>1853</v>
      </c>
      <c r="G1194" s="4">
        <v>76.099999999999994</v>
      </c>
      <c r="H1194" s="3" t="s">
        <v>1863</v>
      </c>
      <c r="I1194" s="3" t="s">
        <v>1867</v>
      </c>
      <c r="J1194" s="4">
        <v>3</v>
      </c>
      <c r="K1194" s="4">
        <v>960.04639999999995</v>
      </c>
      <c r="L1194" s="4" t="str">
        <f>HYPERLINK("http://ms.phosphosite.org:5080/cgi-bin/plot-msms.cgi?MassType=1&amp;NumAxis=1&amp;Mod2=147&amp;Mod9=147&amp;Mod21=147&amp;Mod27=170&amp;Pep=SMAPDYGVMGMQGAGGYDSTMPYGCGR&amp;Dta=/var/www/html/dta/yong/23612.10548.3.dta&amp;Global_Mod=CS57.0215", "10548")</f>
        <v>10548</v>
      </c>
      <c r="M1194" s="4"/>
      <c r="N1194" s="5">
        <v>45.89</v>
      </c>
      <c r="O1194" s="5"/>
      <c r="P1194" s="5">
        <v>4.8929999999999998</v>
      </c>
      <c r="Q1194" s="5"/>
      <c r="R1194" s="5">
        <v>0.6905</v>
      </c>
      <c r="S1194" s="5"/>
      <c r="T1194" s="5">
        <v>0.57640000000000002</v>
      </c>
      <c r="U1194" s="5"/>
      <c r="V1194" s="4">
        <v>1</v>
      </c>
      <c r="W1194" s="4"/>
      <c r="X1194" s="5">
        <v>3.81</v>
      </c>
      <c r="Y1194" s="5"/>
      <c r="Z1194" s="6">
        <v>1000</v>
      </c>
      <c r="AA1194" s="6"/>
      <c r="AB1194" s="4" t="s">
        <v>13</v>
      </c>
    </row>
    <row r="1195" spans="1:28">
      <c r="A1195" s="3" t="s">
        <v>21</v>
      </c>
      <c r="B1195" s="24" t="s">
        <v>1851</v>
      </c>
      <c r="C1195" t="s">
        <v>1851</v>
      </c>
      <c r="D1195" s="4">
        <v>277</v>
      </c>
      <c r="E1195" s="3" t="s">
        <v>1852</v>
      </c>
      <c r="F1195" s="3" t="s">
        <v>1853</v>
      </c>
      <c r="G1195" s="4">
        <v>76.099999999999994</v>
      </c>
      <c r="H1195" s="3" t="s">
        <v>1863</v>
      </c>
      <c r="I1195" s="3" t="s">
        <v>1868</v>
      </c>
      <c r="J1195" s="4">
        <v>3</v>
      </c>
      <c r="K1195" s="4">
        <v>960.04639999999995</v>
      </c>
      <c r="L1195" s="4"/>
      <c r="M1195" s="4" t="str">
        <f>HYPERLINK("http://ms.phosphosite.org:5080/cgi-bin/plot-msms.cgi?MassType=1&amp;NumAxis=1&amp;Mod2=147&amp;Mod11=147&amp;Mod21=147&amp;Mod27=170&amp;Pep=SMAPDYGVMGMQGAGGYDSTMPYGCGR&amp;Dta=/var/www/html/dta/yong/23613.10643.3.dta&amp;Global_Mod=CS57.0215", "10643")</f>
        <v>10643</v>
      </c>
      <c r="N1195" s="5"/>
      <c r="O1195" s="5">
        <v>45.98</v>
      </c>
      <c r="P1195" s="5"/>
      <c r="Q1195" s="5">
        <v>5.1360000000000001</v>
      </c>
      <c r="R1195" s="5"/>
      <c r="S1195" s="5">
        <v>1.4540999999999999</v>
      </c>
      <c r="T1195" s="5"/>
      <c r="U1195" s="5">
        <v>0.52500000000000002</v>
      </c>
      <c r="V1195" s="4"/>
      <c r="W1195" s="4">
        <v>2</v>
      </c>
      <c r="X1195" s="5"/>
      <c r="Y1195" s="5">
        <v>3.54</v>
      </c>
      <c r="Z1195" s="6"/>
      <c r="AA1195" s="6">
        <v>1000</v>
      </c>
      <c r="AB1195" s="4" t="s">
        <v>13</v>
      </c>
    </row>
    <row r="1196" spans="1:28">
      <c r="A1196" s="3" t="s">
        <v>21</v>
      </c>
      <c r="B1196" s="24" t="s">
        <v>1869</v>
      </c>
      <c r="C1196" s="26" t="s">
        <v>1870</v>
      </c>
      <c r="D1196" s="4">
        <v>237</v>
      </c>
      <c r="E1196" s="3" t="s">
        <v>22</v>
      </c>
      <c r="F1196" s="3" t="s">
        <v>1871</v>
      </c>
      <c r="G1196" s="4">
        <v>71.599999999999994</v>
      </c>
      <c r="H1196" s="3" t="s">
        <v>1872</v>
      </c>
      <c r="I1196" s="3" t="s">
        <v>1873</v>
      </c>
      <c r="J1196" s="4">
        <v>2</v>
      </c>
      <c r="K1196" s="4">
        <v>1187.5821000000001</v>
      </c>
      <c r="L1196" s="4" t="str">
        <f>HYPERLINK("http://ms.phosphosite.org:5080/cgi-bin/plot-msms.cgi?MassType=1&amp;NumAxis=1&amp;Mod15=147&amp;Mod19=147&amp;Mod20=170&amp;Pep=LPSLFSQNIIPEYGMFQGMR&amp;Dta=/var/www/html/dta/yong/23612.18761.2.dta&amp;Global_Mod=CS57.0215", "18761")</f>
        <v>18761</v>
      </c>
      <c r="M1196" s="4" t="str">
        <f>HYPERLINK("http://ms.phosphosite.org:5080/cgi-bin/plot-msms.cgi?MassType=1&amp;NumAxis=1&amp;Mod15=147&amp;Mod19=147&amp;Mod20=170&amp;Pep=LPSLFSQNIIPEYGMFQGMR&amp;Dta=/var/www/html/dta/yong/23613.18872.2.dta&amp;Global_Mod=CS57.0215", "18872")</f>
        <v>18872</v>
      </c>
      <c r="N1196" s="5">
        <v>77.61</v>
      </c>
      <c r="O1196" s="5">
        <v>77.7</v>
      </c>
      <c r="P1196" s="5">
        <v>3.6560000000000001</v>
      </c>
      <c r="Q1196" s="5">
        <v>4.2939999999999996</v>
      </c>
      <c r="R1196" s="5">
        <v>-0.71279999999999999</v>
      </c>
      <c r="S1196" s="5">
        <v>-2.7753999999999999</v>
      </c>
      <c r="T1196" s="5">
        <v>0.26329999999999998</v>
      </c>
      <c r="U1196" s="5">
        <v>0.36890000000000001</v>
      </c>
      <c r="V1196" s="4">
        <v>5</v>
      </c>
      <c r="W1196" s="4">
        <v>2</v>
      </c>
      <c r="X1196" s="5">
        <v>1.9</v>
      </c>
      <c r="Y1196" s="5">
        <v>2.44</v>
      </c>
      <c r="Z1196" s="6">
        <v>1000</v>
      </c>
      <c r="AA1196" s="6">
        <v>1000</v>
      </c>
      <c r="AB1196" s="4" t="s">
        <v>13</v>
      </c>
    </row>
    <row r="1197" spans="1:28">
      <c r="A1197" s="3" t="s">
        <v>21</v>
      </c>
      <c r="B1197" s="24" t="s">
        <v>1869</v>
      </c>
      <c r="C1197" s="26" t="s">
        <v>1870</v>
      </c>
      <c r="D1197" s="4">
        <v>237</v>
      </c>
      <c r="E1197" s="3" t="s">
        <v>22</v>
      </c>
      <c r="F1197" s="3" t="s">
        <v>1871</v>
      </c>
      <c r="G1197" s="4">
        <v>71.599999999999994</v>
      </c>
      <c r="H1197" s="3" t="s">
        <v>1872</v>
      </c>
      <c r="I1197" s="3" t="s">
        <v>1873</v>
      </c>
      <c r="J1197" s="4">
        <v>3</v>
      </c>
      <c r="K1197" s="4">
        <v>792.05719999999997</v>
      </c>
      <c r="L1197" s="4" t="str">
        <f>HYPERLINK("http://ms.phosphosite.org:5080/cgi-bin/plot-msms.cgi?MassType=1&amp;NumAxis=1&amp;Mod15=147&amp;Mod19=147&amp;Mod20=170&amp;Pep=LPSLFSQNIIPEYGMFQGMR&amp;Dta=/var/www/html/dta/yong/23612.18732.3.dta&amp;Global_Mod=CS57.0215", "18732")</f>
        <v>18732</v>
      </c>
      <c r="M1197" s="4" t="str">
        <f>HYPERLINK("http://ms.phosphosite.org:5080/cgi-bin/plot-msms.cgi?MassType=1&amp;NumAxis=1&amp;Mod15=147&amp;Mod19=147&amp;Mod20=170&amp;Pep=LPSLFSQNIIPEYGMFQGMR&amp;Dta=/var/www/html/dta/yong/23613.18834.3.dta&amp;Global_Mod=CS57.0215", "18834")</f>
        <v>18834</v>
      </c>
      <c r="N1197" s="5">
        <v>77.48</v>
      </c>
      <c r="O1197" s="5">
        <v>77.53</v>
      </c>
      <c r="P1197" s="5">
        <v>3.4750000000000001</v>
      </c>
      <c r="Q1197" s="5">
        <v>4.3259999999999996</v>
      </c>
      <c r="R1197" s="5">
        <v>1.506</v>
      </c>
      <c r="S1197" s="5">
        <v>1.3332999999999999</v>
      </c>
      <c r="T1197" s="5">
        <v>0.21429999999999999</v>
      </c>
      <c r="U1197" s="5">
        <v>0.3034</v>
      </c>
      <c r="V1197" s="4">
        <v>2</v>
      </c>
      <c r="W1197" s="4">
        <v>5</v>
      </c>
      <c r="X1197" s="5">
        <v>1.68</v>
      </c>
      <c r="Y1197" s="5">
        <v>2.2799999999999998</v>
      </c>
      <c r="Z1197" s="6">
        <v>1000</v>
      </c>
      <c r="AA1197" s="6">
        <v>1000</v>
      </c>
      <c r="AB1197" s="4" t="s">
        <v>13</v>
      </c>
    </row>
    <row r="1198" spans="1:28">
      <c r="A1198" s="3" t="s">
        <v>21</v>
      </c>
      <c r="B1198" s="24" t="s">
        <v>1869</v>
      </c>
      <c r="C1198" s="26" t="s">
        <v>1870</v>
      </c>
      <c r="D1198" s="4">
        <v>237</v>
      </c>
      <c r="E1198" s="3" t="s">
        <v>22</v>
      </c>
      <c r="F1198" s="3" t="s">
        <v>1871</v>
      </c>
      <c r="G1198" s="4">
        <v>71.599999999999994</v>
      </c>
      <c r="H1198" s="3" t="s">
        <v>1872</v>
      </c>
      <c r="I1198" s="3" t="s">
        <v>1873</v>
      </c>
      <c r="J1198" s="4">
        <v>3</v>
      </c>
      <c r="K1198" s="4">
        <v>792.05719999999997</v>
      </c>
      <c r="L1198" s="4"/>
      <c r="M1198" s="4" t="str">
        <f>HYPERLINK("http://ms.phosphosite.org:5080/cgi-bin/plot-msms.cgi?MassType=1&amp;NumAxis=1&amp;Mod15=147&amp;Mod19=147&amp;Mod20=170&amp;Pep=LPSLFSQNIIPEYGMFQGMR&amp;Dta=/var/www/html/dta/yong/23613.18814.3.dta&amp;Global_Mod=CS57.0215", "18814")</f>
        <v>18814</v>
      </c>
      <c r="N1198" s="5"/>
      <c r="O1198" s="5">
        <v>77.44</v>
      </c>
      <c r="P1198" s="5"/>
      <c r="Q1198" s="5">
        <v>4.0190000000000001</v>
      </c>
      <c r="R1198" s="5"/>
      <c r="S1198" s="5">
        <v>1.3381000000000001</v>
      </c>
      <c r="T1198" s="5"/>
      <c r="U1198" s="5">
        <v>0.30409999999999998</v>
      </c>
      <c r="V1198" s="4"/>
      <c r="W1198" s="4">
        <v>1</v>
      </c>
      <c r="X1198" s="5"/>
      <c r="Y1198" s="5">
        <v>2.23</v>
      </c>
      <c r="Z1198" s="6"/>
      <c r="AA1198" s="6">
        <v>1000</v>
      </c>
      <c r="AB1198" s="4" t="s">
        <v>13</v>
      </c>
    </row>
    <row r="1199" spans="1:28">
      <c r="A1199" s="3" t="s">
        <v>21</v>
      </c>
      <c r="B1199" s="24" t="s">
        <v>1869</v>
      </c>
      <c r="C1199" s="26" t="s">
        <v>1870</v>
      </c>
      <c r="D1199" s="4">
        <v>237</v>
      </c>
      <c r="E1199" s="3" t="s">
        <v>22</v>
      </c>
      <c r="F1199" s="3" t="s">
        <v>1871</v>
      </c>
      <c r="G1199" s="4">
        <v>71.599999999999994</v>
      </c>
      <c r="H1199" s="3" t="s">
        <v>1872</v>
      </c>
      <c r="I1199" s="3" t="s">
        <v>1874</v>
      </c>
      <c r="J1199" s="4">
        <v>3</v>
      </c>
      <c r="K1199" s="4">
        <v>1073.1901</v>
      </c>
      <c r="L1199" s="4" t="str">
        <f>HYPERLINK("http://ms.phosphosite.org:5080/cgi-bin/plot-msms.cgi?MassType=1&amp;NumAxis=1&amp;Mod15=147&amp;Mod19=147&amp;Mod20=170&amp;Pep=LPSLFSQNIIPEYGMFQGMRGGGAFPGGSR&amp;Dta=/var/www/html/dta/yong/23612.17862.3.dta&amp;Global_Mod=CS57.0215", "17862")</f>
        <v>17862</v>
      </c>
      <c r="M1199" s="4"/>
      <c r="N1199" s="5">
        <v>73.569999999999993</v>
      </c>
      <c r="O1199" s="5"/>
      <c r="P1199" s="5">
        <v>4.1120000000000001</v>
      </c>
      <c r="Q1199" s="5"/>
      <c r="R1199" s="5">
        <v>1.2632000000000001</v>
      </c>
      <c r="S1199" s="5"/>
      <c r="T1199" s="5">
        <v>0.23200000000000001</v>
      </c>
      <c r="U1199" s="5"/>
      <c r="V1199" s="4">
        <v>3</v>
      </c>
      <c r="W1199" s="4"/>
      <c r="X1199" s="5">
        <v>1.6</v>
      </c>
      <c r="Y1199" s="5"/>
      <c r="Z1199" s="6">
        <v>1000</v>
      </c>
      <c r="AA1199" s="6"/>
      <c r="AB1199" s="4" t="s">
        <v>13</v>
      </c>
    </row>
    <row r="1200" spans="1:28">
      <c r="A1200" s="3" t="s">
        <v>21</v>
      </c>
      <c r="B1200" s="24" t="s">
        <v>1869</v>
      </c>
      <c r="C1200" s="26" t="s">
        <v>1870</v>
      </c>
      <c r="D1200" s="4">
        <v>237</v>
      </c>
      <c r="E1200" s="3" t="s">
        <v>22</v>
      </c>
      <c r="F1200" s="3" t="s">
        <v>1871</v>
      </c>
      <c r="G1200" s="4">
        <v>71.599999999999994</v>
      </c>
      <c r="H1200" s="3" t="s">
        <v>1872</v>
      </c>
      <c r="I1200" s="3" t="s">
        <v>1875</v>
      </c>
      <c r="J1200" s="4">
        <v>3</v>
      </c>
      <c r="K1200" s="4">
        <v>1003.1445</v>
      </c>
      <c r="L1200" s="4" t="str">
        <f>HYPERLINK("http://ms.phosphosite.org:5080/cgi-bin/plot-msms.cgi?MassType=1&amp;NumAxis=1&amp;Mod13=147&amp;Mod17=147&amp;Mod18=170&amp;Pep=SLFSQNIIPEYGMFQGMRGGGAFPGGSR&amp;Dta=/var/www/html/dta/yong/23612.16312.3.dta&amp;Global_Mod=CS57.0215", "16312")</f>
        <v>16312</v>
      </c>
      <c r="M1200" s="4"/>
      <c r="N1200" s="5">
        <v>66.91</v>
      </c>
      <c r="O1200" s="5"/>
      <c r="P1200" s="5">
        <v>3.516</v>
      </c>
      <c r="Q1200" s="5"/>
      <c r="R1200" s="5">
        <v>1.9244000000000001</v>
      </c>
      <c r="S1200" s="5"/>
      <c r="T1200" s="5">
        <v>0.32250000000000001</v>
      </c>
      <c r="U1200" s="5"/>
      <c r="V1200" s="4">
        <v>7</v>
      </c>
      <c r="W1200" s="4"/>
      <c r="X1200" s="5">
        <v>1.92</v>
      </c>
      <c r="Y1200" s="5"/>
      <c r="Z1200" s="6">
        <v>1000</v>
      </c>
      <c r="AA1200" s="6"/>
      <c r="AB1200" s="4" t="s">
        <v>13</v>
      </c>
    </row>
    <row r="1201" spans="1:28">
      <c r="A1201" s="3" t="s">
        <v>21</v>
      </c>
      <c r="B1201" s="24" t="s">
        <v>32</v>
      </c>
      <c r="C1201" t="s">
        <v>33</v>
      </c>
      <c r="D1201" s="4">
        <v>435</v>
      </c>
      <c r="E1201" s="3" t="s">
        <v>34</v>
      </c>
      <c r="F1201" s="3" t="s">
        <v>1876</v>
      </c>
      <c r="G1201" s="4">
        <v>52.1</v>
      </c>
      <c r="H1201" s="3" t="s">
        <v>35</v>
      </c>
      <c r="I1201" s="3" t="s">
        <v>1877</v>
      </c>
      <c r="J1201" s="4">
        <v>3</v>
      </c>
      <c r="K1201" s="4">
        <v>367.85759999999999</v>
      </c>
      <c r="L1201" s="4" t="str">
        <f>HYPERLINK("http://ms.phosphosite.org:5080/cgi-bin/plot-msms.cgi?MassType=1&amp;NumAxis=1&amp;Mod4=170&amp;Mod11=147&amp;Pep=GGPRGGLGGGMR&amp;Dta=/var/www/html/dta/yong/23612.1820.3.dta&amp;Global_Mod=CS57.0215", "1820")</f>
        <v>1820</v>
      </c>
      <c r="M1201" s="4" t="str">
        <f>HYPERLINK("http://ms.phosphosite.org:5080/cgi-bin/plot-msms.cgi?MassType=1&amp;NumAxis=1&amp;Mod4=170&amp;Mod11=147&amp;Pep=GGPRGGLGGGMR&amp;Dta=/var/www/html/dta/yong/23613.1833.3.dta&amp;Global_Mod=CS57.0215", "1833")</f>
        <v>1833</v>
      </c>
      <c r="N1201" s="5">
        <v>13.73</v>
      </c>
      <c r="O1201" s="5">
        <v>13.61</v>
      </c>
      <c r="P1201" s="5">
        <v>2.968</v>
      </c>
      <c r="Q1201" s="5">
        <v>2.4500000000000002</v>
      </c>
      <c r="R1201" s="5">
        <v>-5.2299999999999999E-2</v>
      </c>
      <c r="S1201" s="5">
        <v>-0.1011</v>
      </c>
      <c r="T1201" s="5">
        <v>5.4399999999999997E-2</v>
      </c>
      <c r="U1201" s="5">
        <v>9.4E-2</v>
      </c>
      <c r="V1201" s="4">
        <v>1</v>
      </c>
      <c r="W1201" s="4">
        <v>30</v>
      </c>
      <c r="X1201" s="5">
        <v>0.82</v>
      </c>
      <c r="Y1201" s="5">
        <v>0.89</v>
      </c>
      <c r="Z1201" s="6">
        <v>1000</v>
      </c>
      <c r="AA1201" s="6">
        <v>1000</v>
      </c>
      <c r="AB1201" s="4" t="s">
        <v>13</v>
      </c>
    </row>
    <row r="1202" spans="1:28">
      <c r="A1202" s="3" t="s">
        <v>21</v>
      </c>
      <c r="B1202" s="24" t="s">
        <v>32</v>
      </c>
      <c r="C1202" t="s">
        <v>33</v>
      </c>
      <c r="D1202" s="4">
        <v>435</v>
      </c>
      <c r="E1202" s="3" t="s">
        <v>34</v>
      </c>
      <c r="F1202" s="3" t="s">
        <v>1876</v>
      </c>
      <c r="G1202" s="4">
        <v>52.1</v>
      </c>
      <c r="H1202" s="3" t="s">
        <v>35</v>
      </c>
      <c r="I1202" s="3" t="s">
        <v>1878</v>
      </c>
      <c r="J1202" s="4">
        <v>2</v>
      </c>
      <c r="K1202" s="4">
        <v>543.28530000000001</v>
      </c>
      <c r="L1202" s="4" t="str">
        <f>HYPERLINK("http://ms.phosphosite.org:5080/cgi-bin/plot-msms.cgi?MassType=1&amp;NumAxis=1&amp;Mod4=170&amp;Pep=GGPRGGLGGGMR&amp;Dta=/var/www/html/dta/yong/23612.3406.2.dta&amp;Global_Mod=CS57.0215", "3406")</f>
        <v>3406</v>
      </c>
      <c r="M1202" s="4" t="str">
        <f>HYPERLINK("http://ms.phosphosite.org:5080/cgi-bin/plot-msms.cgi?MassType=1&amp;NumAxis=1&amp;Mod4=170&amp;Pep=GGPRGGLGGGMR&amp;Dta=/var/www/html/dta/yong/23613.3444.2.dta&amp;Global_Mod=CS57.0215", "3444")</f>
        <v>3444</v>
      </c>
      <c r="N1202" s="5">
        <v>19.66</v>
      </c>
      <c r="O1202" s="5">
        <v>19.649999999999999</v>
      </c>
      <c r="P1202" s="5">
        <v>2.5259999999999998</v>
      </c>
      <c r="Q1202" s="5">
        <v>2.5129999999999999</v>
      </c>
      <c r="R1202" s="5">
        <v>-1.3899999999999999E-2</v>
      </c>
      <c r="S1202" s="5">
        <v>-0.1769</v>
      </c>
      <c r="T1202" s="5">
        <v>0.25359999999999999</v>
      </c>
      <c r="U1202" s="5">
        <v>0.2409</v>
      </c>
      <c r="V1202" s="4">
        <v>1</v>
      </c>
      <c r="W1202" s="4">
        <v>7</v>
      </c>
      <c r="X1202" s="5">
        <v>1.66</v>
      </c>
      <c r="Y1202" s="5">
        <v>1.6</v>
      </c>
      <c r="Z1202" s="6">
        <v>1000</v>
      </c>
      <c r="AA1202" s="6">
        <v>1000</v>
      </c>
      <c r="AB1202" s="4" t="s">
        <v>13</v>
      </c>
    </row>
    <row r="1203" spans="1:28">
      <c r="A1203" s="3" t="s">
        <v>21</v>
      </c>
      <c r="B1203" s="24" t="s">
        <v>32</v>
      </c>
      <c r="C1203" t="s">
        <v>33</v>
      </c>
      <c r="D1203" s="4">
        <v>435</v>
      </c>
      <c r="E1203" s="3" t="s">
        <v>34</v>
      </c>
      <c r="F1203" s="3" t="s">
        <v>1876</v>
      </c>
      <c r="G1203" s="4">
        <v>52.1</v>
      </c>
      <c r="H1203" s="3" t="s">
        <v>35</v>
      </c>
      <c r="I1203" s="3" t="s">
        <v>1878</v>
      </c>
      <c r="J1203" s="4">
        <v>3</v>
      </c>
      <c r="K1203" s="4">
        <v>362.52589999999998</v>
      </c>
      <c r="L1203" s="4" t="str">
        <f>HYPERLINK("http://ms.phosphosite.org:5080/cgi-bin/plot-msms.cgi?MassType=1&amp;NumAxis=1&amp;Mod4=170&amp;Pep=GGPRGGLGGGMR&amp;Dta=/var/www/html/dta/yong/23612.3403.3.dta&amp;Global_Mod=CS57.0215", "3403")</f>
        <v>3403</v>
      </c>
      <c r="M1203" s="4" t="str">
        <f>HYPERLINK("http://ms.phosphosite.org:5080/cgi-bin/plot-msms.cgi?MassType=1&amp;NumAxis=1&amp;Mod4=170&amp;Pep=GGPRGGLGGGMR&amp;Dta=/var/www/html/dta/yong/23613.3437.3.dta&amp;Global_Mod=CS57.0215", "3437")</f>
        <v>3437</v>
      </c>
      <c r="N1203" s="5">
        <v>19.649999999999999</v>
      </c>
      <c r="O1203" s="5">
        <v>19.63</v>
      </c>
      <c r="P1203" s="5">
        <v>3.0059999999999998</v>
      </c>
      <c r="Q1203" s="5">
        <v>3.0129999999999999</v>
      </c>
      <c r="R1203" s="5">
        <v>1.3299999999999999E-2</v>
      </c>
      <c r="S1203" s="5">
        <v>0.1832</v>
      </c>
      <c r="T1203" s="5">
        <v>0.18990000000000001</v>
      </c>
      <c r="U1203" s="5">
        <v>0.18959999999999999</v>
      </c>
      <c r="V1203" s="4">
        <v>1</v>
      </c>
      <c r="W1203" s="4">
        <v>1</v>
      </c>
      <c r="X1203" s="5">
        <v>1.5</v>
      </c>
      <c r="Y1203" s="5">
        <v>1.51</v>
      </c>
      <c r="Z1203" s="6">
        <v>1000</v>
      </c>
      <c r="AA1203" s="6">
        <v>1000</v>
      </c>
      <c r="AB1203" s="4" t="s">
        <v>13</v>
      </c>
    </row>
    <row r="1204" spans="1:28">
      <c r="A1204" s="3" t="s">
        <v>21</v>
      </c>
      <c r="B1204" s="24" t="s">
        <v>32</v>
      </c>
      <c r="C1204" t="s">
        <v>33</v>
      </c>
      <c r="D1204" s="4">
        <v>435</v>
      </c>
      <c r="E1204" s="3" t="s">
        <v>34</v>
      </c>
      <c r="F1204" s="3" t="s">
        <v>1876</v>
      </c>
      <c r="G1204" s="4">
        <v>52.1</v>
      </c>
      <c r="H1204" s="3" t="s">
        <v>35</v>
      </c>
      <c r="I1204" s="3" t="s">
        <v>1878</v>
      </c>
      <c r="J1204" s="4">
        <v>3</v>
      </c>
      <c r="K1204" s="4">
        <v>362.52589999999998</v>
      </c>
      <c r="L1204" s="4"/>
      <c r="M1204" s="4" t="str">
        <f>HYPERLINK("http://ms.phosphosite.org:5080/cgi-bin/plot-msms.cgi?MassType=1&amp;NumAxis=1&amp;Mod4=170&amp;Pep=GGPRGGLGGGMR&amp;Dta=/var/www/html/dta/yong/23613.3449.3.dta&amp;Global_Mod=CS57.0215", "3449")</f>
        <v>3449</v>
      </c>
      <c r="N1204" s="5"/>
      <c r="O1204" s="5">
        <v>19.670000000000002</v>
      </c>
      <c r="P1204" s="5"/>
      <c r="Q1204" s="5">
        <v>3.4980000000000002</v>
      </c>
      <c r="R1204" s="5"/>
      <c r="S1204" s="5">
        <v>0.1832</v>
      </c>
      <c r="T1204" s="5"/>
      <c r="U1204" s="5">
        <v>0.23169999999999999</v>
      </c>
      <c r="V1204" s="4"/>
      <c r="W1204" s="4">
        <v>1</v>
      </c>
      <c r="X1204" s="5"/>
      <c r="Y1204" s="5">
        <v>1.82</v>
      </c>
      <c r="Z1204" s="6"/>
      <c r="AA1204" s="6">
        <v>1000</v>
      </c>
      <c r="AB1204" s="4" t="s">
        <v>13</v>
      </c>
    </row>
    <row r="1205" spans="1:28">
      <c r="A1205" s="3" t="s">
        <v>21</v>
      </c>
      <c r="B1205" s="24" t="s">
        <v>32</v>
      </c>
      <c r="C1205" t="s">
        <v>33</v>
      </c>
      <c r="D1205" s="4">
        <v>435</v>
      </c>
      <c r="E1205" s="3" t="s">
        <v>34</v>
      </c>
      <c r="F1205" s="3" t="s">
        <v>1876</v>
      </c>
      <c r="G1205" s="4">
        <v>52.1</v>
      </c>
      <c r="H1205" s="3" t="s">
        <v>35</v>
      </c>
      <c r="I1205" s="3" t="s">
        <v>1879</v>
      </c>
      <c r="J1205" s="4">
        <v>3</v>
      </c>
      <c r="K1205" s="4">
        <v>419.21570000000003</v>
      </c>
      <c r="L1205" s="4" t="str">
        <f>HYPERLINK("http://ms.phosphosite.org:5080/cgi-bin/plot-msms.cgi?MassType=1&amp;NumAxis=1&amp;Mod6=170&amp;Mod13=147&amp;Pep=GPGGPRGGLGGGMR&amp;Dta=/var/www/html/dta/yong/23612.2506.3.dta&amp;Global_Mod=CS57.0215", "2506")</f>
        <v>2506</v>
      </c>
      <c r="M1205" s="4" t="str">
        <f>HYPERLINK("http://ms.phosphosite.org:5080/cgi-bin/plot-msms.cgi?MassType=1&amp;NumAxis=1&amp;Mod6=170&amp;Mod13=147&amp;Pep=GPGGPRGGLGGGMR&amp;Dta=/var/www/html/dta/yong/23613.2542.3.dta&amp;Global_Mod=CS57.0215", "2542")</f>
        <v>2542</v>
      </c>
      <c r="N1205" s="5">
        <v>16.309999999999999</v>
      </c>
      <c r="O1205" s="5">
        <v>16.309999999999999</v>
      </c>
      <c r="P1205" s="5">
        <v>3.2349999999999999</v>
      </c>
      <c r="Q1205" s="5">
        <v>2.613</v>
      </c>
      <c r="R1205" s="5">
        <v>-0.18909999999999999</v>
      </c>
      <c r="S1205" s="5">
        <v>-0.21340000000000001</v>
      </c>
      <c r="T1205" s="5">
        <v>0.26500000000000001</v>
      </c>
      <c r="U1205" s="5">
        <v>0.21729999999999999</v>
      </c>
      <c r="V1205" s="4">
        <v>1</v>
      </c>
      <c r="W1205" s="4">
        <v>2</v>
      </c>
      <c r="X1205" s="5">
        <v>1.88</v>
      </c>
      <c r="Y1205" s="5">
        <v>1.52</v>
      </c>
      <c r="Z1205" s="6">
        <v>1000</v>
      </c>
      <c r="AA1205" s="6">
        <v>1000</v>
      </c>
      <c r="AB1205" s="4" t="s">
        <v>13</v>
      </c>
    </row>
    <row r="1206" spans="1:28">
      <c r="A1206" s="3" t="s">
        <v>21</v>
      </c>
      <c r="B1206" s="24" t="s">
        <v>32</v>
      </c>
      <c r="C1206" t="s">
        <v>33</v>
      </c>
      <c r="D1206" s="4">
        <v>435</v>
      </c>
      <c r="E1206" s="3" t="s">
        <v>34</v>
      </c>
      <c r="F1206" s="3" t="s">
        <v>1876</v>
      </c>
      <c r="G1206" s="4">
        <v>52.1</v>
      </c>
      <c r="H1206" s="3" t="s">
        <v>35</v>
      </c>
      <c r="I1206" s="3" t="s">
        <v>1880</v>
      </c>
      <c r="J1206" s="4">
        <v>2</v>
      </c>
      <c r="K1206" s="4">
        <v>620.32240000000002</v>
      </c>
      <c r="L1206" s="4" t="str">
        <f>HYPERLINK("http://ms.phosphosite.org:5080/cgi-bin/plot-msms.cgi?MassType=1&amp;NumAxis=1&amp;Mod6=170&amp;Pep=GPGGPRGGLGGGMR&amp;Dta=/var/www/html/dta/yong/23612.4172.2.dta&amp;Global_Mod=CS57.0215", "4172")</f>
        <v>4172</v>
      </c>
      <c r="M1206" s="4" t="str">
        <f>HYPERLINK("http://ms.phosphosite.org:5080/cgi-bin/plot-msms.cgi?MassType=1&amp;NumAxis=1&amp;Mod6=170&amp;Pep=GPGGPRGGLGGGMR&amp;Dta=/var/www/html/dta/yong/23613.4222.2.dta&amp;Global_Mod=CS57.0215", "4222")</f>
        <v>4222</v>
      </c>
      <c r="N1206" s="5">
        <v>22.63</v>
      </c>
      <c r="O1206" s="5">
        <v>22.62</v>
      </c>
      <c r="P1206" s="5">
        <v>2.4710000000000001</v>
      </c>
      <c r="Q1206" s="5">
        <v>2.6379999999999999</v>
      </c>
      <c r="R1206" s="5">
        <v>1.0926</v>
      </c>
      <c r="S1206" s="5">
        <v>1.5155000000000001</v>
      </c>
      <c r="T1206" s="5">
        <v>0.2477</v>
      </c>
      <c r="U1206" s="5">
        <v>0.29389999999999999</v>
      </c>
      <c r="V1206" s="4">
        <v>177</v>
      </c>
      <c r="W1206" s="4">
        <v>1</v>
      </c>
      <c r="X1206" s="5">
        <v>1.48</v>
      </c>
      <c r="Y1206" s="5">
        <v>1.84</v>
      </c>
      <c r="Z1206" s="6">
        <v>1000</v>
      </c>
      <c r="AA1206" s="6">
        <v>1000</v>
      </c>
      <c r="AB1206" s="4" t="s">
        <v>13</v>
      </c>
    </row>
    <row r="1207" spans="1:28">
      <c r="A1207" s="3" t="s">
        <v>21</v>
      </c>
      <c r="B1207" s="24" t="s">
        <v>32</v>
      </c>
      <c r="C1207" t="s">
        <v>33</v>
      </c>
      <c r="D1207" s="4">
        <v>447</v>
      </c>
      <c r="E1207" s="3" t="s">
        <v>34</v>
      </c>
      <c r="F1207" s="3" t="s">
        <v>1876</v>
      </c>
      <c r="G1207" s="4">
        <v>52.1</v>
      </c>
      <c r="H1207" s="3" t="s">
        <v>1881</v>
      </c>
      <c r="I1207" s="3" t="s">
        <v>1882</v>
      </c>
      <c r="J1207" s="4">
        <v>3</v>
      </c>
      <c r="K1207" s="4">
        <v>453.23970000000003</v>
      </c>
      <c r="L1207" s="4"/>
      <c r="M1207" s="4" t="str">
        <f>HYPERLINK("http://ms.phosphosite.org:5080/cgi-bin/plot-msms.cgi?MassType=1&amp;NumAxis=1&amp;Mod4=170&amp;Mod7=147&amp;Pep=GPPRGGMVQKPGF&amp;Dta=/var/www/html/dta/yong/23613.5121.3.dta&amp;Global_Mod=CS57.0215", "5121")</f>
        <v>5121</v>
      </c>
      <c r="N1207" s="5"/>
      <c r="O1207" s="5">
        <v>26.08</v>
      </c>
      <c r="P1207" s="5"/>
      <c r="Q1207" s="5">
        <v>1.88</v>
      </c>
      <c r="R1207" s="5"/>
      <c r="S1207" s="5">
        <v>0.34160000000000001</v>
      </c>
      <c r="T1207" s="5"/>
      <c r="U1207" s="5">
        <v>0.19889999999999999</v>
      </c>
      <c r="V1207" s="4"/>
      <c r="W1207" s="4">
        <v>88</v>
      </c>
      <c r="X1207" s="5"/>
      <c r="Y1207" s="5">
        <v>1.28</v>
      </c>
      <c r="Z1207" s="6"/>
      <c r="AA1207" s="6">
        <v>1000</v>
      </c>
      <c r="AB1207" s="4" t="s">
        <v>13</v>
      </c>
    </row>
    <row r="1208" spans="1:28">
      <c r="A1208" s="3" t="s">
        <v>21</v>
      </c>
      <c r="B1208" s="24" t="s">
        <v>32</v>
      </c>
      <c r="C1208" t="s">
        <v>33</v>
      </c>
      <c r="D1208" s="4">
        <v>447</v>
      </c>
      <c r="E1208" s="3" t="s">
        <v>34</v>
      </c>
      <c r="F1208" s="3" t="s">
        <v>1876</v>
      </c>
      <c r="G1208" s="4">
        <v>52.1</v>
      </c>
      <c r="H1208" s="3" t="s">
        <v>1881</v>
      </c>
      <c r="I1208" s="3" t="s">
        <v>1883</v>
      </c>
      <c r="J1208" s="4">
        <v>3</v>
      </c>
      <c r="K1208" s="4">
        <v>505.2697</v>
      </c>
      <c r="L1208" s="4" t="str">
        <f>HYPERLINK("http://ms.phosphosite.org:5080/cgi-bin/plot-msms.cgi?MassType=1&amp;NumAxis=1&amp;Mod4=170&amp;Mod7=147&amp;Pep=GPPRGGMVQKPGFGV&amp;Dta=/var/www/html/dta/yong/23612.6795.3.dta&amp;Global_Mod=CS57.0215", "6795")</f>
        <v>6795</v>
      </c>
      <c r="M1208" s="4" t="str">
        <f>HYPERLINK("http://ms.phosphosite.org:5080/cgi-bin/plot-msms.cgi?MassType=1&amp;NumAxis=1&amp;Mod4=170&amp;Mod7=147&amp;Pep=GPPRGGMVQKPGFGV&amp;Dta=/var/www/html/dta/yong/23613.6841.3.dta&amp;Global_Mod=CS57.0215", "6841")</f>
        <v>6841</v>
      </c>
      <c r="N1208" s="5">
        <v>32.53</v>
      </c>
      <c r="O1208" s="5">
        <v>32.549999999999997</v>
      </c>
      <c r="P1208" s="5">
        <v>3.2629999999999999</v>
      </c>
      <c r="Q1208" s="5">
        <v>2.9820000000000002</v>
      </c>
      <c r="R1208" s="5">
        <v>0.1696</v>
      </c>
      <c r="S1208" s="5">
        <v>1.5599999999999999E-2</v>
      </c>
      <c r="T1208" s="5">
        <v>0.27739999999999998</v>
      </c>
      <c r="U1208" s="5">
        <v>0.25829999999999997</v>
      </c>
      <c r="V1208" s="4">
        <v>1</v>
      </c>
      <c r="W1208" s="4">
        <v>1</v>
      </c>
      <c r="X1208" s="5">
        <v>1.96</v>
      </c>
      <c r="Y1208" s="5">
        <v>1.8</v>
      </c>
      <c r="Z1208" s="6">
        <v>1000</v>
      </c>
      <c r="AA1208" s="6">
        <v>1000</v>
      </c>
      <c r="AB1208" s="4" t="s">
        <v>13</v>
      </c>
    </row>
    <row r="1209" spans="1:28">
      <c r="A1209" s="3" t="s">
        <v>21</v>
      </c>
      <c r="B1209" s="24" t="s">
        <v>32</v>
      </c>
      <c r="C1209" t="s">
        <v>33</v>
      </c>
      <c r="D1209" s="4">
        <v>447</v>
      </c>
      <c r="E1209" s="3" t="s">
        <v>34</v>
      </c>
      <c r="F1209" s="3" t="s">
        <v>1876</v>
      </c>
      <c r="G1209" s="4">
        <v>52.1</v>
      </c>
      <c r="H1209" s="3" t="s">
        <v>1881</v>
      </c>
      <c r="I1209" s="3" t="s">
        <v>1884</v>
      </c>
      <c r="J1209" s="4">
        <v>2</v>
      </c>
      <c r="K1209" s="4">
        <v>520.78710000000001</v>
      </c>
      <c r="L1209" s="4"/>
      <c r="M1209" s="4" t="str">
        <f>HYPERLINK("http://ms.phosphosite.org:5080/cgi-bin/plot-msms.cgi?MassType=1&amp;NumAxis=1&amp;Mod4=170&amp;Pep=GPPRGGMVQK&amp;Dta=/var/www/html/dta/yong/23613.1945.2.dta&amp;Global_Mod=CS57.0215", "1945")</f>
        <v>1945</v>
      </c>
      <c r="N1209" s="5"/>
      <c r="O1209" s="5">
        <v>14</v>
      </c>
      <c r="P1209" s="5"/>
      <c r="Q1209" s="5">
        <v>1.786</v>
      </c>
      <c r="R1209" s="5"/>
      <c r="S1209" s="5">
        <v>0.371</v>
      </c>
      <c r="T1209" s="5"/>
      <c r="U1209" s="5">
        <v>0.10050000000000001</v>
      </c>
      <c r="V1209" s="4"/>
      <c r="W1209" s="4">
        <v>3</v>
      </c>
      <c r="X1209" s="5"/>
      <c r="Y1209" s="5">
        <v>0.81</v>
      </c>
      <c r="Z1209" s="6"/>
      <c r="AA1209" s="6">
        <v>1000</v>
      </c>
      <c r="AB1209" s="4" t="s">
        <v>13</v>
      </c>
    </row>
    <row r="1210" spans="1:28">
      <c r="A1210" s="3" t="s">
        <v>21</v>
      </c>
      <c r="B1210" s="24" t="s">
        <v>32</v>
      </c>
      <c r="C1210" t="s">
        <v>33</v>
      </c>
      <c r="D1210" s="4" t="s">
        <v>1885</v>
      </c>
      <c r="E1210" s="3" t="s">
        <v>34</v>
      </c>
      <c r="F1210" s="3" t="s">
        <v>1876</v>
      </c>
      <c r="G1210" s="4">
        <v>52.1</v>
      </c>
      <c r="H1210" s="3" t="s">
        <v>1886</v>
      </c>
      <c r="I1210" s="3" t="s">
        <v>1887</v>
      </c>
      <c r="J1210" s="4">
        <v>3</v>
      </c>
      <c r="K1210" s="4">
        <v>580.98239999999998</v>
      </c>
      <c r="L1210" s="4" t="str">
        <f>HYPERLINK("http://ms.phosphosite.org:5080/cgi-bin/plot-msms.cgi?MassType=1&amp;NumAxis=1&amp;Mod4=170&amp;Mod7=147&amp;Mod17=170&amp;Pep=GPPRGGMVQKPGFGVGR&amp;Dta=/var/www/html/dta/yong/23612.5193.3.dta&amp;Global_Mod=CS57.0215", "5193")</f>
        <v>5193</v>
      </c>
      <c r="M1210" s="4" t="str">
        <f>HYPERLINK("http://ms.phosphosite.org:5080/cgi-bin/plot-msms.cgi?MassType=1&amp;NumAxis=1&amp;Mod4=170&amp;Mod7=147&amp;Mod17=170&amp;Pep=GPPRGGMVQKPGFGVGR&amp;Dta=/var/www/html/dta/yong/23613.5236.3.dta&amp;Global_Mod=CS57.0215", "5236")</f>
        <v>5236</v>
      </c>
      <c r="N1210" s="5">
        <v>26.53</v>
      </c>
      <c r="O1210" s="5">
        <v>26.51</v>
      </c>
      <c r="P1210" s="5">
        <v>2.7120000000000002</v>
      </c>
      <c r="Q1210" s="5">
        <v>3.117</v>
      </c>
      <c r="R1210" s="5">
        <v>0.37080000000000002</v>
      </c>
      <c r="S1210" s="5">
        <v>0.58620000000000005</v>
      </c>
      <c r="T1210" s="5">
        <v>0.29830000000000001</v>
      </c>
      <c r="U1210" s="5">
        <v>0.24959999999999999</v>
      </c>
      <c r="V1210" s="4">
        <v>1</v>
      </c>
      <c r="W1210" s="4">
        <v>7</v>
      </c>
      <c r="X1210" s="5">
        <v>1.94</v>
      </c>
      <c r="Y1210" s="5">
        <v>1.77</v>
      </c>
      <c r="Z1210" s="6" t="s">
        <v>1306</v>
      </c>
      <c r="AA1210" s="6" t="s">
        <v>1306</v>
      </c>
      <c r="AB1210" s="4" t="s">
        <v>13</v>
      </c>
    </row>
    <row r="1211" spans="1:28">
      <c r="A1211" s="3" t="s">
        <v>21</v>
      </c>
      <c r="B1211" s="24" t="s">
        <v>32</v>
      </c>
      <c r="C1211" t="s">
        <v>33</v>
      </c>
      <c r="D1211" s="4" t="s">
        <v>1885</v>
      </c>
      <c r="E1211" s="3" t="s">
        <v>34</v>
      </c>
      <c r="F1211" s="3" t="s">
        <v>1876</v>
      </c>
      <c r="G1211" s="4">
        <v>52.1</v>
      </c>
      <c r="H1211" s="3" t="s">
        <v>1886</v>
      </c>
      <c r="I1211" s="3" t="s">
        <v>1887</v>
      </c>
      <c r="J1211" s="4">
        <v>4</v>
      </c>
      <c r="K1211" s="4">
        <v>435.98860000000002</v>
      </c>
      <c r="L1211" s="4" t="str">
        <f>HYPERLINK("http://ms.phosphosite.org:5080/cgi-bin/plot-msms.cgi?MassType=1&amp;NumAxis=1&amp;Mod4=170&amp;Mod7=147&amp;Mod17=170&amp;Pep=GPPRGGMVQKPGFGVGR&amp;Dta=/var/www/html/dta/yong/23612.5160.4.dta&amp;Global_Mod=CS57.0215", "5160")</f>
        <v>5160</v>
      </c>
      <c r="M1211" s="4" t="str">
        <f>HYPERLINK("http://ms.phosphosite.org:5080/cgi-bin/plot-msms.cgi?MassType=1&amp;NumAxis=1&amp;Mod4=170&amp;Mod7=147&amp;Mod17=170&amp;Pep=GPPRGGMVQKPGFGVGR&amp;Dta=/var/www/html/dta/yong/23613.5227.4.dta&amp;Global_Mod=CS57.0215", "5227")</f>
        <v>5227</v>
      </c>
      <c r="N1211" s="5">
        <v>26.4</v>
      </c>
      <c r="O1211" s="5">
        <v>26.48</v>
      </c>
      <c r="P1211" s="5">
        <v>1.8180000000000001</v>
      </c>
      <c r="Q1211" s="5">
        <v>2.0960000000000001</v>
      </c>
      <c r="R1211" s="5">
        <v>5.0799999999999998E-2</v>
      </c>
      <c r="S1211" s="5">
        <v>5.3800000000000001E-2</v>
      </c>
      <c r="T1211" s="5">
        <v>0.124</v>
      </c>
      <c r="U1211" s="5">
        <v>0.15809999999999999</v>
      </c>
      <c r="V1211" s="4">
        <v>230</v>
      </c>
      <c r="W1211" s="4">
        <v>1</v>
      </c>
      <c r="X1211" s="5">
        <v>0.81</v>
      </c>
      <c r="Y1211" s="5">
        <v>1.1399999999999999</v>
      </c>
      <c r="Z1211" s="6" t="s">
        <v>1306</v>
      </c>
      <c r="AA1211" s="6" t="s">
        <v>1306</v>
      </c>
      <c r="AB1211" s="4" t="s">
        <v>13</v>
      </c>
    </row>
    <row r="1212" spans="1:28">
      <c r="A1212" s="3" t="s">
        <v>21</v>
      </c>
      <c r="B1212" s="24" t="s">
        <v>32</v>
      </c>
      <c r="C1212" t="s">
        <v>33</v>
      </c>
      <c r="D1212" s="4">
        <v>460</v>
      </c>
      <c r="E1212" s="3" t="s">
        <v>34</v>
      </c>
      <c r="F1212" s="3" t="s">
        <v>1876</v>
      </c>
      <c r="G1212" s="4">
        <v>52.1</v>
      </c>
      <c r="H1212" s="3" t="s">
        <v>1888</v>
      </c>
      <c r="I1212" s="3" t="s">
        <v>1889</v>
      </c>
      <c r="J1212" s="4">
        <v>2</v>
      </c>
      <c r="K1212" s="4">
        <v>352.1979</v>
      </c>
      <c r="L1212" s="4" t="str">
        <f>HYPERLINK("http://ms.phosphosite.org:5080/cgi-bin/plot-msms.cgi?MassType=1&amp;NumAxis=1&amp;Mod7=170&amp;Pep=PGFGVGR&amp;Dta=/var/www/html/dta/yong/23612.5742.2.dta&amp;Global_Mod=CS57.0215", "5742")</f>
        <v>5742</v>
      </c>
      <c r="M1212" s="4" t="str">
        <f>HYPERLINK("http://ms.phosphosite.org:5080/cgi-bin/plot-msms.cgi?MassType=1&amp;NumAxis=1&amp;Mod7=170&amp;Pep=PGFGVGR&amp;Dta=/var/www/html/dta/yong/23613.5783.2.dta&amp;Global_Mod=CS57.0215", "5783")</f>
        <v>5783</v>
      </c>
      <c r="N1212" s="5">
        <v>28.6</v>
      </c>
      <c r="O1212" s="5">
        <v>28.55</v>
      </c>
      <c r="P1212" s="5">
        <v>2.145</v>
      </c>
      <c r="Q1212" s="5">
        <v>1.966</v>
      </c>
      <c r="R1212" s="5">
        <v>-0.50070000000000003</v>
      </c>
      <c r="S1212" s="5">
        <v>-0.13339999999999999</v>
      </c>
      <c r="T1212" s="5">
        <v>0.1072</v>
      </c>
      <c r="U1212" s="5">
        <v>8.0100000000000005E-2</v>
      </c>
      <c r="V1212" s="4">
        <v>8</v>
      </c>
      <c r="W1212" s="4">
        <v>1</v>
      </c>
      <c r="X1212" s="5">
        <v>1.08</v>
      </c>
      <c r="Y1212" s="5">
        <v>0.95</v>
      </c>
      <c r="Z1212" s="6">
        <v>1000</v>
      </c>
      <c r="AA1212" s="6">
        <v>1000</v>
      </c>
      <c r="AB1212" s="4" t="s">
        <v>13</v>
      </c>
    </row>
    <row r="1213" spans="1:28">
      <c r="A1213" s="3" t="s">
        <v>21</v>
      </c>
      <c r="B1213" s="24" t="s">
        <v>32</v>
      </c>
      <c r="C1213" t="s">
        <v>33</v>
      </c>
      <c r="D1213" s="4" t="s">
        <v>1890</v>
      </c>
      <c r="E1213" s="3" t="s">
        <v>34</v>
      </c>
      <c r="F1213" s="3" t="s">
        <v>1876</v>
      </c>
      <c r="G1213" s="4">
        <v>52.1</v>
      </c>
      <c r="H1213" s="3" t="s">
        <v>1891</v>
      </c>
      <c r="I1213" s="3" t="s">
        <v>1892</v>
      </c>
      <c r="J1213" s="4">
        <v>3</v>
      </c>
      <c r="K1213" s="4">
        <v>404.5718</v>
      </c>
      <c r="L1213" s="4" t="str">
        <f>HYPERLINK("http://ms.phosphosite.org:5080/cgi-bin/plot-msms.cgi?MassType=1&amp;NumAxis=1&amp;Mod7=170&amp;Mod12=170&amp;Pep=PGFGVGRGLAPR&amp;Dta=/var/www/html/dta/yong/23612.8133.3.dta&amp;Global_Mod=CS57.0215", "8133")</f>
        <v>8133</v>
      </c>
      <c r="M1213" s="4" t="str">
        <f>HYPERLINK("http://ms.phosphosite.org:5080/cgi-bin/plot-msms.cgi?MassType=1&amp;NumAxis=1&amp;Mod7=170&amp;Mod12=170&amp;Pep=PGFGVGRGLAPR&amp;Dta=/var/www/html/dta/yong/23613.8162.3.dta&amp;Global_Mod=CS57.0215", "8162")</f>
        <v>8162</v>
      </c>
      <c r="N1213" s="5">
        <v>37.299999999999997</v>
      </c>
      <c r="O1213" s="5">
        <v>37.33</v>
      </c>
      <c r="P1213" s="5">
        <v>1.8819999999999999</v>
      </c>
      <c r="Q1213" s="5">
        <v>2.0339999999999998</v>
      </c>
      <c r="R1213" s="5">
        <v>0.15310000000000001</v>
      </c>
      <c r="S1213" s="5">
        <v>0.18329999999999999</v>
      </c>
      <c r="T1213" s="5">
        <v>0.124</v>
      </c>
      <c r="U1213" s="5">
        <v>7.3999999999999996E-2</v>
      </c>
      <c r="V1213" s="4">
        <v>52</v>
      </c>
      <c r="W1213" s="4">
        <v>2</v>
      </c>
      <c r="X1213" s="5">
        <v>0.93</v>
      </c>
      <c r="Y1213" s="5">
        <v>0.74</v>
      </c>
      <c r="Z1213" s="6" t="s">
        <v>1306</v>
      </c>
      <c r="AA1213" s="6" t="s">
        <v>1306</v>
      </c>
      <c r="AB1213" s="4" t="s">
        <v>13</v>
      </c>
    </row>
    <row r="1214" spans="1:28">
      <c r="A1214" s="3" t="s">
        <v>21</v>
      </c>
      <c r="B1214" s="24" t="s">
        <v>1893</v>
      </c>
      <c r="C1214" s="26" t="s">
        <v>1893</v>
      </c>
      <c r="D1214" s="4">
        <v>457</v>
      </c>
      <c r="E1214" s="3" t="s">
        <v>1894</v>
      </c>
      <c r="F1214" s="3" t="s">
        <v>1895</v>
      </c>
      <c r="G1214" s="4">
        <v>54.1</v>
      </c>
      <c r="H1214" s="3" t="s">
        <v>1896</v>
      </c>
      <c r="I1214" s="3" t="s">
        <v>1897</v>
      </c>
      <c r="J1214" s="4">
        <v>2</v>
      </c>
      <c r="K1214" s="4">
        <v>555.29790000000003</v>
      </c>
      <c r="L1214" s="4"/>
      <c r="M1214" s="4" t="str">
        <f>HYPERLINK("http://ms.phosphosite.org:5080/cgi-bin/plot-msms.cgi?MassType=1&amp;NumAxis=1&amp;Mod5=170&amp;Pep=GPPPRGGMAQK&amp;Dta=/var/www/html/dta/yong/23613.1420.2.dta&amp;Global_Mod=CS57.0215", "1420")</f>
        <v>1420</v>
      </c>
      <c r="N1214" s="5"/>
      <c r="O1214" s="5">
        <v>12.05</v>
      </c>
      <c r="P1214" s="5"/>
      <c r="Q1214" s="5">
        <v>2.109</v>
      </c>
      <c r="R1214" s="5"/>
      <c r="S1214" s="5">
        <v>1.1054999999999999</v>
      </c>
      <c r="T1214" s="5"/>
      <c r="U1214" s="5">
        <v>0.1074</v>
      </c>
      <c r="V1214" s="4"/>
      <c r="W1214" s="4">
        <v>5</v>
      </c>
      <c r="X1214" s="5"/>
      <c r="Y1214" s="5">
        <v>0.71</v>
      </c>
      <c r="Z1214" s="6"/>
      <c r="AA1214" s="6">
        <v>1000</v>
      </c>
      <c r="AB1214" s="4" t="s">
        <v>13</v>
      </c>
    </row>
    <row r="1215" spans="1:28">
      <c r="A1215" s="3" t="s">
        <v>21</v>
      </c>
      <c r="B1215" s="24" t="s">
        <v>1893</v>
      </c>
      <c r="C1215" s="26" t="s">
        <v>1893</v>
      </c>
      <c r="D1215" s="4">
        <v>468</v>
      </c>
      <c r="E1215" s="3" t="s">
        <v>1894</v>
      </c>
      <c r="F1215" s="3" t="s">
        <v>1895</v>
      </c>
      <c r="G1215" s="4">
        <v>54.1</v>
      </c>
      <c r="H1215" s="3" t="s">
        <v>1898</v>
      </c>
      <c r="I1215" s="3" t="s">
        <v>1899</v>
      </c>
      <c r="J1215" s="4">
        <v>2</v>
      </c>
      <c r="K1215" s="4">
        <v>660.3279</v>
      </c>
      <c r="L1215" s="4" t="str">
        <f>HYPERLINK("http://ms.phosphosite.org:5080/cgi-bin/plot-msms.cgi?MassType=1&amp;NumAxis=1&amp;Mod5=170&amp;Pep=LGSGRGTGQMEGR&amp;Dta=/var/www/html/dta/yong/23612.2413.2.dta&amp;Global_Mod=CS57.0215", "2413")</f>
        <v>2413</v>
      </c>
      <c r="M1215" s="4" t="str">
        <f>HYPERLINK("http://ms.phosphosite.org:5080/cgi-bin/plot-msms.cgi?MassType=1&amp;NumAxis=1&amp;Mod5=170&amp;Pep=LGSGRGTGQMEGR&amp;Dta=/var/www/html/dta/yong/23613.2457.2.dta&amp;Global_Mod=CS57.0215", "2457")</f>
        <v>2457</v>
      </c>
      <c r="N1215" s="5">
        <v>15.95</v>
      </c>
      <c r="O1215" s="5">
        <v>15.98</v>
      </c>
      <c r="P1215" s="5">
        <v>2.6309999999999998</v>
      </c>
      <c r="Q1215" s="5">
        <v>2.9630000000000001</v>
      </c>
      <c r="R1215" s="5">
        <v>1.4477</v>
      </c>
      <c r="S1215" s="5">
        <v>0.72929999999999995</v>
      </c>
      <c r="T1215" s="5">
        <v>0.17710000000000001</v>
      </c>
      <c r="U1215" s="5">
        <v>0.26129999999999998</v>
      </c>
      <c r="V1215" s="4">
        <v>2</v>
      </c>
      <c r="W1215" s="4">
        <v>1</v>
      </c>
      <c r="X1215" s="5">
        <v>1.1200000000000001</v>
      </c>
      <c r="Y1215" s="5">
        <v>1.64</v>
      </c>
      <c r="Z1215" s="6">
        <v>1000</v>
      </c>
      <c r="AA1215" s="6">
        <v>1000</v>
      </c>
      <c r="AB1215" s="4" t="s">
        <v>13</v>
      </c>
    </row>
    <row r="1216" spans="1:28">
      <c r="A1216" s="3" t="s">
        <v>21</v>
      </c>
      <c r="B1216" s="24" t="s">
        <v>1900</v>
      </c>
      <c r="C1216" s="26" t="s">
        <v>1900</v>
      </c>
      <c r="D1216" s="4">
        <v>51</v>
      </c>
      <c r="E1216" s="3" t="s">
        <v>1901</v>
      </c>
      <c r="F1216" s="3" t="s">
        <v>1902</v>
      </c>
      <c r="G1216" s="4">
        <v>192.6</v>
      </c>
      <c r="H1216" s="3" t="s">
        <v>1903</v>
      </c>
      <c r="I1216" s="3" t="s">
        <v>1904</v>
      </c>
      <c r="J1216" s="4">
        <v>2</v>
      </c>
      <c r="K1216" s="4">
        <v>597.32860000000005</v>
      </c>
      <c r="L1216" s="4"/>
      <c r="M1216" s="4" t="str">
        <f>HYPERLINK("http://ms.phosphosite.org:5080/cgi-bin/plot-msms.cgi?MassType=1&amp;NumAxis=1&amp;Mod9=170&amp;Pep=ICVGWLYLR&amp;Dta=/var/www/html/dta/yong/23613.1487.2.dta&amp;Global_Mod=CS57.0215", "1487")</f>
        <v>1487</v>
      </c>
      <c r="N1216" s="5"/>
      <c r="O1216" s="5">
        <v>12.29</v>
      </c>
      <c r="P1216" s="5"/>
      <c r="Q1216" s="5">
        <v>1.7569999999999999</v>
      </c>
      <c r="R1216" s="5"/>
      <c r="S1216" s="5">
        <v>0.66869999999999996</v>
      </c>
      <c r="T1216" s="5"/>
      <c r="U1216" s="5">
        <v>9.8400000000000001E-2</v>
      </c>
      <c r="V1216" s="4"/>
      <c r="W1216" s="4">
        <v>13</v>
      </c>
      <c r="X1216" s="5"/>
      <c r="Y1216" s="5">
        <v>0.81</v>
      </c>
      <c r="Z1216" s="6"/>
      <c r="AA1216" s="6">
        <v>1000</v>
      </c>
      <c r="AB1216" s="4" t="s">
        <v>13</v>
      </c>
    </row>
    <row r="1217" spans="1:28">
      <c r="A1217" s="3" t="s">
        <v>21</v>
      </c>
      <c r="B1217" s="24" t="s">
        <v>1905</v>
      </c>
      <c r="C1217" s="26" t="s">
        <v>1906</v>
      </c>
      <c r="D1217" s="4">
        <v>1020</v>
      </c>
      <c r="E1217" s="3" t="s">
        <v>1907</v>
      </c>
      <c r="F1217" s="3" t="s">
        <v>1908</v>
      </c>
      <c r="G1217" s="4">
        <v>186.3</v>
      </c>
      <c r="H1217" s="3" t="s">
        <v>1909</v>
      </c>
      <c r="I1217" s="3" t="s">
        <v>1910</v>
      </c>
      <c r="J1217" s="4">
        <v>3</v>
      </c>
      <c r="K1217" s="4">
        <v>885.08770000000004</v>
      </c>
      <c r="L1217" s="4" t="str">
        <f>HYPERLINK("http://ms.phosphosite.org:5080/cgi-bin/plot-msms.cgi?MassType=1&amp;NumAxis=1&amp;Mod2=147&amp;Mod4=170&amp;Mod10=147&amp;Pep=LMNRVVDESMNLEDVPDSVNLFA&amp;Dta=/var/www/html/dta/yong/23612.14400.3.dta&amp;Global_Mod=CS57.0215", "14400")</f>
        <v>14400</v>
      </c>
      <c r="M1217" s="4"/>
      <c r="N1217" s="5">
        <v>59.31</v>
      </c>
      <c r="O1217" s="5"/>
      <c r="P1217" s="5">
        <v>2.7890000000000001</v>
      </c>
      <c r="Q1217" s="5"/>
      <c r="R1217" s="5">
        <v>2.6446999999999998</v>
      </c>
      <c r="S1217" s="5"/>
      <c r="T1217" s="5">
        <v>0.13089999999999999</v>
      </c>
      <c r="U1217" s="5"/>
      <c r="V1217" s="4">
        <v>7</v>
      </c>
      <c r="W1217" s="4"/>
      <c r="X1217" s="5">
        <v>0.8</v>
      </c>
      <c r="Y1217" s="5"/>
      <c r="Z1217" s="6">
        <v>1000</v>
      </c>
      <c r="AA1217" s="6"/>
      <c r="AB1217" s="4" t="s">
        <v>13</v>
      </c>
    </row>
    <row r="1218" spans="1:28">
      <c r="A1218" s="3" t="s">
        <v>21</v>
      </c>
      <c r="B1218" s="24" t="s">
        <v>1905</v>
      </c>
      <c r="C1218" s="26" t="s">
        <v>1906</v>
      </c>
      <c r="D1218" s="4">
        <v>1020</v>
      </c>
      <c r="E1218" s="3" t="s">
        <v>1907</v>
      </c>
      <c r="F1218" s="3" t="s">
        <v>1908</v>
      </c>
      <c r="G1218" s="4">
        <v>186.3</v>
      </c>
      <c r="H1218" s="3" t="s">
        <v>1909</v>
      </c>
      <c r="I1218" s="3" t="s">
        <v>1910</v>
      </c>
      <c r="J1218" s="4">
        <v>4</v>
      </c>
      <c r="K1218" s="4">
        <v>664.06759999999997</v>
      </c>
      <c r="L1218" s="4"/>
      <c r="M1218" s="4" t="str">
        <f>HYPERLINK("http://ms.phosphosite.org:5080/cgi-bin/plot-msms.cgi?MassType=1&amp;NumAxis=1&amp;Mod2=147&amp;Mod4=170&amp;Mod10=147&amp;Pep=LMNRVVDESMNLEDVPDSVNLFA&amp;Dta=/var/www/html/dta/yong/23613.14475.4.dta&amp;Global_Mod=CS57.0215", "14475")</f>
        <v>14475</v>
      </c>
      <c r="N1218" s="5"/>
      <c r="O1218" s="5">
        <v>59.29</v>
      </c>
      <c r="P1218" s="5"/>
      <c r="Q1218" s="5">
        <v>3.07</v>
      </c>
      <c r="R1218" s="5"/>
      <c r="S1218" s="5">
        <v>2.4287999999999998</v>
      </c>
      <c r="T1218" s="5"/>
      <c r="U1218" s="5">
        <v>0.151</v>
      </c>
      <c r="V1218" s="4"/>
      <c r="W1218" s="4">
        <v>65</v>
      </c>
      <c r="X1218" s="5"/>
      <c r="Y1218" s="5">
        <v>0.94</v>
      </c>
      <c r="Z1218" s="6"/>
      <c r="AA1218" s="6">
        <v>1000</v>
      </c>
      <c r="AB1218" s="4" t="s">
        <v>13</v>
      </c>
    </row>
    <row r="1219" spans="1:28">
      <c r="A1219" s="3" t="s">
        <v>21</v>
      </c>
      <c r="B1219" s="24" t="s">
        <v>1911</v>
      </c>
      <c r="C1219" s="26" t="s">
        <v>1911</v>
      </c>
      <c r="D1219" s="4" t="s">
        <v>1912</v>
      </c>
      <c r="E1219" s="3" t="s">
        <v>1913</v>
      </c>
      <c r="F1219" s="3" t="s">
        <v>1914</v>
      </c>
      <c r="G1219" s="4">
        <v>43.4</v>
      </c>
      <c r="H1219" s="3" t="s">
        <v>1915</v>
      </c>
      <c r="I1219" s="3" t="s">
        <v>1916</v>
      </c>
      <c r="J1219" s="4">
        <v>2</v>
      </c>
      <c r="K1219" s="4">
        <v>960.47919999999999</v>
      </c>
      <c r="L1219" s="4"/>
      <c r="M1219" s="4" t="str">
        <f>HYPERLINK("http://ms.phosphosite.org:5080/cgi-bin/plot-msms.cgi?MassType=1&amp;NumAxis=1&amp;Mod2=170&amp;Mod17=170&amp;Pep=NRPPFGQGYTQPGPGYR&amp;Dta=/var/www/html/dta/yong/23613.8259.2.dta&amp;Global_Mod=CS57.0215", "8259")</f>
        <v>8259</v>
      </c>
      <c r="N1219" s="5"/>
      <c r="O1219" s="5">
        <v>37.68</v>
      </c>
      <c r="P1219" s="5"/>
      <c r="Q1219" s="5">
        <v>3.423</v>
      </c>
      <c r="R1219" s="5"/>
      <c r="S1219" s="5">
        <v>0.84699999999999998</v>
      </c>
      <c r="T1219" s="5"/>
      <c r="U1219" s="5">
        <v>0.26419999999999999</v>
      </c>
      <c r="V1219" s="4"/>
      <c r="W1219" s="4">
        <v>1</v>
      </c>
      <c r="X1219" s="5"/>
      <c r="Y1219" s="5">
        <v>1.94</v>
      </c>
      <c r="Z1219" s="6"/>
      <c r="AA1219" s="6" t="s">
        <v>1306</v>
      </c>
      <c r="AB1219" s="4" t="s">
        <v>13</v>
      </c>
    </row>
    <row r="1220" spans="1:28">
      <c r="A1220" s="3" t="s">
        <v>21</v>
      </c>
      <c r="B1220" s="24" t="s">
        <v>1911</v>
      </c>
      <c r="C1220" s="26" t="s">
        <v>1911</v>
      </c>
      <c r="D1220" s="4" t="s">
        <v>1912</v>
      </c>
      <c r="E1220" s="3" t="s">
        <v>1913</v>
      </c>
      <c r="F1220" s="3" t="s">
        <v>1914</v>
      </c>
      <c r="G1220" s="4">
        <v>43.4</v>
      </c>
      <c r="H1220" s="3" t="s">
        <v>1915</v>
      </c>
      <c r="I1220" s="3" t="s">
        <v>1916</v>
      </c>
      <c r="J1220" s="4">
        <v>3</v>
      </c>
      <c r="K1220" s="4">
        <v>640.65520000000004</v>
      </c>
      <c r="L1220" s="4" t="str">
        <f>HYPERLINK("http://ms.phosphosite.org:5080/cgi-bin/plot-msms.cgi?MassType=1&amp;NumAxis=1&amp;Mod2=170&amp;Mod17=170&amp;Pep=NRPPFGQGYTQPGPGYR&amp;Dta=/var/www/html/dta/yong/23612.8154.3.dta&amp;Global_Mod=CS57.0215", "8154")</f>
        <v>8154</v>
      </c>
      <c r="M1220" s="4" t="str">
        <f>HYPERLINK("http://ms.phosphosite.org:5080/cgi-bin/plot-msms.cgi?MassType=1&amp;NumAxis=1&amp;Mod2=170&amp;Mod17=170&amp;Pep=NRPPFGQGYTQPGPGYR&amp;Dta=/var/www/html/dta/yong/23613.8190.3.dta&amp;Global_Mod=CS57.0215", "8190")</f>
        <v>8190</v>
      </c>
      <c r="N1220" s="5">
        <v>37.380000000000003</v>
      </c>
      <c r="O1220" s="5">
        <v>37.44</v>
      </c>
      <c r="P1220" s="5">
        <v>4.056</v>
      </c>
      <c r="Q1220" s="5">
        <v>4.24</v>
      </c>
      <c r="R1220" s="5">
        <v>0.49819999999999998</v>
      </c>
      <c r="S1220" s="5">
        <v>0.35310000000000002</v>
      </c>
      <c r="T1220" s="5">
        <v>0.2954</v>
      </c>
      <c r="U1220" s="5">
        <v>0.25009999999999999</v>
      </c>
      <c r="V1220" s="4">
        <v>12</v>
      </c>
      <c r="W1220" s="4">
        <v>1</v>
      </c>
      <c r="X1220" s="5">
        <v>2.27</v>
      </c>
      <c r="Y1220" s="5">
        <v>2.1</v>
      </c>
      <c r="Z1220" s="6" t="s">
        <v>1306</v>
      </c>
      <c r="AA1220" s="6" t="s">
        <v>1306</v>
      </c>
      <c r="AB1220" s="4" t="s">
        <v>13</v>
      </c>
    </row>
    <row r="1221" spans="1:28">
      <c r="A1221" s="3" t="s">
        <v>21</v>
      </c>
      <c r="B1221" s="24" t="s">
        <v>1911</v>
      </c>
      <c r="C1221" s="26" t="s">
        <v>1911</v>
      </c>
      <c r="D1221" s="4">
        <v>385</v>
      </c>
      <c r="E1221" s="3" t="s">
        <v>1913</v>
      </c>
      <c r="F1221" s="3" t="s">
        <v>1914</v>
      </c>
      <c r="G1221" s="4">
        <v>43.4</v>
      </c>
      <c r="H1221" s="3" t="s">
        <v>1917</v>
      </c>
      <c r="I1221" s="3" t="s">
        <v>1918</v>
      </c>
      <c r="J1221" s="4">
        <v>2</v>
      </c>
      <c r="K1221" s="4">
        <v>875.42079999999999</v>
      </c>
      <c r="L1221" s="4"/>
      <c r="M1221" s="4" t="str">
        <f>HYPERLINK("http://ms.phosphosite.org:5080/cgi-bin/plot-msms.cgi?MassType=1&amp;NumAxis=1&amp;Mod2=170&amp;Pep=NRPPFGQGYTQPGPGY&amp;Dta=/var/www/html/dta/yong/23613.10154.2.dta&amp;Global_Mod=CS57.0215", "10154")</f>
        <v>10154</v>
      </c>
      <c r="N1221" s="5"/>
      <c r="O1221" s="5">
        <v>44.29</v>
      </c>
      <c r="P1221" s="5"/>
      <c r="Q1221" s="5">
        <v>2.5390000000000001</v>
      </c>
      <c r="R1221" s="5"/>
      <c r="S1221" s="5">
        <v>1.5432999999999999</v>
      </c>
      <c r="T1221" s="5"/>
      <c r="U1221" s="5">
        <v>0.25790000000000002</v>
      </c>
      <c r="V1221" s="4"/>
      <c r="W1221" s="4">
        <v>13</v>
      </c>
      <c r="X1221" s="5"/>
      <c r="Y1221" s="5">
        <v>1.69</v>
      </c>
      <c r="Z1221" s="6"/>
      <c r="AA1221" s="6">
        <v>1000</v>
      </c>
      <c r="AB1221" s="4" t="s">
        <v>13</v>
      </c>
    </row>
    <row r="1222" spans="1:28">
      <c r="A1222" s="3" t="s">
        <v>21</v>
      </c>
      <c r="B1222" s="24" t="s">
        <v>1911</v>
      </c>
      <c r="C1222" s="26" t="s">
        <v>1911</v>
      </c>
      <c r="D1222" s="4">
        <v>400</v>
      </c>
      <c r="E1222" s="3" t="s">
        <v>1913</v>
      </c>
      <c r="F1222" s="3" t="s">
        <v>1914</v>
      </c>
      <c r="G1222" s="4">
        <v>43.4</v>
      </c>
      <c r="H1222" s="3" t="s">
        <v>1917</v>
      </c>
      <c r="I1222" s="3" t="s">
        <v>1919</v>
      </c>
      <c r="J1222" s="4">
        <v>3</v>
      </c>
      <c r="K1222" s="4">
        <v>635.98329999999999</v>
      </c>
      <c r="L1222" s="4" t="str">
        <f>HYPERLINK("http://ms.phosphosite.org:5080/cgi-bin/plot-msms.cgi?MassType=1&amp;NumAxis=1&amp;Mod17=170&amp;Pep=NRPPFGQGYTQPGPGYR&amp;Dta=/var/www/html/dta/yong/23612.8065.3.dta&amp;Global_Mod=CS57.0215", "8065")</f>
        <v>8065</v>
      </c>
      <c r="M1222" s="4" t="str">
        <f>HYPERLINK("http://ms.phosphosite.org:5080/cgi-bin/plot-msms.cgi?MassType=1&amp;NumAxis=1&amp;Mod17=170&amp;Pep=NRPPFGQGYTQPGPGYR&amp;Dta=/var/www/html/dta/yong/23613.8105.3.dta&amp;Global_Mod=CS57.0215", "8105")</f>
        <v>8105</v>
      </c>
      <c r="N1222" s="5">
        <v>37.049999999999997</v>
      </c>
      <c r="O1222" s="5">
        <v>37.11</v>
      </c>
      <c r="P1222" s="5">
        <v>4.351</v>
      </c>
      <c r="Q1222" s="5">
        <v>3.5590000000000002</v>
      </c>
      <c r="R1222" s="5">
        <v>0.71260000000000001</v>
      </c>
      <c r="S1222" s="5">
        <v>0.50039999999999996</v>
      </c>
      <c r="T1222" s="5">
        <v>0.23769999999999999</v>
      </c>
      <c r="U1222" s="5">
        <v>0.18790000000000001</v>
      </c>
      <c r="V1222" s="4">
        <v>3</v>
      </c>
      <c r="W1222" s="4">
        <v>6</v>
      </c>
      <c r="X1222" s="5">
        <v>2.0299999999999998</v>
      </c>
      <c r="Y1222" s="5">
        <v>1.65</v>
      </c>
      <c r="Z1222" s="6">
        <v>1000</v>
      </c>
      <c r="AA1222" s="6">
        <v>1000</v>
      </c>
      <c r="AB1222" s="4" t="s">
        <v>13</v>
      </c>
    </row>
    <row r="1223" spans="1:28">
      <c r="A1223" s="3" t="s">
        <v>21</v>
      </c>
      <c r="B1223" s="24" t="s">
        <v>1920</v>
      </c>
      <c r="C1223" t="s">
        <v>1921</v>
      </c>
      <c r="D1223" s="4">
        <v>111</v>
      </c>
      <c r="E1223" s="3" t="s">
        <v>1922</v>
      </c>
      <c r="F1223" s="3" t="s">
        <v>1923</v>
      </c>
      <c r="G1223" s="4">
        <v>50.3</v>
      </c>
      <c r="H1223" s="3" t="s">
        <v>1924</v>
      </c>
      <c r="I1223" s="3" t="s">
        <v>1925</v>
      </c>
      <c r="J1223" s="4">
        <v>3</v>
      </c>
      <c r="K1223" s="4">
        <v>875.79960000000005</v>
      </c>
      <c r="L1223" s="4" t="str">
        <f>HYPERLINK("http://ms.phosphosite.org:5080/cgi-bin/plot-msms.cgi?MassType=1&amp;NumAxis=1&amp;Mod26=170&amp;Pep=GGLRPGSLDAEIDLLSSTLAELNGGR&amp;Dta=/var/www/html/dta/yong/23612.22789.3.dta&amp;Global_Mod=CS57.0215", "22789")</f>
        <v>22789</v>
      </c>
      <c r="M1223" s="4" t="str">
        <f>HYPERLINK("http://ms.phosphosite.org:5080/cgi-bin/plot-msms.cgi?MassType=1&amp;NumAxis=1&amp;Mod26=170&amp;Pep=GGLRPGSLDAEIDLLSSTLAELNGGR&amp;Dta=/var/www/html/dta/yong/23613.22877.3.dta&amp;Global_Mod=CS57.0215", "22877")</f>
        <v>22877</v>
      </c>
      <c r="N1223" s="5">
        <v>97.19</v>
      </c>
      <c r="O1223" s="5">
        <v>97.2</v>
      </c>
      <c r="P1223" s="5">
        <v>4.2519999999999998</v>
      </c>
      <c r="Q1223" s="5">
        <v>4.3360000000000003</v>
      </c>
      <c r="R1223" s="5">
        <v>1.0942000000000001</v>
      </c>
      <c r="S1223" s="5">
        <v>1.5173000000000001</v>
      </c>
      <c r="T1223" s="5">
        <v>0.32200000000000001</v>
      </c>
      <c r="U1223" s="5">
        <v>0.33510000000000001</v>
      </c>
      <c r="V1223" s="4">
        <v>1</v>
      </c>
      <c r="W1223" s="4">
        <v>1</v>
      </c>
      <c r="X1223" s="5">
        <v>2.44</v>
      </c>
      <c r="Y1223" s="5">
        <v>2.5</v>
      </c>
      <c r="Z1223" s="6">
        <v>1000</v>
      </c>
      <c r="AA1223" s="6">
        <v>1000</v>
      </c>
      <c r="AB1223" s="4" t="s">
        <v>13</v>
      </c>
    </row>
    <row r="1224" spans="1:28">
      <c r="A1224" s="3" t="s">
        <v>21</v>
      </c>
      <c r="B1224" s="24" t="s">
        <v>1920</v>
      </c>
      <c r="C1224" t="s">
        <v>1921</v>
      </c>
      <c r="D1224" s="4">
        <v>111</v>
      </c>
      <c r="E1224" s="3" t="s">
        <v>1922</v>
      </c>
      <c r="F1224" s="3" t="s">
        <v>1923</v>
      </c>
      <c r="G1224" s="4">
        <v>50.3</v>
      </c>
      <c r="H1224" s="3" t="s">
        <v>1924</v>
      </c>
      <c r="I1224" s="3" t="s">
        <v>1925</v>
      </c>
      <c r="J1224" s="4">
        <v>3</v>
      </c>
      <c r="K1224" s="4">
        <v>875.79960000000005</v>
      </c>
      <c r="L1224" s="4"/>
      <c r="M1224" s="4" t="str">
        <f>HYPERLINK("http://ms.phosphosite.org:5080/cgi-bin/plot-msms.cgi?MassType=1&amp;NumAxis=1&amp;Mod26=170&amp;Pep=GGLRPGSLDAEIDLLSSTLAELNGGR&amp;Dta=/var/www/html/dta/yong/23613.22870.3.dta&amp;Global_Mod=CS57.0215", "22870")</f>
        <v>22870</v>
      </c>
      <c r="N1224" s="5"/>
      <c r="O1224" s="5">
        <v>97.16</v>
      </c>
      <c r="P1224" s="5"/>
      <c r="Q1224" s="5">
        <v>4.1849999999999996</v>
      </c>
      <c r="R1224" s="5"/>
      <c r="S1224" s="5">
        <v>1.5173000000000001</v>
      </c>
      <c r="T1224" s="5"/>
      <c r="U1224" s="5">
        <v>0.19980000000000001</v>
      </c>
      <c r="V1224" s="4"/>
      <c r="W1224" s="4">
        <v>1</v>
      </c>
      <c r="X1224" s="5"/>
      <c r="Y1224" s="5">
        <v>1.81</v>
      </c>
      <c r="Z1224" s="6"/>
      <c r="AA1224" s="6">
        <v>1000</v>
      </c>
      <c r="AB1224" s="4" t="s">
        <v>13</v>
      </c>
    </row>
    <row r="1225" spans="1:28">
      <c r="A1225" s="3" t="s">
        <v>21</v>
      </c>
      <c r="B1225" s="24" t="s">
        <v>1920</v>
      </c>
      <c r="C1225" t="s">
        <v>1921</v>
      </c>
      <c r="D1225" s="4">
        <v>111</v>
      </c>
      <c r="E1225" s="3" t="s">
        <v>1922</v>
      </c>
      <c r="F1225" s="3" t="s">
        <v>1923</v>
      </c>
      <c r="G1225" s="4">
        <v>50.3</v>
      </c>
      <c r="H1225" s="3" t="s">
        <v>1926</v>
      </c>
      <c r="I1225" s="3" t="s">
        <v>1927</v>
      </c>
      <c r="J1225" s="4">
        <v>4</v>
      </c>
      <c r="K1225" s="4">
        <v>705.62159999999994</v>
      </c>
      <c r="L1225" s="4" t="str">
        <f>HYPERLINK("http://ms.phosphosite.org:5080/cgi-bin/plot-msms.cgi?MassType=1&amp;NumAxis=1&amp;Mod26=170&amp;Pep=GGLRPGSLDAEIDLLSSTLAELNGGRGH&amp;Dta=/var/www/html/dta/yong/23612.21650.4.dta&amp;Global_Mod=CS57.0215", "21650")</f>
        <v>21650</v>
      </c>
      <c r="M1225" s="4" t="str">
        <f>HYPERLINK("http://ms.phosphosite.org:5080/cgi-bin/plot-msms.cgi?MassType=1&amp;NumAxis=1&amp;Mod26=170&amp;Pep=GGLRPGSLDAEIDLLSSTLAELNGGRGH&amp;Dta=/var/www/html/dta/yong/23613.21739.4.dta&amp;Global_Mod=CS57.0215", "21739")</f>
        <v>21739</v>
      </c>
      <c r="N1225" s="5">
        <v>91.41</v>
      </c>
      <c r="O1225" s="5">
        <v>91.39</v>
      </c>
      <c r="P1225" s="5">
        <v>4.548</v>
      </c>
      <c r="Q1225" s="5">
        <v>3.8719999999999999</v>
      </c>
      <c r="R1225" s="5">
        <v>0.69820000000000004</v>
      </c>
      <c r="S1225" s="5">
        <v>1.1775</v>
      </c>
      <c r="T1225" s="5">
        <v>0.33829999999999999</v>
      </c>
      <c r="U1225" s="5">
        <v>0.32240000000000002</v>
      </c>
      <c r="V1225" s="4">
        <v>1</v>
      </c>
      <c r="W1225" s="4">
        <v>1</v>
      </c>
      <c r="X1225" s="5">
        <v>2.44</v>
      </c>
      <c r="Y1225" s="5">
        <v>2.2000000000000002</v>
      </c>
      <c r="Z1225" s="6">
        <v>145</v>
      </c>
      <c r="AA1225" s="6">
        <v>145</v>
      </c>
      <c r="AB1225" s="4" t="s">
        <v>13</v>
      </c>
    </row>
    <row r="1226" spans="1:28">
      <c r="A1226" s="3" t="s">
        <v>21</v>
      </c>
      <c r="B1226" s="24" t="s">
        <v>1920</v>
      </c>
      <c r="C1226" t="s">
        <v>1921</v>
      </c>
      <c r="D1226" s="4">
        <v>111</v>
      </c>
      <c r="E1226" s="3" t="s">
        <v>1922</v>
      </c>
      <c r="F1226" s="3" t="s">
        <v>1923</v>
      </c>
      <c r="G1226" s="4">
        <v>50.3</v>
      </c>
      <c r="H1226" s="3" t="s">
        <v>1926</v>
      </c>
      <c r="I1226" s="3" t="s">
        <v>1928</v>
      </c>
      <c r="J1226" s="4">
        <v>4</v>
      </c>
      <c r="K1226" s="4">
        <v>784.16420000000005</v>
      </c>
      <c r="L1226" s="4" t="str">
        <f>HYPERLINK("http://ms.phosphosite.org:5080/cgi-bin/plot-msms.cgi?MassType=1&amp;NumAxis=1&amp;Mod26=170&amp;Pep=GGLRPGSLDAEIDLLSSTLAELNGGRGHASR&amp;Dta=/var/www/html/dta/yong/23612.20399.4.dta&amp;Global_Mod=CS57.0215", "20399")</f>
        <v>20399</v>
      </c>
      <c r="M1226" s="4" t="str">
        <f>HYPERLINK("http://ms.phosphosite.org:5080/cgi-bin/plot-msms.cgi?MassType=1&amp;NumAxis=1&amp;Mod26=170&amp;Pep=GGLRPGSLDAEIDLLSSTLAELNGGRGHASR&amp;Dta=/var/www/html/dta/yong/23613.20517.4.dta&amp;Global_Mod=CS57.0215", "20517")</f>
        <v>20517</v>
      </c>
      <c r="N1226" s="5">
        <v>85.33</v>
      </c>
      <c r="O1226" s="5">
        <v>85.43</v>
      </c>
      <c r="P1226" s="5">
        <v>4.08</v>
      </c>
      <c r="Q1226" s="5">
        <v>4.5830000000000002</v>
      </c>
      <c r="R1226" s="5">
        <v>1.2484</v>
      </c>
      <c r="S1226" s="5">
        <v>1.3269</v>
      </c>
      <c r="T1226" s="5">
        <v>0.23880000000000001</v>
      </c>
      <c r="U1226" s="5">
        <v>0.2271</v>
      </c>
      <c r="V1226" s="4">
        <v>1</v>
      </c>
      <c r="W1226" s="4">
        <v>1</v>
      </c>
      <c r="X1226" s="5">
        <v>1.8</v>
      </c>
      <c r="Y1226" s="5">
        <v>1.83</v>
      </c>
      <c r="Z1226" s="6">
        <v>92</v>
      </c>
      <c r="AA1226" s="6">
        <v>114</v>
      </c>
      <c r="AB1226" s="4" t="s">
        <v>13</v>
      </c>
    </row>
    <row r="1227" spans="1:28">
      <c r="A1227" s="3" t="s">
        <v>21</v>
      </c>
      <c r="B1227" s="24" t="s">
        <v>1920</v>
      </c>
      <c r="C1227" t="s">
        <v>1921</v>
      </c>
      <c r="D1227" s="4">
        <v>111</v>
      </c>
      <c r="E1227" s="3" t="s">
        <v>1922</v>
      </c>
      <c r="F1227" s="3" t="s">
        <v>1923</v>
      </c>
      <c r="G1227" s="4">
        <v>50.3</v>
      </c>
      <c r="H1227" s="3" t="s">
        <v>1926</v>
      </c>
      <c r="I1227" s="3" t="s">
        <v>1928</v>
      </c>
      <c r="J1227" s="4">
        <v>5</v>
      </c>
      <c r="K1227" s="4">
        <v>627.53279999999995</v>
      </c>
      <c r="L1227" s="4" t="str">
        <f>HYPERLINK("http://ms.phosphosite.org:5080/cgi-bin/plot-msms.cgi?MassType=1&amp;NumAxis=1&amp;Mod26=170&amp;Pep=GGLRPGSLDAEIDLLSSTLAELNGGRGHASR&amp;Dta=/var/www/html/dta/yong/23612.20417.5.dta&amp;Global_Mod=CS57.0215", "20417")</f>
        <v>20417</v>
      </c>
      <c r="M1227" s="4" t="str">
        <f>HYPERLINK("http://ms.phosphosite.org:5080/cgi-bin/plot-msms.cgi?MassType=1&amp;NumAxis=1&amp;Mod26=170&amp;Pep=GGLRPGSLDAEIDLLSSTLAELNGGRGHASR&amp;Dta=/var/www/html/dta/yong/23613.20518.5.dta&amp;Global_Mod=CS57.0215", "20518")</f>
        <v>20518</v>
      </c>
      <c r="N1227" s="5">
        <v>85.41</v>
      </c>
      <c r="O1227" s="5">
        <v>85.44</v>
      </c>
      <c r="P1227" s="5">
        <v>5.1529999999999996</v>
      </c>
      <c r="Q1227" s="5">
        <v>4.2699999999999996</v>
      </c>
      <c r="R1227" s="5">
        <v>1.3472</v>
      </c>
      <c r="S1227" s="5">
        <v>1.0634999999999999</v>
      </c>
      <c r="T1227" s="5">
        <v>0.27450000000000002</v>
      </c>
      <c r="U1227" s="5">
        <v>0.15340000000000001</v>
      </c>
      <c r="V1227" s="4">
        <v>1</v>
      </c>
      <c r="W1227" s="4">
        <v>1</v>
      </c>
      <c r="X1227" s="5">
        <v>2.2400000000000002</v>
      </c>
      <c r="Y1227" s="5">
        <v>1.46</v>
      </c>
      <c r="Z1227" s="6">
        <v>97</v>
      </c>
      <c r="AA1227" s="6">
        <v>67</v>
      </c>
      <c r="AB1227" s="4" t="s">
        <v>13</v>
      </c>
    </row>
    <row r="1228" spans="1:28">
      <c r="A1228" s="3" t="s">
        <v>21</v>
      </c>
      <c r="B1228" s="24" t="s">
        <v>1920</v>
      </c>
      <c r="C1228" t="s">
        <v>1921</v>
      </c>
      <c r="D1228" s="4" t="s">
        <v>1929</v>
      </c>
      <c r="E1228" s="3" t="s">
        <v>1922</v>
      </c>
      <c r="F1228" s="3" t="s">
        <v>1923</v>
      </c>
      <c r="G1228" s="4">
        <v>50.3</v>
      </c>
      <c r="H1228" s="3" t="s">
        <v>1930</v>
      </c>
      <c r="I1228" s="3" t="s">
        <v>1931</v>
      </c>
      <c r="J1228" s="4">
        <v>4</v>
      </c>
      <c r="K1228" s="4">
        <v>757.89679999999998</v>
      </c>
      <c r="L1228" s="4"/>
      <c r="M1228" s="4" t="str">
        <f>HYPERLINK("http://ms.phosphosite.org:5080/cgi-bin/plot-msms.cgi?MassType=1&amp;NumAxis=1&amp;Mod1=170&amp;Mod20=170&amp;Pep=RGASQASGPLPGPHFPLPGRGEVWGPGYR&amp;Dta=/var/www/html/dta/yong/23613.13446.4.dta&amp;Global_Mod=CS57.0215", "13446")</f>
        <v>13446</v>
      </c>
      <c r="N1228" s="5"/>
      <c r="O1228" s="5">
        <v>55.55</v>
      </c>
      <c r="P1228" s="5"/>
      <c r="Q1228" s="5">
        <v>3.1419999999999999</v>
      </c>
      <c r="R1228" s="5"/>
      <c r="S1228" s="5">
        <v>2.2925</v>
      </c>
      <c r="T1228" s="5"/>
      <c r="U1228" s="5">
        <v>0.14580000000000001</v>
      </c>
      <c r="V1228" s="4"/>
      <c r="W1228" s="4">
        <v>32</v>
      </c>
      <c r="X1228" s="5"/>
      <c r="Y1228" s="5">
        <v>0.9</v>
      </c>
      <c r="Z1228" s="6"/>
      <c r="AA1228" s="6" t="s">
        <v>1306</v>
      </c>
      <c r="AB1228" s="4" t="s">
        <v>13</v>
      </c>
    </row>
    <row r="1229" spans="1:28">
      <c r="A1229" s="3" t="s">
        <v>21</v>
      </c>
      <c r="B1229" s="24" t="s">
        <v>1920</v>
      </c>
      <c r="C1229" t="s">
        <v>1921</v>
      </c>
      <c r="D1229" s="4">
        <v>236</v>
      </c>
      <c r="E1229" s="3" t="s">
        <v>1922</v>
      </c>
      <c r="F1229" s="3" t="s">
        <v>1923</v>
      </c>
      <c r="G1229" s="4">
        <v>50.3</v>
      </c>
      <c r="H1229" s="3" t="s">
        <v>1932</v>
      </c>
      <c r="I1229" s="3" t="s">
        <v>1933</v>
      </c>
      <c r="J1229" s="4">
        <v>2</v>
      </c>
      <c r="K1229" s="4">
        <v>557.77800000000002</v>
      </c>
      <c r="L1229" s="4" t="str">
        <f>HYPERLINK("http://ms.phosphosite.org:5080/cgi-bin/plot-msms.cgi?MassType=1&amp;NumAxis=1&amp;Mod12=170&amp;Pep=EEAAGVSGPAGR&amp;Dta=/var/www/html/dta/yong/23612.3303.2.dta&amp;Global_Mod=CS57.0215", "3303")</f>
        <v>3303</v>
      </c>
      <c r="M1229" s="4" t="str">
        <f>HYPERLINK("http://ms.phosphosite.org:5080/cgi-bin/plot-msms.cgi?MassType=1&amp;NumAxis=1&amp;Mod12=170&amp;Pep=EEAAGVSGPAGR&amp;Dta=/var/www/html/dta/yong/23613.3333.2.dta&amp;Global_Mod=CS57.0215", "3333")</f>
        <v>3333</v>
      </c>
      <c r="N1229" s="5">
        <v>19.3</v>
      </c>
      <c r="O1229" s="5">
        <v>19.25</v>
      </c>
      <c r="P1229" s="5">
        <v>3.028</v>
      </c>
      <c r="Q1229" s="5">
        <v>2.5339999999999998</v>
      </c>
      <c r="R1229" s="5">
        <v>0.35799999999999998</v>
      </c>
      <c r="S1229" s="5">
        <v>0.73629999999999995</v>
      </c>
      <c r="T1229" s="5">
        <v>0.35060000000000002</v>
      </c>
      <c r="U1229" s="5">
        <v>0.26879999999999998</v>
      </c>
      <c r="V1229" s="4">
        <v>1</v>
      </c>
      <c r="W1229" s="4">
        <v>1</v>
      </c>
      <c r="X1229" s="5">
        <v>2.48</v>
      </c>
      <c r="Y1229" s="5">
        <v>1.98</v>
      </c>
      <c r="Z1229" s="6">
        <v>1000</v>
      </c>
      <c r="AA1229" s="6">
        <v>1000</v>
      </c>
      <c r="AB1229" s="4" t="s">
        <v>13</v>
      </c>
    </row>
    <row r="1230" spans="1:28">
      <c r="A1230" s="3" t="s">
        <v>21</v>
      </c>
      <c r="B1230" s="24" t="s">
        <v>1934</v>
      </c>
      <c r="C1230" t="s">
        <v>1935</v>
      </c>
      <c r="D1230" s="4">
        <v>169</v>
      </c>
      <c r="E1230" s="3" t="s">
        <v>1936</v>
      </c>
      <c r="F1230" s="3" t="s">
        <v>1937</v>
      </c>
      <c r="G1230" s="4">
        <v>20.9</v>
      </c>
      <c r="H1230" s="3" t="s">
        <v>1938</v>
      </c>
      <c r="I1230" s="3" t="s">
        <v>1939</v>
      </c>
      <c r="J1230" s="4">
        <v>3</v>
      </c>
      <c r="K1230" s="4">
        <v>551.92780000000005</v>
      </c>
      <c r="L1230" s="4" t="str">
        <f>HYPERLINK("http://ms.phosphosite.org:5080/cgi-bin/plot-msms.cgi?MassType=1&amp;NumAxis=1&amp;Mod2=147&amp;Mod3=170&amp;Pep=SMRGGYIGSTYFER&amp;Dta=/var/www/html/dta/yong/23612.9350.3.dta&amp;Global_Mod=CS57.0215", "9350")</f>
        <v>9350</v>
      </c>
      <c r="M1230" s="4" t="str">
        <f>HYPERLINK("http://ms.phosphosite.org:5080/cgi-bin/plot-msms.cgi?MassType=1&amp;NumAxis=1&amp;Mod2=147&amp;Mod3=170&amp;Pep=SMRGGYIGSTYFER&amp;Dta=/var/www/html/dta/yong/23613.9415.3.dta&amp;Global_Mod=CS57.0215", "9415")</f>
        <v>9415</v>
      </c>
      <c r="N1230" s="5">
        <v>41.73</v>
      </c>
      <c r="O1230" s="5">
        <v>41.83</v>
      </c>
      <c r="P1230" s="5">
        <v>3.1930000000000001</v>
      </c>
      <c r="Q1230" s="5">
        <v>3.101</v>
      </c>
      <c r="R1230" s="5">
        <v>0.45390000000000003</v>
      </c>
      <c r="S1230" s="5">
        <v>0.55759999999999998</v>
      </c>
      <c r="T1230" s="5">
        <v>0.21920000000000001</v>
      </c>
      <c r="U1230" s="5">
        <v>0.31009999999999999</v>
      </c>
      <c r="V1230" s="4">
        <v>4</v>
      </c>
      <c r="W1230" s="4">
        <v>1</v>
      </c>
      <c r="X1230" s="5">
        <v>1.55</v>
      </c>
      <c r="Y1230" s="5">
        <v>1.96</v>
      </c>
      <c r="Z1230" s="6">
        <v>1000</v>
      </c>
      <c r="AA1230" s="6">
        <v>1000</v>
      </c>
      <c r="AB1230" s="4" t="s">
        <v>13</v>
      </c>
    </row>
    <row r="1231" spans="1:28">
      <c r="A1231" s="3" t="s">
        <v>21</v>
      </c>
      <c r="B1231" s="24" t="s">
        <v>1934</v>
      </c>
      <c r="C1231" t="s">
        <v>1935</v>
      </c>
      <c r="D1231" s="4">
        <v>169</v>
      </c>
      <c r="E1231" s="3" t="s">
        <v>1936</v>
      </c>
      <c r="F1231" s="3" t="s">
        <v>1937</v>
      </c>
      <c r="G1231" s="4">
        <v>20.9</v>
      </c>
      <c r="H1231" s="3" t="s">
        <v>1938</v>
      </c>
      <c r="I1231" s="3" t="s">
        <v>1940</v>
      </c>
      <c r="J1231" s="4">
        <v>3</v>
      </c>
      <c r="K1231" s="4">
        <v>546.59619999999995</v>
      </c>
      <c r="L1231" s="4" t="str">
        <f>HYPERLINK("http://ms.phosphosite.org:5080/cgi-bin/plot-msms.cgi?MassType=1&amp;NumAxis=1&amp;Mod3=170&amp;Pep=SMRGGYIGSTYFER&amp;Dta=/var/www/html/dta/yong/23612.10311.3.dta&amp;Global_Mod=CS57.0215", "10311")</f>
        <v>10311</v>
      </c>
      <c r="M1231" s="4" t="str">
        <f>HYPERLINK("http://ms.phosphosite.org:5080/cgi-bin/plot-msms.cgi?MassType=1&amp;NumAxis=1&amp;Mod3=170&amp;Pep=SMRGGYIGSTYFER&amp;Dta=/var/www/html/dta/yong/23613.10377.3.dta&amp;Global_Mod=CS57.0215", "10377")</f>
        <v>10377</v>
      </c>
      <c r="N1231" s="5">
        <v>45.05</v>
      </c>
      <c r="O1231" s="5">
        <v>45.06</v>
      </c>
      <c r="P1231" s="5">
        <v>1.9510000000000001</v>
      </c>
      <c r="Q1231" s="5">
        <v>2.1509999999999998</v>
      </c>
      <c r="R1231" s="5">
        <v>8.0500000000000002E-2</v>
      </c>
      <c r="S1231" s="5">
        <v>0.51200000000000001</v>
      </c>
      <c r="T1231" s="5">
        <v>0.1457</v>
      </c>
      <c r="U1231" s="5">
        <v>0.19009999999999999</v>
      </c>
      <c r="V1231" s="4">
        <v>2</v>
      </c>
      <c r="W1231" s="4">
        <v>1</v>
      </c>
      <c r="X1231" s="5">
        <v>0.93</v>
      </c>
      <c r="Y1231" s="5">
        <v>1.18</v>
      </c>
      <c r="Z1231" s="6">
        <v>1000</v>
      </c>
      <c r="AA1231" s="6">
        <v>1000</v>
      </c>
      <c r="AB1231" s="4" t="s">
        <v>13</v>
      </c>
    </row>
    <row r="1232" spans="1:28">
      <c r="A1232" s="3" t="s">
        <v>21</v>
      </c>
      <c r="B1232" s="24" t="s">
        <v>1941</v>
      </c>
      <c r="C1232" t="s">
        <v>1942</v>
      </c>
      <c r="D1232" s="4">
        <v>364</v>
      </c>
      <c r="E1232" s="3" t="s">
        <v>1943</v>
      </c>
      <c r="F1232" s="3" t="s">
        <v>1944</v>
      </c>
      <c r="G1232" s="4">
        <v>52.9</v>
      </c>
      <c r="H1232" s="3" t="s">
        <v>1945</v>
      </c>
      <c r="I1232" s="3" t="s">
        <v>1946</v>
      </c>
      <c r="J1232" s="4">
        <v>3</v>
      </c>
      <c r="K1232" s="4">
        <v>624.00760000000002</v>
      </c>
      <c r="L1232" s="4" t="str">
        <f>HYPERLINK("http://ms.phosphosite.org:5080/cgi-bin/plot-msms.cgi?MassType=1&amp;NumAxis=1&amp;Mod7=170&amp;Pep=GPPPPGRGGPPPPPPPATGR&amp;Dta=/var/www/html/dta/yong/23612.4624.3.dta&amp;Global_Mod=CS57.0215", "4624")</f>
        <v>4624</v>
      </c>
      <c r="M1232" s="4" t="str">
        <f>HYPERLINK("http://ms.phosphosite.org:5080/cgi-bin/plot-msms.cgi?MassType=1&amp;NumAxis=1&amp;Mod7=170&amp;Pep=GPPPPGRGGPPPPPPPATGR&amp;Dta=/var/www/html/dta/yong/23613.4668.3.dta&amp;Global_Mod=CS57.0215", "4668")</f>
        <v>4668</v>
      </c>
      <c r="N1232" s="5">
        <v>24.41</v>
      </c>
      <c r="O1232" s="5">
        <v>24.35</v>
      </c>
      <c r="P1232" s="5">
        <v>3.11</v>
      </c>
      <c r="Q1232" s="5">
        <v>2.827</v>
      </c>
      <c r="R1232" s="5">
        <v>0.63500000000000001</v>
      </c>
      <c r="S1232" s="5">
        <v>0.4929</v>
      </c>
      <c r="T1232" s="5">
        <v>0.26600000000000001</v>
      </c>
      <c r="U1232" s="5">
        <v>0.24979999999999999</v>
      </c>
      <c r="V1232" s="4">
        <v>1</v>
      </c>
      <c r="W1232" s="4">
        <v>1</v>
      </c>
      <c r="X1232" s="5">
        <v>1.71</v>
      </c>
      <c r="Y1232" s="5">
        <v>1.54</v>
      </c>
      <c r="Z1232" s="6">
        <v>1000</v>
      </c>
      <c r="AA1232" s="6">
        <v>1000</v>
      </c>
      <c r="AB1232" s="4" t="s">
        <v>13</v>
      </c>
    </row>
    <row r="1233" spans="1:28">
      <c r="A1233" s="3" t="s">
        <v>21</v>
      </c>
      <c r="B1233" s="24" t="s">
        <v>1941</v>
      </c>
      <c r="C1233" t="s">
        <v>1942</v>
      </c>
      <c r="D1233" s="4">
        <v>364</v>
      </c>
      <c r="E1233" s="3" t="s">
        <v>1943</v>
      </c>
      <c r="F1233" s="3" t="s">
        <v>1944</v>
      </c>
      <c r="G1233" s="4">
        <v>52.9</v>
      </c>
      <c r="H1233" s="3" t="s">
        <v>1945</v>
      </c>
      <c r="I1233" s="3" t="s">
        <v>1946</v>
      </c>
      <c r="J1233" s="4">
        <v>3</v>
      </c>
      <c r="K1233" s="4">
        <v>624.00760000000002</v>
      </c>
      <c r="L1233" s="4" t="str">
        <f>HYPERLINK("http://ms.phosphosite.org:5080/cgi-bin/plot-msms.cgi?MassType=1&amp;NumAxis=1&amp;Mod7=170&amp;Pep=GPPPPGRGGPPPPPPPATGR&amp;Dta=/var/www/html/dta/yong/23612.4842.3.dta&amp;Global_Mod=CS57.0215", "4842")</f>
        <v>4842</v>
      </c>
      <c r="M1233" s="4" t="str">
        <f>HYPERLINK("http://ms.phosphosite.org:5080/cgi-bin/plot-msms.cgi?MassType=1&amp;NumAxis=1&amp;Mod7=170&amp;Pep=GPPPPGRGGPPPPPPPATGR&amp;Dta=/var/www/html/dta/yong/23613.4919.3.dta&amp;Global_Mod=CS57.0215", "4919")</f>
        <v>4919</v>
      </c>
      <c r="N1233" s="5">
        <v>25.22</v>
      </c>
      <c r="O1233" s="5">
        <v>25.29</v>
      </c>
      <c r="P1233" s="5">
        <v>3.6920000000000002</v>
      </c>
      <c r="Q1233" s="5">
        <v>3.544</v>
      </c>
      <c r="R1233" s="5">
        <v>0.44990000000000002</v>
      </c>
      <c r="S1233" s="5">
        <v>0.46379999999999999</v>
      </c>
      <c r="T1233" s="5">
        <v>0.3291</v>
      </c>
      <c r="U1233" s="5">
        <v>0.30199999999999999</v>
      </c>
      <c r="V1233" s="4">
        <v>1</v>
      </c>
      <c r="W1233" s="4">
        <v>1</v>
      </c>
      <c r="X1233" s="5">
        <v>2.14</v>
      </c>
      <c r="Y1233" s="5">
        <v>1.94</v>
      </c>
      <c r="Z1233" s="6">
        <v>1000</v>
      </c>
      <c r="AA1233" s="6">
        <v>1000</v>
      </c>
      <c r="AB1233" s="4" t="s">
        <v>13</v>
      </c>
    </row>
    <row r="1234" spans="1:28">
      <c r="A1234" s="3" t="s">
        <v>21</v>
      </c>
      <c r="B1234" s="24" t="s">
        <v>1941</v>
      </c>
      <c r="C1234" t="s">
        <v>1942</v>
      </c>
      <c r="D1234" s="4">
        <v>364</v>
      </c>
      <c r="E1234" s="3" t="s">
        <v>1943</v>
      </c>
      <c r="F1234" s="3" t="s">
        <v>1944</v>
      </c>
      <c r="G1234" s="4">
        <v>52.9</v>
      </c>
      <c r="H1234" s="3" t="s">
        <v>1945</v>
      </c>
      <c r="I1234" s="3" t="s">
        <v>1946</v>
      </c>
      <c r="J1234" s="4">
        <v>3</v>
      </c>
      <c r="K1234" s="4">
        <v>624.00760000000002</v>
      </c>
      <c r="L1234" s="4" t="str">
        <f>HYPERLINK("http://ms.phosphosite.org:5080/cgi-bin/plot-msms.cgi?MassType=1&amp;NumAxis=1&amp;Mod7=170&amp;Pep=GPPPPGRGGPPPPPPPATGR&amp;Dta=/var/www/html/dta/yong/23612.4855.3.dta&amp;Global_Mod=CS57.0215", "4855")</f>
        <v>4855</v>
      </c>
      <c r="M1234" s="4" t="str">
        <f>HYPERLINK("http://ms.phosphosite.org:5080/cgi-bin/plot-msms.cgi?MassType=1&amp;NumAxis=1&amp;Mod7=170&amp;Pep=GPPPPGRGGPPPPPPPATGR&amp;Dta=/var/www/html/dta/yong/23613.4851.3.dta&amp;Global_Mod=CS57.0215", "4851")</f>
        <v>4851</v>
      </c>
      <c r="N1234" s="5">
        <v>25.26</v>
      </c>
      <c r="O1234" s="5">
        <v>25.07</v>
      </c>
      <c r="P1234" s="5">
        <v>2.8809999999999998</v>
      </c>
      <c r="Q1234" s="5">
        <v>3.278</v>
      </c>
      <c r="R1234" s="5">
        <v>0.50719999999999998</v>
      </c>
      <c r="S1234" s="5">
        <v>0.42859999999999998</v>
      </c>
      <c r="T1234" s="5">
        <v>0.30570000000000003</v>
      </c>
      <c r="U1234" s="5">
        <v>0.21329999999999999</v>
      </c>
      <c r="V1234" s="4">
        <v>1</v>
      </c>
      <c r="W1234" s="4">
        <v>1</v>
      </c>
      <c r="X1234" s="5">
        <v>1.86</v>
      </c>
      <c r="Y1234" s="5">
        <v>1.45</v>
      </c>
      <c r="Z1234" s="6">
        <v>1000</v>
      </c>
      <c r="AA1234" s="6">
        <v>1000</v>
      </c>
      <c r="AB1234" s="4" t="s">
        <v>13</v>
      </c>
    </row>
    <row r="1235" spans="1:28">
      <c r="A1235" s="3" t="s">
        <v>21</v>
      </c>
      <c r="B1235" s="24" t="s">
        <v>1941</v>
      </c>
      <c r="C1235" t="s">
        <v>1942</v>
      </c>
      <c r="D1235" s="4">
        <v>364</v>
      </c>
      <c r="E1235" s="3" t="s">
        <v>1943</v>
      </c>
      <c r="F1235" s="3" t="s">
        <v>1944</v>
      </c>
      <c r="G1235" s="4">
        <v>52.9</v>
      </c>
      <c r="H1235" s="3" t="s">
        <v>1945</v>
      </c>
      <c r="I1235" s="3" t="s">
        <v>1946</v>
      </c>
      <c r="J1235" s="4">
        <v>3</v>
      </c>
      <c r="K1235" s="4">
        <v>624.00760000000002</v>
      </c>
      <c r="L1235" s="4" t="str">
        <f>HYPERLINK("http://ms.phosphosite.org:5080/cgi-bin/plot-msms.cgi?MassType=1&amp;NumAxis=1&amp;Mod7=170&amp;Pep=GPPPPGRGGPPPPPPPATGR&amp;Dta=/var/www/html/dta/yong/23612.5065.3.dta&amp;Global_Mod=CS57.0215", "5065")</f>
        <v>5065</v>
      </c>
      <c r="M1235" s="4" t="str">
        <f>HYPERLINK("http://ms.phosphosite.org:5080/cgi-bin/plot-msms.cgi?MassType=1&amp;NumAxis=1&amp;Mod7=170&amp;Pep=GPPPPGRGGPPPPPPPATGR&amp;Dta=/var/www/html/dta/yong/23613.5047.3.dta&amp;Global_Mod=CS57.0215", "5047")</f>
        <v>5047</v>
      </c>
      <c r="N1235" s="5">
        <v>26.05</v>
      </c>
      <c r="O1235" s="5">
        <v>25.78</v>
      </c>
      <c r="P1235" s="5">
        <v>2.661</v>
      </c>
      <c r="Q1235" s="5">
        <v>1.8939999999999999</v>
      </c>
      <c r="R1235" s="5">
        <v>0.74029999999999996</v>
      </c>
      <c r="S1235" s="5">
        <v>0.45019999999999999</v>
      </c>
      <c r="T1235" s="5">
        <v>0.30730000000000002</v>
      </c>
      <c r="U1235" s="5">
        <v>0.1371</v>
      </c>
      <c r="V1235" s="4">
        <v>5</v>
      </c>
      <c r="W1235" s="4">
        <v>2</v>
      </c>
      <c r="X1235" s="5">
        <v>1.81</v>
      </c>
      <c r="Y1235" s="5">
        <v>0.79</v>
      </c>
      <c r="Z1235" s="6">
        <v>1000</v>
      </c>
      <c r="AA1235" s="6">
        <v>1000</v>
      </c>
      <c r="AB1235" s="4" t="s">
        <v>13</v>
      </c>
    </row>
    <row r="1236" spans="1:28">
      <c r="A1236" s="3" t="s">
        <v>21</v>
      </c>
      <c r="B1236" s="24" t="s">
        <v>64</v>
      </c>
      <c r="C1236" t="s">
        <v>65</v>
      </c>
      <c r="D1236" s="4">
        <v>1035</v>
      </c>
      <c r="E1236" s="3" t="s">
        <v>66</v>
      </c>
      <c r="F1236" s="3" t="s">
        <v>1947</v>
      </c>
      <c r="G1236" s="4">
        <v>145.80000000000001</v>
      </c>
      <c r="H1236" s="3" t="s">
        <v>1948</v>
      </c>
      <c r="I1236" s="3" t="s">
        <v>1949</v>
      </c>
      <c r="J1236" s="4">
        <v>2</v>
      </c>
      <c r="K1236" s="4">
        <v>793.89409999999998</v>
      </c>
      <c r="L1236" s="4" t="str">
        <f>HYPERLINK("http://ms.phosphosite.org:5080/cgi-bin/plot-msms.cgi?MassType=1&amp;NumAxis=1&amp;Mod5=170&amp;Pep=EFEGRGGPLPQEEK&amp;Dta=/var/www/html/dta/yong/23612.6111.2.dta&amp;Global_Mod=CS57.0215", "6111")</f>
        <v>6111</v>
      </c>
      <c r="M1236" s="4" t="str">
        <f>HYPERLINK("http://ms.phosphosite.org:5080/cgi-bin/plot-msms.cgi?MassType=1&amp;NumAxis=1&amp;Mod5=170&amp;Pep=EFEGRGGPLPQEEK&amp;Dta=/var/www/html/dta/yong/23613.6143.2.dta&amp;Global_Mod=CS57.0215", "6143")</f>
        <v>6143</v>
      </c>
      <c r="N1236" s="5">
        <v>30</v>
      </c>
      <c r="O1236" s="5">
        <v>29.93</v>
      </c>
      <c r="P1236" s="5">
        <v>3.3090000000000002</v>
      </c>
      <c r="Q1236" s="5">
        <v>2.9849999999999999</v>
      </c>
      <c r="R1236" s="5">
        <v>0.5615</v>
      </c>
      <c r="S1236" s="5">
        <v>1.4426000000000001</v>
      </c>
      <c r="T1236" s="5">
        <v>0.13830000000000001</v>
      </c>
      <c r="U1236" s="5">
        <v>8.6300000000000002E-2</v>
      </c>
      <c r="V1236" s="4">
        <v>1</v>
      </c>
      <c r="W1236" s="4">
        <v>1</v>
      </c>
      <c r="X1236" s="5">
        <v>1.1499999999999999</v>
      </c>
      <c r="Y1236" s="5">
        <v>0.77</v>
      </c>
      <c r="Z1236" s="6">
        <v>1000</v>
      </c>
      <c r="AA1236" s="6">
        <v>1000</v>
      </c>
      <c r="AB1236" s="4" t="s">
        <v>13</v>
      </c>
    </row>
    <row r="1237" spans="1:28">
      <c r="A1237" s="3" t="s">
        <v>21</v>
      </c>
      <c r="B1237" s="24" t="s">
        <v>64</v>
      </c>
      <c r="C1237" t="s">
        <v>65</v>
      </c>
      <c r="D1237" s="4">
        <v>1262</v>
      </c>
      <c r="E1237" s="3" t="s">
        <v>66</v>
      </c>
      <c r="F1237" s="3" t="s">
        <v>1947</v>
      </c>
      <c r="G1237" s="4">
        <v>145.80000000000001</v>
      </c>
      <c r="H1237" s="3" t="s">
        <v>1950</v>
      </c>
      <c r="I1237" s="3" t="s">
        <v>1951</v>
      </c>
      <c r="J1237" s="4">
        <v>3</v>
      </c>
      <c r="K1237" s="4">
        <v>322.8458</v>
      </c>
      <c r="L1237" s="4" t="str">
        <f>HYPERLINK("http://ms.phosphosite.org:5080/cgi-bin/plot-msms.cgi?MassType=1&amp;NumAxis=1&amp;Mod2=170&amp;Pep=GRGGPGPAQR&amp;Dta=/var/www/html/dta/yong/23612.987.3.dta&amp;Global_Mod=CS57.0215", "987")</f>
        <v>987</v>
      </c>
      <c r="M1237" s="4" t="str">
        <f>HYPERLINK("http://ms.phosphosite.org:5080/cgi-bin/plot-msms.cgi?MassType=1&amp;NumAxis=1&amp;Mod2=170&amp;Pep=GRGGPGPAQR&amp;Dta=/var/www/html/dta/yong/23613.1000.3.dta&amp;Global_Mod=CS57.0215", "1000")</f>
        <v>1000</v>
      </c>
      <c r="N1237" s="5">
        <v>10.54</v>
      </c>
      <c r="O1237" s="5">
        <v>10.42</v>
      </c>
      <c r="P1237" s="5">
        <v>2.855</v>
      </c>
      <c r="Q1237" s="5">
        <v>2.609</v>
      </c>
      <c r="R1237" s="5">
        <v>0.45140000000000002</v>
      </c>
      <c r="S1237" s="5">
        <v>0.46810000000000002</v>
      </c>
      <c r="T1237" s="5">
        <v>0.13789999999999999</v>
      </c>
      <c r="U1237" s="5">
        <v>0.14019999999999999</v>
      </c>
      <c r="V1237" s="4">
        <v>1</v>
      </c>
      <c r="W1237" s="4">
        <v>1</v>
      </c>
      <c r="X1237" s="5">
        <v>1.17</v>
      </c>
      <c r="Y1237" s="5">
        <v>1.1000000000000001</v>
      </c>
      <c r="Z1237" s="6">
        <v>1000</v>
      </c>
      <c r="AA1237" s="6">
        <v>1000</v>
      </c>
      <c r="AB1237" s="4" t="s">
        <v>13</v>
      </c>
    </row>
    <row r="1238" spans="1:28">
      <c r="A1238" s="3" t="s">
        <v>77</v>
      </c>
      <c r="B1238" s="24" t="s">
        <v>1952</v>
      </c>
      <c r="C1238" s="26" t="s">
        <v>1952</v>
      </c>
      <c r="D1238" s="4">
        <v>46</v>
      </c>
      <c r="E1238" s="3" t="s">
        <v>1953</v>
      </c>
      <c r="F1238" s="3" t="s">
        <v>1954</v>
      </c>
      <c r="G1238" s="4">
        <v>97.4</v>
      </c>
      <c r="H1238" s="3" t="s">
        <v>1955</v>
      </c>
      <c r="I1238" s="3" t="s">
        <v>1956</v>
      </c>
      <c r="J1238" s="4">
        <v>2</v>
      </c>
      <c r="K1238" s="4">
        <v>616.34130000000005</v>
      </c>
      <c r="L1238" s="4" t="str">
        <f>HYPERLINK("http://ms.phosphosite.org:5080/cgi-bin/plot-msms.cgi?MassType=1&amp;NumAxis=1&amp;Mod7=170&amp;Pep=LAGSSGRGGQTVK&amp;Dta=/var/www/html/dta/yong/23612.1422.2.dta&amp;Global_Mod=CS57.0215", "1422")</f>
        <v>1422</v>
      </c>
      <c r="M1238" s="4" t="str">
        <f>HYPERLINK("http://ms.phosphosite.org:5080/cgi-bin/plot-msms.cgi?MassType=1&amp;NumAxis=1&amp;Mod7=170&amp;Pep=LAGSSGRGGQTVK&amp;Dta=/var/www/html/dta/yong/23613.1442.2.dta&amp;Global_Mod=CS57.0215", "1442")</f>
        <v>1442</v>
      </c>
      <c r="N1238" s="5">
        <v>12.19</v>
      </c>
      <c r="O1238" s="5">
        <v>12.12</v>
      </c>
      <c r="P1238" s="5">
        <v>3.3839999999999999</v>
      </c>
      <c r="Q1238" s="5">
        <v>3.6139999999999999</v>
      </c>
      <c r="R1238" s="5">
        <v>0.86709999999999998</v>
      </c>
      <c r="S1238" s="5">
        <v>0.76870000000000005</v>
      </c>
      <c r="T1238" s="5">
        <v>0.26350000000000001</v>
      </c>
      <c r="U1238" s="5">
        <v>0.33910000000000001</v>
      </c>
      <c r="V1238" s="4">
        <v>1</v>
      </c>
      <c r="W1238" s="4">
        <v>1</v>
      </c>
      <c r="X1238" s="5">
        <v>1.74</v>
      </c>
      <c r="Y1238" s="5">
        <v>2.17</v>
      </c>
      <c r="Z1238" s="6">
        <v>1000</v>
      </c>
      <c r="AA1238" s="6">
        <v>1000</v>
      </c>
      <c r="AB1238" s="4" t="s">
        <v>13</v>
      </c>
    </row>
    <row r="1239" spans="1:28">
      <c r="A1239" s="3" t="s">
        <v>77</v>
      </c>
      <c r="B1239" s="24" t="s">
        <v>1957</v>
      </c>
      <c r="C1239" s="26" t="s">
        <v>1957</v>
      </c>
      <c r="D1239" s="4">
        <v>524</v>
      </c>
      <c r="E1239" s="3" t="s">
        <v>1958</v>
      </c>
      <c r="F1239" s="3" t="s">
        <v>1959</v>
      </c>
      <c r="G1239" s="4">
        <v>239.2</v>
      </c>
      <c r="H1239" s="3" t="s">
        <v>1960</v>
      </c>
      <c r="I1239" s="3" t="s">
        <v>1961</v>
      </c>
      <c r="J1239" s="4">
        <v>3</v>
      </c>
      <c r="K1239" s="4">
        <v>772.70719999999994</v>
      </c>
      <c r="L1239" s="4" t="str">
        <f>HYPERLINK("http://ms.phosphosite.org:5080/cgi-bin/plot-msms.cgi?MassType=1&amp;NumAxis=1&amp;Mod12=147&amp;Mod21=170&amp;Pep=DQSVIKGTQASMVCGVTHDPR&amp;Dta=/var/www/html/dta/yong/23612.18814.3.dta&amp;Global_Mod=CS57.0215", "18814")</f>
        <v>18814</v>
      </c>
      <c r="M1239" s="4"/>
      <c r="N1239" s="5">
        <v>77.86</v>
      </c>
      <c r="O1239" s="5"/>
      <c r="P1239" s="5">
        <v>2.4380000000000002</v>
      </c>
      <c r="Q1239" s="5"/>
      <c r="R1239" s="5">
        <v>-0.90149999999999997</v>
      </c>
      <c r="S1239" s="5"/>
      <c r="T1239" s="5">
        <v>0.1197</v>
      </c>
      <c r="U1239" s="5"/>
      <c r="V1239" s="4">
        <v>3</v>
      </c>
      <c r="W1239" s="4"/>
      <c r="X1239" s="5">
        <v>0.76</v>
      </c>
      <c r="Y1239" s="5"/>
      <c r="Z1239" s="6">
        <v>1000</v>
      </c>
      <c r="AA1239" s="6"/>
      <c r="AB1239" s="4" t="s">
        <v>13</v>
      </c>
    </row>
    <row r="1240" spans="1:28">
      <c r="A1240" s="3" t="s">
        <v>109</v>
      </c>
      <c r="B1240" s="24" t="s">
        <v>1962</v>
      </c>
      <c r="C1240" s="26" t="s">
        <v>1962</v>
      </c>
      <c r="D1240" s="4">
        <v>51</v>
      </c>
      <c r="E1240" s="3" t="s">
        <v>1963</v>
      </c>
      <c r="F1240" s="3" t="s">
        <v>1964</v>
      </c>
      <c r="G1240" s="4">
        <v>27.4</v>
      </c>
      <c r="H1240" s="3" t="s">
        <v>1965</v>
      </c>
      <c r="I1240" s="3" t="s">
        <v>1966</v>
      </c>
      <c r="J1240" s="4">
        <v>3</v>
      </c>
      <c r="K1240" s="4">
        <v>422.23379999999997</v>
      </c>
      <c r="L1240" s="4" t="str">
        <f>HYPERLINK("http://ms.phosphosite.org:5080/cgi-bin/plot-msms.cgi?MassType=1&amp;NumAxis=1&amp;Mod5=170&amp;Pep=AAHGRGALAEAAR&amp;Dta=/var/www/html/dta/yong/23612.2117.3.dta&amp;Global_Mod=CS57.0215", "2117")</f>
        <v>2117</v>
      </c>
      <c r="M1240" s="4" t="str">
        <f>HYPERLINK("http://ms.phosphosite.org:5080/cgi-bin/plot-msms.cgi?MassType=1&amp;NumAxis=1&amp;Mod5=170&amp;Pep=AAHGRGALAEAAR&amp;Dta=/var/www/html/dta/yong/23613.2149.3.dta&amp;Global_Mod=CS57.0215", "2149")</f>
        <v>2149</v>
      </c>
      <c r="N1240" s="5">
        <v>14.82</v>
      </c>
      <c r="O1240" s="5">
        <v>14.79</v>
      </c>
      <c r="P1240" s="5">
        <v>3.048</v>
      </c>
      <c r="Q1240" s="5">
        <v>3.2509999999999999</v>
      </c>
      <c r="R1240" s="5">
        <v>0.28970000000000001</v>
      </c>
      <c r="S1240" s="5">
        <v>0.2243</v>
      </c>
      <c r="T1240" s="5">
        <v>0.31430000000000002</v>
      </c>
      <c r="U1240" s="5">
        <v>0.379</v>
      </c>
      <c r="V1240" s="4">
        <v>1</v>
      </c>
      <c r="W1240" s="4">
        <v>1</v>
      </c>
      <c r="X1240" s="5">
        <v>1.98</v>
      </c>
      <c r="Y1240" s="5">
        <v>2.31</v>
      </c>
      <c r="Z1240" s="6">
        <v>1000</v>
      </c>
      <c r="AA1240" s="6">
        <v>1000</v>
      </c>
      <c r="AB1240" s="4" t="s">
        <v>13</v>
      </c>
    </row>
    <row r="1241" spans="1:28">
      <c r="A1241" s="3" t="s">
        <v>109</v>
      </c>
      <c r="B1241" s="24" t="s">
        <v>1967</v>
      </c>
      <c r="C1241" s="26" t="s">
        <v>1967</v>
      </c>
      <c r="D1241" s="4">
        <v>500</v>
      </c>
      <c r="E1241" s="3" t="s">
        <v>1968</v>
      </c>
      <c r="F1241" s="3" t="s">
        <v>1969</v>
      </c>
      <c r="G1241" s="4">
        <v>59</v>
      </c>
      <c r="H1241" s="3" t="s">
        <v>1970</v>
      </c>
      <c r="I1241" s="3" t="s">
        <v>1971</v>
      </c>
      <c r="J1241" s="4">
        <v>2</v>
      </c>
      <c r="K1241" s="4">
        <v>803.3682</v>
      </c>
      <c r="L1241" s="4" t="str">
        <f>HYPERLINK("http://ms.phosphosite.org:5080/cgi-bin/plot-msms.cgi?MassType=1&amp;NumAxis=1&amp;Mod13=170&amp;Pep=YSSNLGNFNYEQR&amp;Dta=/var/www/html/dta/yong/23612.10207.2.dta&amp;Global_Mod=CS57.0215", "10207")</f>
        <v>10207</v>
      </c>
      <c r="M1241" s="4" t="str">
        <f>HYPERLINK("http://ms.phosphosite.org:5080/cgi-bin/plot-msms.cgi?MassType=1&amp;NumAxis=1&amp;Mod13=170&amp;Pep=YSSNLGNFNYEQR&amp;Dta=/var/www/html/dta/yong/23613.10277.2.dta&amp;Global_Mod=CS57.0215", "10277")</f>
        <v>10277</v>
      </c>
      <c r="N1241" s="5">
        <v>44.69</v>
      </c>
      <c r="O1241" s="5">
        <v>44.71</v>
      </c>
      <c r="P1241" s="5">
        <v>4.0970000000000004</v>
      </c>
      <c r="Q1241" s="5">
        <v>4.1189999999999998</v>
      </c>
      <c r="R1241" s="5">
        <v>0.48089999999999999</v>
      </c>
      <c r="S1241" s="5">
        <v>0.41649999999999998</v>
      </c>
      <c r="T1241" s="5">
        <v>0.5363</v>
      </c>
      <c r="U1241" s="5">
        <v>0.57979999999999998</v>
      </c>
      <c r="V1241" s="4">
        <v>1</v>
      </c>
      <c r="W1241" s="4">
        <v>1</v>
      </c>
      <c r="X1241" s="5">
        <v>3.42</v>
      </c>
      <c r="Y1241" s="5">
        <v>3.63</v>
      </c>
      <c r="Z1241" s="6">
        <v>1000</v>
      </c>
      <c r="AA1241" s="6">
        <v>1000</v>
      </c>
      <c r="AB1241" s="4" t="s">
        <v>13</v>
      </c>
    </row>
    <row r="1242" spans="1:28">
      <c r="A1242" s="3" t="s">
        <v>109</v>
      </c>
      <c r="B1242" s="24" t="s">
        <v>1972</v>
      </c>
      <c r="C1242" s="26" t="s">
        <v>1972</v>
      </c>
      <c r="D1242" s="4">
        <v>53</v>
      </c>
      <c r="E1242" s="3" t="s">
        <v>1973</v>
      </c>
      <c r="F1242" s="3" t="s">
        <v>1974</v>
      </c>
      <c r="G1242" s="4">
        <v>49.6</v>
      </c>
      <c r="H1242" s="3" t="s">
        <v>1975</v>
      </c>
      <c r="I1242" s="3" t="s">
        <v>1976</v>
      </c>
      <c r="J1242" s="4">
        <v>3</v>
      </c>
      <c r="K1242" s="4">
        <v>1087.8377</v>
      </c>
      <c r="L1242" s="4" t="str">
        <f>HYPERLINK("http://ms.phosphosite.org:5080/cgi-bin/plot-msms.cgi?MassType=1&amp;NumAxis=1&amp;Mod2=170&amp;Pep=VRGGGPAETTWLGEGGGGDGYYPSGGAWPEPGR&amp;Dta=/var/www/html/dta/yong/23612.14634.3.dta&amp;Global_Mod=CS57.0215", "14634")</f>
        <v>14634</v>
      </c>
      <c r="M1242" s="4"/>
      <c r="N1242" s="5">
        <v>60.24</v>
      </c>
      <c r="O1242" s="5"/>
      <c r="P1242" s="5">
        <v>5.0410000000000004</v>
      </c>
      <c r="Q1242" s="5"/>
      <c r="R1242" s="5">
        <v>0.86229999999999996</v>
      </c>
      <c r="S1242" s="5"/>
      <c r="T1242" s="5">
        <v>0.38769999999999999</v>
      </c>
      <c r="U1242" s="5"/>
      <c r="V1242" s="4">
        <v>1</v>
      </c>
      <c r="W1242" s="4"/>
      <c r="X1242" s="5">
        <v>2.5</v>
      </c>
      <c r="Y1242" s="5"/>
      <c r="Z1242" s="6">
        <v>1000</v>
      </c>
      <c r="AA1242" s="6"/>
      <c r="AB1242" s="4" t="s">
        <v>13</v>
      </c>
    </row>
    <row r="1243" spans="1:28">
      <c r="A1243" s="3" t="s">
        <v>109</v>
      </c>
      <c r="B1243" s="24" t="s">
        <v>1972</v>
      </c>
      <c r="C1243" s="26" t="s">
        <v>1972</v>
      </c>
      <c r="D1243" s="4">
        <v>185</v>
      </c>
      <c r="E1243" s="3" t="s">
        <v>1973</v>
      </c>
      <c r="F1243" s="3" t="s">
        <v>1974</v>
      </c>
      <c r="G1243" s="4">
        <v>49.6</v>
      </c>
      <c r="H1243" s="3" t="s">
        <v>1977</v>
      </c>
      <c r="I1243" s="3" t="s">
        <v>1978</v>
      </c>
      <c r="J1243" s="4">
        <v>2</v>
      </c>
      <c r="K1243" s="4">
        <v>551.77800000000002</v>
      </c>
      <c r="L1243" s="4" t="str">
        <f>HYPERLINK("http://ms.phosphosite.org:5080/cgi-bin/plot-msms.cgi?MassType=1&amp;NumAxis=1&amp;Mod11=170&amp;Pep=SSGNSPTPVSR&amp;Dta=/var/www/html/dta/yong/23612.2437.2.dta&amp;Global_Mod=CS57.0215", "2437")</f>
        <v>2437</v>
      </c>
      <c r="M1243" s="4" t="str">
        <f>HYPERLINK("http://ms.phosphosite.org:5080/cgi-bin/plot-msms.cgi?MassType=1&amp;NumAxis=1&amp;Mod11=170&amp;Pep=SSGNSPTPVSR&amp;Dta=/var/www/html/dta/yong/23613.2453.2.dta&amp;Global_Mod=CS57.0215", "2453")</f>
        <v>2453</v>
      </c>
      <c r="N1243" s="5">
        <v>16.04</v>
      </c>
      <c r="O1243" s="5">
        <v>15.96</v>
      </c>
      <c r="P1243" s="5">
        <v>2.367</v>
      </c>
      <c r="Q1243" s="5">
        <v>2.6749999999999998</v>
      </c>
      <c r="R1243" s="5">
        <v>0.75229999999999997</v>
      </c>
      <c r="S1243" s="5">
        <v>0.55069999999999997</v>
      </c>
      <c r="T1243" s="5">
        <v>0.12939999999999999</v>
      </c>
      <c r="U1243" s="5">
        <v>0.30130000000000001</v>
      </c>
      <c r="V1243" s="4">
        <v>13</v>
      </c>
      <c r="W1243" s="4">
        <v>2</v>
      </c>
      <c r="X1243" s="5">
        <v>1.08</v>
      </c>
      <c r="Y1243" s="5">
        <v>1.98</v>
      </c>
      <c r="Z1243" s="6">
        <v>1000</v>
      </c>
      <c r="AA1243" s="6">
        <v>1000</v>
      </c>
      <c r="AB1243" s="4" t="s">
        <v>13</v>
      </c>
    </row>
    <row r="1244" spans="1:28">
      <c r="A1244" s="3" t="s">
        <v>109</v>
      </c>
      <c r="B1244" s="24" t="s">
        <v>1979</v>
      </c>
      <c r="C1244" t="s">
        <v>1980</v>
      </c>
      <c r="D1244" s="4">
        <v>180</v>
      </c>
      <c r="E1244" s="3" t="s">
        <v>1981</v>
      </c>
      <c r="F1244" s="3" t="s">
        <v>1982</v>
      </c>
      <c r="G1244" s="4">
        <v>89</v>
      </c>
      <c r="H1244" s="3" t="s">
        <v>1983</v>
      </c>
      <c r="I1244" s="3" t="s">
        <v>1984</v>
      </c>
      <c r="J1244" s="4">
        <v>2</v>
      </c>
      <c r="K1244" s="4">
        <v>737.37789999999995</v>
      </c>
      <c r="L1244" s="4" t="str">
        <f>HYPERLINK("http://ms.phosphosite.org:5080/cgi-bin/plot-msms.cgi?MassType=1&amp;NumAxis=1&amp;Mod13=170&amp;Pep=QQGPPTPFDFLGR&amp;Dta=/var/www/html/dta/yong/23612.17374.2.dta&amp;Global_Mod=CS57.0215", "17374")</f>
        <v>17374</v>
      </c>
      <c r="M1244" s="4"/>
      <c r="N1244" s="5">
        <v>71.39</v>
      </c>
      <c r="O1244" s="5"/>
      <c r="P1244" s="5">
        <v>2.3090000000000002</v>
      </c>
      <c r="Q1244" s="5"/>
      <c r="R1244" s="5">
        <v>0.86129999999999995</v>
      </c>
      <c r="S1244" s="5"/>
      <c r="T1244" s="5">
        <v>0.1424</v>
      </c>
      <c r="U1244" s="5"/>
      <c r="V1244" s="4">
        <v>1</v>
      </c>
      <c r="W1244" s="4"/>
      <c r="X1244" s="5">
        <v>1.1499999999999999</v>
      </c>
      <c r="Y1244" s="5"/>
      <c r="Z1244" s="6">
        <v>1000</v>
      </c>
      <c r="AA1244" s="6"/>
      <c r="AB1244" s="4" t="s">
        <v>13</v>
      </c>
    </row>
    <row r="1245" spans="1:28">
      <c r="A1245" s="3" t="s">
        <v>109</v>
      </c>
      <c r="B1245" s="24" t="s">
        <v>1979</v>
      </c>
      <c r="C1245" t="s">
        <v>1980</v>
      </c>
      <c r="D1245" s="4">
        <v>180</v>
      </c>
      <c r="E1245" s="3" t="s">
        <v>1981</v>
      </c>
      <c r="F1245" s="3" t="s">
        <v>1982</v>
      </c>
      <c r="G1245" s="4">
        <v>89</v>
      </c>
      <c r="H1245" s="3" t="s">
        <v>1983</v>
      </c>
      <c r="I1245" s="3" t="s">
        <v>1984</v>
      </c>
      <c r="J1245" s="4">
        <v>2</v>
      </c>
      <c r="K1245" s="4">
        <v>737.37789999999995</v>
      </c>
      <c r="L1245" s="4" t="str">
        <f>HYPERLINK("http://ms.phosphosite.org:5080/cgi-bin/plot-msms.cgi?MassType=1&amp;NumAxis=1&amp;Mod13=170&amp;Pep=QQGPPTPFDFLGR&amp;Dta=/var/www/html/dta/yong/23612.17400.2.dta&amp;Global_Mod=CS57.0215", "17400")</f>
        <v>17400</v>
      </c>
      <c r="M1245" s="4"/>
      <c r="N1245" s="5">
        <v>71.510000000000005</v>
      </c>
      <c r="O1245" s="5"/>
      <c r="P1245" s="5">
        <v>3.028</v>
      </c>
      <c r="Q1245" s="5"/>
      <c r="R1245" s="5">
        <v>0.86129999999999995</v>
      </c>
      <c r="S1245" s="5"/>
      <c r="T1245" s="5">
        <v>0.43080000000000002</v>
      </c>
      <c r="U1245" s="5"/>
      <c r="V1245" s="4">
        <v>1</v>
      </c>
      <c r="W1245" s="4"/>
      <c r="X1245" s="5">
        <v>2.71</v>
      </c>
      <c r="Y1245" s="5"/>
      <c r="Z1245" s="6">
        <v>1000</v>
      </c>
      <c r="AA1245" s="6"/>
      <c r="AB1245" s="4" t="s">
        <v>13</v>
      </c>
    </row>
    <row r="1246" spans="1:28">
      <c r="A1246" s="3" t="s">
        <v>109</v>
      </c>
      <c r="B1246" s="24" t="s">
        <v>1979</v>
      </c>
      <c r="C1246" t="s">
        <v>1980</v>
      </c>
      <c r="D1246" s="4">
        <v>205</v>
      </c>
      <c r="E1246" s="3" t="s">
        <v>1981</v>
      </c>
      <c r="F1246" s="3" t="s">
        <v>1982</v>
      </c>
      <c r="G1246" s="4">
        <v>89</v>
      </c>
      <c r="H1246" s="3" t="s">
        <v>1985</v>
      </c>
      <c r="I1246" s="3" t="s">
        <v>1986</v>
      </c>
      <c r="J1246" s="4">
        <v>3</v>
      </c>
      <c r="K1246" s="4">
        <v>1114.5686000000001</v>
      </c>
      <c r="L1246" s="4" t="str">
        <f>HYPERLINK("http://ms.phosphosite.org:5080/cgi-bin/plot-msms.cgi?MassType=1&amp;NumAxis=1&amp;Mod5=170&amp;Pep=GPSPRPPATAYDAPASAFGSSLLGSGGSAFAPPLR&amp;Dta=/var/www/html/dta/yong/23612.17493.3.dta&amp;Global_Mod=CS57.0215", "17493")</f>
        <v>17493</v>
      </c>
      <c r="M1246" s="4" t="str">
        <f>HYPERLINK("http://ms.phosphosite.org:5080/cgi-bin/plot-msms.cgi?MassType=1&amp;NumAxis=1&amp;Mod5=170&amp;Pep=GPSPRPPATAYDAPASAFGSSLLGSGGSAFAPPLR&amp;Dta=/var/www/html/dta/yong/23613.17593.3.dta&amp;Global_Mod=CS57.0215", "17593")</f>
        <v>17593</v>
      </c>
      <c r="N1246" s="5">
        <v>71.92</v>
      </c>
      <c r="O1246" s="5">
        <v>71.91</v>
      </c>
      <c r="P1246" s="5">
        <v>4.0960000000000001</v>
      </c>
      <c r="Q1246" s="5">
        <v>3.5910000000000002</v>
      </c>
      <c r="R1246" s="5">
        <v>0.72050000000000003</v>
      </c>
      <c r="S1246" s="5">
        <v>-0.94479999999999997</v>
      </c>
      <c r="T1246" s="5">
        <v>0.34300000000000003</v>
      </c>
      <c r="U1246" s="5">
        <v>0.26029999999999998</v>
      </c>
      <c r="V1246" s="4">
        <v>1</v>
      </c>
      <c r="W1246" s="4">
        <v>1</v>
      </c>
      <c r="X1246" s="5">
        <v>2.2999999999999998</v>
      </c>
      <c r="Y1246" s="5">
        <v>1.68</v>
      </c>
      <c r="Z1246" s="6">
        <v>1000</v>
      </c>
      <c r="AA1246" s="6">
        <v>1000</v>
      </c>
      <c r="AB1246" s="4" t="s">
        <v>13</v>
      </c>
    </row>
    <row r="1247" spans="1:28">
      <c r="A1247" s="3" t="s">
        <v>109</v>
      </c>
      <c r="B1247" s="24" t="s">
        <v>1979</v>
      </c>
      <c r="C1247" t="s">
        <v>1980</v>
      </c>
      <c r="D1247" s="4">
        <v>205</v>
      </c>
      <c r="E1247" s="3" t="s">
        <v>1981</v>
      </c>
      <c r="F1247" s="3" t="s">
        <v>1982</v>
      </c>
      <c r="G1247" s="4">
        <v>89</v>
      </c>
      <c r="H1247" s="3" t="s">
        <v>1985</v>
      </c>
      <c r="I1247" s="3" t="s">
        <v>1986</v>
      </c>
      <c r="J1247" s="4">
        <v>3</v>
      </c>
      <c r="K1247" s="4">
        <v>1114.5686000000001</v>
      </c>
      <c r="L1247" s="4"/>
      <c r="M1247" s="4" t="str">
        <f>HYPERLINK("http://ms.phosphosite.org:5080/cgi-bin/plot-msms.cgi?MassType=1&amp;NumAxis=1&amp;Mod5=170&amp;Pep=GPSPRPPATAYDAPASAFGSSLLGSGGSAFAPPLR&amp;Dta=/var/www/html/dta/yong/23613.17613.3.dta&amp;Global_Mod=CS57.0215", "17613")</f>
        <v>17613</v>
      </c>
      <c r="N1247" s="5"/>
      <c r="O1247" s="5">
        <v>72</v>
      </c>
      <c r="P1247" s="5"/>
      <c r="Q1247" s="5">
        <v>3.9249999999999998</v>
      </c>
      <c r="R1247" s="5"/>
      <c r="S1247" s="5">
        <v>0.74850000000000005</v>
      </c>
      <c r="T1247" s="5"/>
      <c r="U1247" s="5">
        <v>0.33329999999999999</v>
      </c>
      <c r="V1247" s="4"/>
      <c r="W1247" s="4">
        <v>1</v>
      </c>
      <c r="X1247" s="5"/>
      <c r="Y1247" s="5">
        <v>2.16</v>
      </c>
      <c r="Z1247" s="6"/>
      <c r="AA1247" s="6">
        <v>1000</v>
      </c>
      <c r="AB1247" s="4" t="s">
        <v>13</v>
      </c>
    </row>
    <row r="1248" spans="1:28">
      <c r="A1248" s="3" t="s">
        <v>1987</v>
      </c>
      <c r="B1248" s="24" t="s">
        <v>1988</v>
      </c>
      <c r="C1248" t="s">
        <v>1988</v>
      </c>
      <c r="D1248" s="4">
        <v>63</v>
      </c>
      <c r="E1248" s="3" t="s">
        <v>1989</v>
      </c>
      <c r="F1248" s="3" t="s">
        <v>1990</v>
      </c>
      <c r="G1248" s="4">
        <v>13.6</v>
      </c>
      <c r="H1248" s="3" t="s">
        <v>1991</v>
      </c>
      <c r="I1248" s="3" t="s">
        <v>1992</v>
      </c>
      <c r="J1248" s="4">
        <v>2</v>
      </c>
      <c r="K1248" s="4">
        <v>580.79570000000001</v>
      </c>
      <c r="L1248" s="4" t="str">
        <f>HYPERLINK("http://ms.phosphosite.org:5080/cgi-bin/plot-msms.cgi?MassType=1&amp;NumAxis=1&amp;Mod2=170&amp;Pep=ARVQEVCER&amp;Dta=/var/www/html/dta/yong/23612.1372.2.dta&amp;Global_Mod=CS57.0215", "1372")</f>
        <v>1372</v>
      </c>
      <c r="M1248" s="4"/>
      <c r="N1248" s="5">
        <v>12.01</v>
      </c>
      <c r="O1248" s="5"/>
      <c r="P1248" s="5">
        <v>1.899</v>
      </c>
      <c r="Q1248" s="5"/>
      <c r="R1248" s="5">
        <v>-1.623</v>
      </c>
      <c r="S1248" s="5"/>
      <c r="T1248" s="5">
        <v>0.1368</v>
      </c>
      <c r="U1248" s="5"/>
      <c r="V1248" s="4">
        <v>1</v>
      </c>
      <c r="W1248" s="4"/>
      <c r="X1248" s="5">
        <v>0.77</v>
      </c>
      <c r="Y1248" s="5"/>
      <c r="Z1248" s="6">
        <v>1000</v>
      </c>
      <c r="AA1248" s="6"/>
      <c r="AB1248" s="4" t="s">
        <v>13</v>
      </c>
    </row>
    <row r="1249" spans="1:28">
      <c r="A1249" s="3" t="s">
        <v>117</v>
      </c>
      <c r="B1249" s="24" t="s">
        <v>1993</v>
      </c>
      <c r="C1249" s="26" t="s">
        <v>1994</v>
      </c>
      <c r="D1249" s="4">
        <v>126</v>
      </c>
      <c r="E1249" s="3" t="s">
        <v>1995</v>
      </c>
      <c r="F1249" s="3" t="s">
        <v>1996</v>
      </c>
      <c r="G1249" s="4">
        <v>94.8</v>
      </c>
      <c r="H1249" s="3" t="s">
        <v>1997</v>
      </c>
      <c r="I1249" s="3" t="s">
        <v>1998</v>
      </c>
      <c r="J1249" s="4">
        <v>3</v>
      </c>
      <c r="K1249" s="4">
        <v>583.63109999999995</v>
      </c>
      <c r="L1249" s="4" t="str">
        <f>HYPERLINK("http://ms.phosphosite.org:5080/cgi-bin/plot-msms.cgi?MassType=1&amp;NumAxis=1&amp;Mod5=170&amp;Pep=TLAFRGGGGGGLGNNGSSR&amp;Dta=/var/www/html/dta/yong/23612.6541.3.dta&amp;Global_Mod=CS57.0215", "6541")</f>
        <v>6541</v>
      </c>
      <c r="M1249" s="4" t="str">
        <f>HYPERLINK("http://ms.phosphosite.org:5080/cgi-bin/plot-msms.cgi?MassType=1&amp;NumAxis=1&amp;Mod5=170&amp;Pep=TLAFRGGGGGGLGNNGSSR&amp;Dta=/var/www/html/dta/yong/23613.6585.3.dta&amp;Global_Mod=CS57.0215", "6585")</f>
        <v>6585</v>
      </c>
      <c r="N1249" s="5">
        <v>31.56</v>
      </c>
      <c r="O1249" s="5">
        <v>31.52</v>
      </c>
      <c r="P1249" s="5">
        <v>4.4470000000000001</v>
      </c>
      <c r="Q1249" s="5">
        <v>3.3839999999999999</v>
      </c>
      <c r="R1249" s="5">
        <v>0.10780000000000001</v>
      </c>
      <c r="S1249" s="5">
        <v>0.59919999999999995</v>
      </c>
      <c r="T1249" s="5">
        <v>0.32890000000000003</v>
      </c>
      <c r="U1249" s="5">
        <v>0.1633</v>
      </c>
      <c r="V1249" s="4">
        <v>1</v>
      </c>
      <c r="W1249" s="4">
        <v>1</v>
      </c>
      <c r="X1249" s="5">
        <v>2.2599999999999998</v>
      </c>
      <c r="Y1249" s="5">
        <v>1.21</v>
      </c>
      <c r="Z1249" s="6">
        <v>1000</v>
      </c>
      <c r="AA1249" s="6">
        <v>1000</v>
      </c>
      <c r="AB1249" s="4" t="s">
        <v>13</v>
      </c>
    </row>
    <row r="1250" spans="1:28">
      <c r="A1250" s="3" t="s">
        <v>117</v>
      </c>
      <c r="B1250" s="24" t="s">
        <v>1993</v>
      </c>
      <c r="C1250" s="26" t="s">
        <v>1994</v>
      </c>
      <c r="D1250" s="4">
        <v>126</v>
      </c>
      <c r="E1250" s="3" t="s">
        <v>1995</v>
      </c>
      <c r="F1250" s="3" t="s">
        <v>1996</v>
      </c>
      <c r="G1250" s="4">
        <v>94.8</v>
      </c>
      <c r="H1250" s="3" t="s">
        <v>1997</v>
      </c>
      <c r="I1250" s="3" t="s">
        <v>1998</v>
      </c>
      <c r="J1250" s="4">
        <v>3</v>
      </c>
      <c r="K1250" s="4">
        <v>583.63109999999995</v>
      </c>
      <c r="L1250" s="4" t="str">
        <f>HYPERLINK("http://ms.phosphosite.org:5080/cgi-bin/plot-msms.cgi?MassType=1&amp;NumAxis=1&amp;Mod5=170&amp;Pep=TLAFRGGGGGGLGNNGSSR&amp;Dta=/var/www/html/dta/yong/23612.6549.3.dta&amp;Global_Mod=CS57.0215", "6549")</f>
        <v>6549</v>
      </c>
      <c r="M1250" s="4"/>
      <c r="N1250" s="5">
        <v>31.59</v>
      </c>
      <c r="O1250" s="5"/>
      <c r="P1250" s="5">
        <v>4.1429999999999998</v>
      </c>
      <c r="Q1250" s="5"/>
      <c r="R1250" s="5">
        <v>0.10780000000000001</v>
      </c>
      <c r="S1250" s="5"/>
      <c r="T1250" s="5">
        <v>0.3463</v>
      </c>
      <c r="U1250" s="5"/>
      <c r="V1250" s="4">
        <v>1</v>
      </c>
      <c r="W1250" s="4"/>
      <c r="X1250" s="5">
        <v>2.2799999999999998</v>
      </c>
      <c r="Y1250" s="5"/>
      <c r="Z1250" s="6">
        <v>1000</v>
      </c>
      <c r="AA1250" s="6"/>
      <c r="AB1250" s="4" t="s">
        <v>13</v>
      </c>
    </row>
    <row r="1251" spans="1:28">
      <c r="A1251" s="3" t="s">
        <v>117</v>
      </c>
      <c r="B1251" s="24" t="s">
        <v>118</v>
      </c>
      <c r="C1251" t="s">
        <v>119</v>
      </c>
      <c r="D1251" s="4">
        <v>580</v>
      </c>
      <c r="E1251" s="3" t="s">
        <v>120</v>
      </c>
      <c r="F1251" s="3" t="s">
        <v>1999</v>
      </c>
      <c r="G1251" s="4">
        <v>58.2</v>
      </c>
      <c r="H1251" s="3" t="s">
        <v>121</v>
      </c>
      <c r="I1251" s="3" t="s">
        <v>2000</v>
      </c>
      <c r="J1251" s="4">
        <v>3</v>
      </c>
      <c r="K1251" s="4">
        <v>1036.8644999999999</v>
      </c>
      <c r="L1251" s="4" t="str">
        <f>HYPERLINK("http://ms.phosphosite.org:5080/cgi-bin/plot-msms.cgi?MassType=1&amp;NumAxis=1&amp;Mod30=170&amp;Pep=SHLSTAGGLAVPSLPTAGPYYSPYALYGQR&amp;Dta=/var/www/html/dta/yong/23612.17098.3.dta&amp;Global_Mod=CS57.0215", "17098")</f>
        <v>17098</v>
      </c>
      <c r="M1251" s="4" t="str">
        <f>HYPERLINK("http://ms.phosphosite.org:5080/cgi-bin/plot-msms.cgi?MassType=1&amp;NumAxis=1&amp;Mod30=170&amp;Pep=SHLSTAGGLAVPSLPTAGPYYSPYALYGQR&amp;Dta=/var/www/html/dta/yong/23613.17193.3.dta&amp;Global_Mod=CS57.0215", "17193")</f>
        <v>17193</v>
      </c>
      <c r="N1251" s="5">
        <v>70.19</v>
      </c>
      <c r="O1251" s="5">
        <v>70.2</v>
      </c>
      <c r="P1251" s="5">
        <v>5.4119999999999999</v>
      </c>
      <c r="Q1251" s="5">
        <v>5.5830000000000002</v>
      </c>
      <c r="R1251" s="5">
        <v>1.5278</v>
      </c>
      <c r="S1251" s="5">
        <v>1.677</v>
      </c>
      <c r="T1251" s="5">
        <v>0.36649999999999999</v>
      </c>
      <c r="U1251" s="5">
        <v>0.4123</v>
      </c>
      <c r="V1251" s="4">
        <v>1</v>
      </c>
      <c r="W1251" s="4">
        <v>1</v>
      </c>
      <c r="X1251" s="5">
        <v>2.65</v>
      </c>
      <c r="Y1251" s="5">
        <v>2.88</v>
      </c>
      <c r="Z1251" s="6">
        <v>1000</v>
      </c>
      <c r="AA1251" s="6">
        <v>1000</v>
      </c>
      <c r="AB1251" s="4" t="s">
        <v>13</v>
      </c>
    </row>
    <row r="1252" spans="1:28">
      <c r="A1252" s="3" t="s">
        <v>117</v>
      </c>
      <c r="B1252" s="24" t="s">
        <v>118</v>
      </c>
      <c r="C1252" t="s">
        <v>119</v>
      </c>
      <c r="D1252" s="4">
        <v>580</v>
      </c>
      <c r="E1252" s="3" t="s">
        <v>120</v>
      </c>
      <c r="F1252" s="3" t="s">
        <v>1999</v>
      </c>
      <c r="G1252" s="4">
        <v>58.2</v>
      </c>
      <c r="H1252" s="3" t="s">
        <v>121</v>
      </c>
      <c r="I1252" s="3" t="s">
        <v>2000</v>
      </c>
      <c r="J1252" s="4">
        <v>3</v>
      </c>
      <c r="K1252" s="4">
        <v>1036.8644999999999</v>
      </c>
      <c r="L1252" s="4" t="str">
        <f>HYPERLINK("http://ms.phosphosite.org:5080/cgi-bin/plot-msms.cgi?MassType=1&amp;NumAxis=1&amp;Mod30=170&amp;Pep=SHLSTAGGLAVPSLPTAGPYYSPYALYGQR&amp;Dta=/var/www/html/dta/yong/23612.17111.3.dta&amp;Global_Mod=CS57.0215", "17111")</f>
        <v>17111</v>
      </c>
      <c r="M1252" s="4"/>
      <c r="N1252" s="5">
        <v>70.239999999999995</v>
      </c>
      <c r="O1252" s="5"/>
      <c r="P1252" s="5">
        <v>4.7460000000000004</v>
      </c>
      <c r="Q1252" s="5"/>
      <c r="R1252" s="5">
        <v>1.5278</v>
      </c>
      <c r="S1252" s="5"/>
      <c r="T1252" s="5">
        <v>0.33179999999999998</v>
      </c>
      <c r="U1252" s="5"/>
      <c r="V1252" s="4">
        <v>1</v>
      </c>
      <c r="W1252" s="4"/>
      <c r="X1252" s="5">
        <v>2.35</v>
      </c>
      <c r="Y1252" s="5"/>
      <c r="Z1252" s="6">
        <v>1000</v>
      </c>
      <c r="AA1252" s="6"/>
      <c r="AB1252" s="4" t="s">
        <v>13</v>
      </c>
    </row>
    <row r="1253" spans="1:28">
      <c r="A1253" s="3" t="s">
        <v>133</v>
      </c>
      <c r="B1253" s="24" t="s">
        <v>2001</v>
      </c>
      <c r="C1253" t="s">
        <v>2001</v>
      </c>
      <c r="D1253" s="4">
        <v>63</v>
      </c>
      <c r="E1253" s="3" t="s">
        <v>2002</v>
      </c>
      <c r="F1253" s="3" t="s">
        <v>2003</v>
      </c>
      <c r="G1253" s="4">
        <v>89.6</v>
      </c>
      <c r="H1253" s="3" t="s">
        <v>2004</v>
      </c>
      <c r="I1253" s="3" t="s">
        <v>2005</v>
      </c>
      <c r="J1253" s="4">
        <v>4</v>
      </c>
      <c r="K1253" s="4">
        <v>699.31420000000003</v>
      </c>
      <c r="L1253" s="4" t="str">
        <f>HYPERLINK("http://ms.phosphosite.org:5080/cgi-bin/plot-msms.cgi?MassType=1&amp;NumAxis=1&amp;Mod2=147&amp;Mod22=170&amp;Pep=YMELYTHVYNYCTSVHQSNQAR&amp;Dta=/var/www/html/dta/yong/23612.9279.4.dta&amp;Global_Mod=CS57.0215", "9279")</f>
        <v>9279</v>
      </c>
      <c r="M1253" s="4" t="str">
        <f>HYPERLINK("http://ms.phosphosite.org:5080/cgi-bin/plot-msms.cgi?MassType=1&amp;NumAxis=1&amp;Mod2=147&amp;Mod22=170&amp;Pep=YMELYTHVYNYCTSVHQSNQAR&amp;Dta=/var/www/html/dta/yong/23613.9320.4.dta&amp;Global_Mod=CS57.0215", "9320")</f>
        <v>9320</v>
      </c>
      <c r="N1253" s="5">
        <v>41.48</v>
      </c>
      <c r="O1253" s="5">
        <v>41.48</v>
      </c>
      <c r="P1253" s="5">
        <v>2.3610000000000002</v>
      </c>
      <c r="Q1253" s="5">
        <v>3.1840000000000002</v>
      </c>
      <c r="R1253" s="5">
        <v>1.5835999999999999</v>
      </c>
      <c r="S1253" s="5">
        <v>0.87009999999999998</v>
      </c>
      <c r="T1253" s="5">
        <v>0.1968</v>
      </c>
      <c r="U1253" s="5">
        <v>0.33400000000000002</v>
      </c>
      <c r="V1253" s="4">
        <v>1</v>
      </c>
      <c r="W1253" s="4">
        <v>1</v>
      </c>
      <c r="X1253" s="5">
        <v>1.37</v>
      </c>
      <c r="Y1253" s="5">
        <v>2.1800000000000002</v>
      </c>
      <c r="Z1253" s="6">
        <v>1000</v>
      </c>
      <c r="AA1253" s="6">
        <v>1000</v>
      </c>
      <c r="AB1253" s="4" t="s">
        <v>13</v>
      </c>
    </row>
    <row r="1254" spans="1:28">
      <c r="A1254" s="3" t="s">
        <v>133</v>
      </c>
      <c r="B1254" s="24" t="s">
        <v>2001</v>
      </c>
      <c r="C1254" t="s">
        <v>2001</v>
      </c>
      <c r="D1254" s="4">
        <v>63</v>
      </c>
      <c r="E1254" s="3" t="s">
        <v>2002</v>
      </c>
      <c r="F1254" s="3" t="s">
        <v>2003</v>
      </c>
      <c r="G1254" s="4">
        <v>89.6</v>
      </c>
      <c r="H1254" s="3" t="s">
        <v>2004</v>
      </c>
      <c r="I1254" s="3" t="s">
        <v>2005</v>
      </c>
      <c r="J1254" s="4">
        <v>4</v>
      </c>
      <c r="K1254" s="4">
        <v>699.31420000000003</v>
      </c>
      <c r="L1254" s="4" t="str">
        <f>HYPERLINK("http://ms.phosphosite.org:5080/cgi-bin/plot-msms.cgi?MassType=1&amp;NumAxis=1&amp;Mod2=147&amp;Mod22=170&amp;Pep=YMELYTHVYNYCTSVHQSNQAR&amp;Dta=/var/www/html/dta/yong/23612.9262.4.dta&amp;Global_Mod=CS57.0215", "9262")</f>
        <v>9262</v>
      </c>
      <c r="M1254" s="4"/>
      <c r="N1254" s="5">
        <v>41.42</v>
      </c>
      <c r="O1254" s="5"/>
      <c r="P1254" s="5">
        <v>2.714</v>
      </c>
      <c r="Q1254" s="5"/>
      <c r="R1254" s="5">
        <v>1.5835999999999999</v>
      </c>
      <c r="S1254" s="5"/>
      <c r="T1254" s="5">
        <v>0.2918</v>
      </c>
      <c r="U1254" s="5"/>
      <c r="V1254" s="4">
        <v>1</v>
      </c>
      <c r="W1254" s="4"/>
      <c r="X1254" s="5">
        <v>1.91</v>
      </c>
      <c r="Y1254" s="5"/>
      <c r="Z1254" s="6">
        <v>1000</v>
      </c>
      <c r="AA1254" s="6"/>
      <c r="AB1254" s="4" t="s">
        <v>13</v>
      </c>
    </row>
    <row r="1255" spans="1:28">
      <c r="A1255" s="3" t="s">
        <v>133</v>
      </c>
      <c r="B1255" s="24" t="s">
        <v>2006</v>
      </c>
      <c r="C1255" s="26" t="s">
        <v>2007</v>
      </c>
      <c r="D1255" s="4">
        <v>617</v>
      </c>
      <c r="E1255" s="3" t="s">
        <v>2008</v>
      </c>
      <c r="F1255" s="3" t="s">
        <v>2009</v>
      </c>
      <c r="G1255" s="4">
        <v>73.2</v>
      </c>
      <c r="H1255" s="3" t="s">
        <v>2010</v>
      </c>
      <c r="I1255" s="3" t="s">
        <v>2011</v>
      </c>
      <c r="J1255" s="4">
        <v>2</v>
      </c>
      <c r="K1255" s="4">
        <v>688.30790000000002</v>
      </c>
      <c r="L1255" s="4" t="str">
        <f>HYPERLINK("http://ms.phosphosite.org:5080/cgi-bin/plot-msms.cgi?MassType=1&amp;NumAxis=1&amp;Mod14=170&amp;Pep=QSSGASSSSFSSSR&amp;Dta=/var/www/html/dta/yong/23612.3091.2.dta&amp;Global_Mod=CS57.0215", "3091")</f>
        <v>3091</v>
      </c>
      <c r="M1255" s="4" t="str">
        <f>HYPERLINK("http://ms.phosphosite.org:5080/cgi-bin/plot-msms.cgi?MassType=1&amp;NumAxis=1&amp;Mod14=170&amp;Pep=QSSGASSSSFSSSR&amp;Dta=/var/www/html/dta/yong/23613.3141.2.dta&amp;Global_Mod=CS57.0215", "3141")</f>
        <v>3141</v>
      </c>
      <c r="N1255" s="5">
        <v>18.5</v>
      </c>
      <c r="O1255" s="5">
        <v>18.52</v>
      </c>
      <c r="P1255" s="5">
        <v>2.6429999999999998</v>
      </c>
      <c r="Q1255" s="5">
        <v>2.5219999999999998</v>
      </c>
      <c r="R1255" s="5">
        <v>0.92569999999999997</v>
      </c>
      <c r="S1255" s="5">
        <v>1.6316999999999999</v>
      </c>
      <c r="T1255" s="5">
        <v>0.31169999999999998</v>
      </c>
      <c r="U1255" s="5">
        <v>0.32269999999999999</v>
      </c>
      <c r="V1255" s="4">
        <v>1</v>
      </c>
      <c r="W1255" s="4">
        <v>1</v>
      </c>
      <c r="X1255" s="5">
        <v>2.0099999999999998</v>
      </c>
      <c r="Y1255" s="5">
        <v>1.98</v>
      </c>
      <c r="Z1255" s="6">
        <v>1000</v>
      </c>
      <c r="AA1255" s="6">
        <v>1000</v>
      </c>
      <c r="AB1255" s="4" t="s">
        <v>13</v>
      </c>
    </row>
    <row r="1256" spans="1:28">
      <c r="A1256" s="3" t="s">
        <v>133</v>
      </c>
      <c r="B1256" s="24" t="s">
        <v>2006</v>
      </c>
      <c r="C1256" s="26" t="s">
        <v>2007</v>
      </c>
      <c r="D1256" s="4" t="s">
        <v>2012</v>
      </c>
      <c r="E1256" s="3" t="s">
        <v>2008</v>
      </c>
      <c r="F1256" s="3" t="s">
        <v>2009</v>
      </c>
      <c r="G1256" s="4">
        <v>73.2</v>
      </c>
      <c r="H1256" s="3" t="s">
        <v>2013</v>
      </c>
      <c r="I1256" s="3" t="s">
        <v>2014</v>
      </c>
      <c r="J1256" s="4">
        <v>3</v>
      </c>
      <c r="K1256" s="4">
        <v>510.91840000000002</v>
      </c>
      <c r="L1256" s="4" t="str">
        <f>HYPERLINK("http://ms.phosphosite.org:5080/cgi-bin/plot-msms.cgi?MassType=1&amp;NumAxis=1&amp;Mod7=170&amp;Mod12=170&amp;Pep=SSFFSDRGSGSRGR&amp;Dta=/var/www/html/dta/yong/23612.4829.3.dta&amp;Global_Mod=CS57.0215", "4829")</f>
        <v>4829</v>
      </c>
      <c r="M1256" s="4"/>
      <c r="N1256" s="5">
        <v>25.18</v>
      </c>
      <c r="O1256" s="5"/>
      <c r="P1256" s="5">
        <v>2.448</v>
      </c>
      <c r="Q1256" s="5"/>
      <c r="R1256" s="5">
        <v>0.36930000000000002</v>
      </c>
      <c r="S1256" s="5"/>
      <c r="T1256" s="5">
        <v>0.15179999999999999</v>
      </c>
      <c r="U1256" s="5"/>
      <c r="V1256" s="4">
        <v>2</v>
      </c>
      <c r="W1256" s="4"/>
      <c r="X1256" s="5">
        <v>0.88</v>
      </c>
      <c r="Y1256" s="5"/>
      <c r="Z1256" s="6" t="s">
        <v>1306</v>
      </c>
      <c r="AA1256" s="6"/>
      <c r="AB1256" s="4" t="s">
        <v>13</v>
      </c>
    </row>
    <row r="1257" spans="1:28">
      <c r="A1257" s="3" t="s">
        <v>133</v>
      </c>
      <c r="B1257" s="24" t="s">
        <v>2006</v>
      </c>
      <c r="C1257" s="26" t="s">
        <v>2007</v>
      </c>
      <c r="D1257" s="4">
        <v>88</v>
      </c>
      <c r="E1257" s="3" t="s">
        <v>2008</v>
      </c>
      <c r="F1257" s="3" t="s">
        <v>2009</v>
      </c>
      <c r="G1257" s="4">
        <v>73.2</v>
      </c>
      <c r="H1257" s="3" t="s">
        <v>2015</v>
      </c>
      <c r="I1257" s="3" t="s">
        <v>2016</v>
      </c>
      <c r="J1257" s="4">
        <v>2</v>
      </c>
      <c r="K1257" s="4">
        <v>652.30489999999998</v>
      </c>
      <c r="L1257" s="4"/>
      <c r="M1257" s="4" t="str">
        <f>HYPERLINK("http://ms.phosphosite.org:5080/cgi-bin/plot-msms.cgi?MassType=1&amp;NumAxis=1&amp;Mod7=170&amp;Pep=SSFFSDRGSGSR&amp;Dta=/var/www/html/dta/yong/23613.6023.2.dta&amp;Global_Mod=CS57.0215", "6023")</f>
        <v>6023</v>
      </c>
      <c r="N1257" s="5"/>
      <c r="O1257" s="5">
        <v>29.48</v>
      </c>
      <c r="P1257" s="5"/>
      <c r="Q1257" s="5">
        <v>1.9019999999999999</v>
      </c>
      <c r="R1257" s="5"/>
      <c r="S1257" s="5">
        <v>0.57179999999999997</v>
      </c>
      <c r="T1257" s="5"/>
      <c r="U1257" s="5">
        <v>0.12909999999999999</v>
      </c>
      <c r="V1257" s="4"/>
      <c r="W1257" s="4">
        <v>1</v>
      </c>
      <c r="X1257" s="5"/>
      <c r="Y1257" s="5">
        <v>0.8</v>
      </c>
      <c r="Z1257" s="6"/>
      <c r="AA1257" s="6">
        <v>1000</v>
      </c>
      <c r="AB1257" s="4" t="s">
        <v>13</v>
      </c>
    </row>
    <row r="1258" spans="1:28">
      <c r="A1258" s="3" t="s">
        <v>2017</v>
      </c>
      <c r="B1258" s="24" t="s">
        <v>2018</v>
      </c>
      <c r="C1258" s="26" t="s">
        <v>2019</v>
      </c>
      <c r="D1258" s="4">
        <v>149</v>
      </c>
      <c r="E1258" s="3" t="s">
        <v>2020</v>
      </c>
      <c r="F1258" s="3" t="s">
        <v>2021</v>
      </c>
      <c r="G1258" s="4">
        <v>150</v>
      </c>
      <c r="H1258" s="3" t="s">
        <v>2022</v>
      </c>
      <c r="I1258" s="3" t="s">
        <v>2023</v>
      </c>
      <c r="J1258" s="4">
        <v>2</v>
      </c>
      <c r="K1258" s="4">
        <v>628.30129999999997</v>
      </c>
      <c r="L1258" s="4"/>
      <c r="M1258" s="4" t="str">
        <f>HYPERLINK("http://ms.phosphosite.org:5080/cgi-bin/plot-msms.cgi?MassType=1&amp;NumAxis=1&amp;Mod11=170&amp;Pep=SFDEVEGVFGR&amp;Dta=/var/www/html/dta/yong/23613.14088.2.dta&amp;Global_Mod=CS57.0215", "14088")</f>
        <v>14088</v>
      </c>
      <c r="N1258" s="5"/>
      <c r="O1258" s="5">
        <v>57.87</v>
      </c>
      <c r="P1258" s="5"/>
      <c r="Q1258" s="5">
        <v>3.9870000000000001</v>
      </c>
      <c r="R1258" s="5"/>
      <c r="S1258" s="5">
        <v>0.61599999999999999</v>
      </c>
      <c r="T1258" s="5"/>
      <c r="U1258" s="5">
        <v>0.44259999999999999</v>
      </c>
      <c r="V1258" s="4"/>
      <c r="W1258" s="4">
        <v>1</v>
      </c>
      <c r="X1258" s="5"/>
      <c r="Y1258" s="5">
        <v>3.02</v>
      </c>
      <c r="Z1258" s="6"/>
      <c r="AA1258" s="6">
        <v>1000</v>
      </c>
      <c r="AB1258" s="4" t="s">
        <v>13</v>
      </c>
    </row>
    <row r="1259" spans="1:28">
      <c r="A1259" s="3" t="s">
        <v>2017</v>
      </c>
      <c r="B1259" s="24" t="s">
        <v>2018</v>
      </c>
      <c r="C1259" s="26" t="s">
        <v>2019</v>
      </c>
      <c r="D1259" s="4">
        <v>149</v>
      </c>
      <c r="E1259" s="3" t="s">
        <v>2020</v>
      </c>
      <c r="F1259" s="3" t="s">
        <v>2021</v>
      </c>
      <c r="G1259" s="4">
        <v>150</v>
      </c>
      <c r="H1259" s="3" t="s">
        <v>2022</v>
      </c>
      <c r="I1259" s="3" t="s">
        <v>2024</v>
      </c>
      <c r="J1259" s="4">
        <v>2</v>
      </c>
      <c r="K1259" s="4">
        <v>791.88409999999999</v>
      </c>
      <c r="L1259" s="4" t="str">
        <f>HYPERLINK("http://ms.phosphosite.org:5080/cgi-bin/plot-msms.cgi?MassType=1&amp;NumAxis=1&amp;Mod11=170&amp;Pep=SFDEVEGVFGRGGGR&amp;Dta=/var/www/html/dta/yong/23612.11845.2.dta&amp;Global_Mod=CS57.0215", "11845")</f>
        <v>11845</v>
      </c>
      <c r="M1259" s="4" t="str">
        <f>HYPERLINK("http://ms.phosphosite.org:5080/cgi-bin/plot-msms.cgi?MassType=1&amp;NumAxis=1&amp;Mod11=170&amp;Pep=SFDEVEGVFGRGGGR&amp;Dta=/var/www/html/dta/yong/23613.11928.2.dta&amp;Global_Mod=CS57.0215", "11928")</f>
        <v>11928</v>
      </c>
      <c r="N1259" s="5">
        <v>50.3</v>
      </c>
      <c r="O1259" s="5">
        <v>50.27</v>
      </c>
      <c r="P1259" s="5">
        <v>2.2799999999999998</v>
      </c>
      <c r="Q1259" s="5">
        <v>2.3340000000000001</v>
      </c>
      <c r="R1259" s="5">
        <v>7.6399999999999996E-2</v>
      </c>
      <c r="S1259" s="5">
        <v>0.21729999999999999</v>
      </c>
      <c r="T1259" s="5">
        <v>0.25519999999999998</v>
      </c>
      <c r="U1259" s="5">
        <v>0.22140000000000001</v>
      </c>
      <c r="V1259" s="4">
        <v>45</v>
      </c>
      <c r="W1259" s="4">
        <v>1</v>
      </c>
      <c r="X1259" s="5">
        <v>1.46</v>
      </c>
      <c r="Y1259" s="5">
        <v>1.35</v>
      </c>
      <c r="Z1259" s="6">
        <v>1000</v>
      </c>
      <c r="AA1259" s="6">
        <v>1000</v>
      </c>
      <c r="AB1259" s="4" t="s">
        <v>13</v>
      </c>
    </row>
    <row r="1260" spans="1:28">
      <c r="A1260" s="3" t="s">
        <v>2017</v>
      </c>
      <c r="B1260" s="24" t="s">
        <v>2018</v>
      </c>
      <c r="C1260" s="26" t="s">
        <v>2019</v>
      </c>
      <c r="D1260" s="4">
        <v>149</v>
      </c>
      <c r="E1260" s="3" t="s">
        <v>2020</v>
      </c>
      <c r="F1260" s="3" t="s">
        <v>2021</v>
      </c>
      <c r="G1260" s="4">
        <v>150</v>
      </c>
      <c r="H1260" s="3" t="s">
        <v>2022</v>
      </c>
      <c r="I1260" s="3" t="s">
        <v>2024</v>
      </c>
      <c r="J1260" s="4">
        <v>2</v>
      </c>
      <c r="K1260" s="4">
        <v>791.88409999999999</v>
      </c>
      <c r="L1260" s="4"/>
      <c r="M1260" s="4" t="str">
        <f>HYPERLINK("http://ms.phosphosite.org:5080/cgi-bin/plot-msms.cgi?MassType=1&amp;NumAxis=1&amp;Mod11=170&amp;Pep=SFDEVEGVFGRGGGR&amp;Dta=/var/www/html/dta/yong/23613.11938.2.dta&amp;Global_Mod=CS57.0215", "11938")</f>
        <v>11938</v>
      </c>
      <c r="N1260" s="5"/>
      <c r="O1260" s="5">
        <v>50.3</v>
      </c>
      <c r="P1260" s="5"/>
      <c r="Q1260" s="5">
        <v>2.2400000000000002</v>
      </c>
      <c r="R1260" s="5"/>
      <c r="S1260" s="5">
        <v>0.21729999999999999</v>
      </c>
      <c r="T1260" s="5"/>
      <c r="U1260" s="5">
        <v>0.14410000000000001</v>
      </c>
      <c r="V1260" s="4"/>
      <c r="W1260" s="4">
        <v>18</v>
      </c>
      <c r="X1260" s="5"/>
      <c r="Y1260" s="5">
        <v>0.94</v>
      </c>
      <c r="Z1260" s="6"/>
      <c r="AA1260" s="6">
        <v>1000</v>
      </c>
      <c r="AB1260" s="4" t="s">
        <v>13</v>
      </c>
    </row>
    <row r="1261" spans="1:28">
      <c r="A1261" s="3" t="s">
        <v>2017</v>
      </c>
      <c r="B1261" s="24" t="s">
        <v>2018</v>
      </c>
      <c r="C1261" s="26" t="s">
        <v>2019</v>
      </c>
      <c r="D1261" s="4">
        <v>149</v>
      </c>
      <c r="E1261" s="3" t="s">
        <v>2020</v>
      </c>
      <c r="F1261" s="3" t="s">
        <v>2021</v>
      </c>
      <c r="G1261" s="4">
        <v>150</v>
      </c>
      <c r="H1261" s="3" t="s">
        <v>2022</v>
      </c>
      <c r="I1261" s="3" t="s">
        <v>2024</v>
      </c>
      <c r="J1261" s="4">
        <v>3</v>
      </c>
      <c r="K1261" s="4">
        <v>528.25850000000003</v>
      </c>
      <c r="L1261" s="4" t="str">
        <f>HYPERLINK("http://ms.phosphosite.org:5080/cgi-bin/plot-msms.cgi?MassType=1&amp;NumAxis=1&amp;Mod11=170&amp;Pep=SFDEVEGVFGRGGGR&amp;Dta=/var/www/html/dta/yong/23612.11821.3.dta&amp;Global_Mod=CS57.0215", "11821")</f>
        <v>11821</v>
      </c>
      <c r="M1261" s="4" t="str">
        <f>HYPERLINK("http://ms.phosphosite.org:5080/cgi-bin/plot-msms.cgi?MassType=1&amp;NumAxis=1&amp;Mod11=170&amp;Pep=SFDEVEGVFGRGGGR&amp;Dta=/var/www/html/dta/yong/23613.11899.3.dta&amp;Global_Mod=CS57.0215", "11899")</f>
        <v>11899</v>
      </c>
      <c r="N1261" s="5">
        <v>50.23</v>
      </c>
      <c r="O1261" s="5">
        <v>50.17</v>
      </c>
      <c r="P1261" s="5">
        <v>2.6259999999999999</v>
      </c>
      <c r="Q1261" s="5">
        <v>2.5419999999999998</v>
      </c>
      <c r="R1261" s="5">
        <v>0.20219999999999999</v>
      </c>
      <c r="S1261" s="5">
        <v>0.1915</v>
      </c>
      <c r="T1261" s="5">
        <v>0.44</v>
      </c>
      <c r="U1261" s="5">
        <v>0.37419999999999998</v>
      </c>
      <c r="V1261" s="4">
        <v>1</v>
      </c>
      <c r="W1261" s="4">
        <v>1</v>
      </c>
      <c r="X1261" s="5">
        <v>2.5299999999999998</v>
      </c>
      <c r="Y1261" s="5">
        <v>2.19</v>
      </c>
      <c r="Z1261" s="6">
        <v>1000</v>
      </c>
      <c r="AA1261" s="6">
        <v>1000</v>
      </c>
      <c r="AB1261" s="4" t="s">
        <v>13</v>
      </c>
    </row>
    <row r="1262" spans="1:28">
      <c r="A1262" s="3" t="s">
        <v>2017</v>
      </c>
      <c r="B1262" s="24" t="s">
        <v>2025</v>
      </c>
      <c r="C1262" t="s">
        <v>2025</v>
      </c>
      <c r="D1262" s="4">
        <v>34</v>
      </c>
      <c r="E1262" s="3" t="s">
        <v>2026</v>
      </c>
      <c r="F1262" s="3" t="s">
        <v>2027</v>
      </c>
      <c r="G1262" s="4">
        <v>51.4</v>
      </c>
      <c r="H1262" s="3" t="s">
        <v>2028</v>
      </c>
      <c r="I1262" s="3" t="s">
        <v>2029</v>
      </c>
      <c r="J1262" s="4">
        <v>3</v>
      </c>
      <c r="K1262" s="4">
        <v>758.71870000000001</v>
      </c>
      <c r="L1262" s="4" t="str">
        <f>HYPERLINK("http://ms.phosphosite.org:5080/cgi-bin/plot-msms.cgi?MassType=1&amp;NumAxis=1&amp;Mod22=170&amp;Pep=WAEGPAVSLPQAPQPQAGGWGR&amp;Dta=/var/www/html/dta/yong/23612.14775.3.dta&amp;Global_Mod=CS57.0215", "14775")</f>
        <v>14775</v>
      </c>
      <c r="M1262" s="4" t="str">
        <f>HYPERLINK("http://ms.phosphosite.org:5080/cgi-bin/plot-msms.cgi?MassType=1&amp;NumAxis=1&amp;Mod22=170&amp;Pep=WAEGPAVSLPQAPQPQAGGWGR&amp;Dta=/var/www/html/dta/yong/23613.14853.3.dta&amp;Global_Mod=CS57.0215", "14853")</f>
        <v>14853</v>
      </c>
      <c r="N1262" s="5">
        <v>60.81</v>
      </c>
      <c r="O1262" s="5">
        <v>60.85</v>
      </c>
      <c r="P1262" s="5">
        <v>3.78</v>
      </c>
      <c r="Q1262" s="5">
        <v>3.2919999999999998</v>
      </c>
      <c r="R1262" s="5">
        <v>0.84199999999999997</v>
      </c>
      <c r="S1262" s="5">
        <v>0.70530000000000004</v>
      </c>
      <c r="T1262" s="5">
        <v>0.2989</v>
      </c>
      <c r="U1262" s="5">
        <v>0.3851</v>
      </c>
      <c r="V1262" s="4">
        <v>1</v>
      </c>
      <c r="W1262" s="4">
        <v>3</v>
      </c>
      <c r="X1262" s="5">
        <v>2.12</v>
      </c>
      <c r="Y1262" s="5">
        <v>2.42</v>
      </c>
      <c r="Z1262" s="6">
        <v>1000</v>
      </c>
      <c r="AA1262" s="6">
        <v>1000</v>
      </c>
      <c r="AB1262" s="4" t="s">
        <v>13</v>
      </c>
    </row>
    <row r="1263" spans="1:28">
      <c r="A1263" s="3" t="s">
        <v>142</v>
      </c>
      <c r="B1263" s="24" t="s">
        <v>2030</v>
      </c>
      <c r="C1263" s="26" t="s">
        <v>2031</v>
      </c>
      <c r="D1263" s="4">
        <v>633</v>
      </c>
      <c r="E1263" s="3" t="s">
        <v>143</v>
      </c>
      <c r="F1263" s="3" t="s">
        <v>2032</v>
      </c>
      <c r="G1263" s="4">
        <v>78.3</v>
      </c>
      <c r="H1263" s="3" t="s">
        <v>2033</v>
      </c>
      <c r="I1263" s="3" t="s">
        <v>2034</v>
      </c>
      <c r="J1263" s="4">
        <v>3</v>
      </c>
      <c r="K1263" s="4">
        <v>1167.5382999999999</v>
      </c>
      <c r="L1263" s="4"/>
      <c r="M1263" s="4" t="str">
        <f>HYPERLINK("http://ms.phosphosite.org:5080/cgi-bin/plot-msms.cgi?MassType=1&amp;NumAxis=1&amp;Mod5=170&amp;Pep=ANGFRGGYDGYRPSFSNTPNSGYTQSQFSAPR&amp;Dta=/var/www/html/dta/yong/23613.11120.3.dta&amp;Global_Mod=CS57.0215", "11120")</f>
        <v>11120</v>
      </c>
      <c r="N1263" s="5"/>
      <c r="O1263" s="5">
        <v>47.61</v>
      </c>
      <c r="P1263" s="5"/>
      <c r="Q1263" s="5">
        <v>3.54</v>
      </c>
      <c r="R1263" s="5"/>
      <c r="S1263" s="5">
        <v>1.2346999999999999</v>
      </c>
      <c r="T1263" s="5"/>
      <c r="U1263" s="5">
        <v>0.3251</v>
      </c>
      <c r="V1263" s="4"/>
      <c r="W1263" s="4">
        <v>1</v>
      </c>
      <c r="X1263" s="5"/>
      <c r="Y1263" s="5">
        <v>1.95</v>
      </c>
      <c r="Z1263" s="6"/>
      <c r="AA1263" s="6">
        <v>32</v>
      </c>
      <c r="AB1263" s="4" t="s">
        <v>13</v>
      </c>
    </row>
    <row r="1264" spans="1:28">
      <c r="A1264" s="3" t="s">
        <v>142</v>
      </c>
      <c r="B1264" s="24" t="s">
        <v>2030</v>
      </c>
      <c r="C1264" s="26" t="s">
        <v>2031</v>
      </c>
      <c r="D1264" s="4">
        <v>633</v>
      </c>
      <c r="E1264" s="3" t="s">
        <v>143</v>
      </c>
      <c r="F1264" s="3" t="s">
        <v>2032</v>
      </c>
      <c r="G1264" s="4">
        <v>78.3</v>
      </c>
      <c r="H1264" s="3" t="s">
        <v>2035</v>
      </c>
      <c r="I1264" s="3" t="s">
        <v>2034</v>
      </c>
      <c r="J1264" s="4">
        <v>4</v>
      </c>
      <c r="K1264" s="4">
        <v>875.90549999999996</v>
      </c>
      <c r="L1264" s="4" t="str">
        <f>HYPERLINK("http://ms.phosphosite.org:5080/cgi-bin/plot-msms.cgi?MassType=1&amp;NumAxis=1&amp;Mod5=170&amp;Pep=ANGFRGGYDGYRPSFSNTPNSGYTQSQFSAPR&amp;Dta=/var/www/html/dta/yong/23612.11008.4.dta&amp;Global_Mod=CS57.0215", "11008")</f>
        <v>11008</v>
      </c>
      <c r="M1264" s="4"/>
      <c r="N1264" s="5">
        <v>47.48</v>
      </c>
      <c r="O1264" s="5"/>
      <c r="P1264" s="5">
        <v>3.891</v>
      </c>
      <c r="Q1264" s="5"/>
      <c r="R1264" s="5">
        <v>1.2161</v>
      </c>
      <c r="S1264" s="5"/>
      <c r="T1264" s="5">
        <v>0.28720000000000001</v>
      </c>
      <c r="U1264" s="5"/>
      <c r="V1264" s="4">
        <v>2</v>
      </c>
      <c r="W1264" s="4"/>
      <c r="X1264" s="5">
        <v>1.97</v>
      </c>
      <c r="Y1264" s="5"/>
      <c r="Z1264" s="6">
        <v>1</v>
      </c>
      <c r="AA1264" s="6"/>
      <c r="AB1264" s="4" t="s">
        <v>13</v>
      </c>
    </row>
    <row r="1265" spans="1:28">
      <c r="A1265" s="3" t="s">
        <v>142</v>
      </c>
      <c r="B1265" s="24" t="s">
        <v>2030</v>
      </c>
      <c r="C1265" s="26" t="s">
        <v>2031</v>
      </c>
      <c r="D1265" s="4">
        <v>633</v>
      </c>
      <c r="E1265" s="3" t="s">
        <v>143</v>
      </c>
      <c r="F1265" s="3" t="s">
        <v>2032</v>
      </c>
      <c r="G1265" s="4">
        <v>78.3</v>
      </c>
      <c r="H1265" s="3" t="s">
        <v>2033</v>
      </c>
      <c r="I1265" s="3" t="s">
        <v>2036</v>
      </c>
      <c r="J1265" s="4">
        <v>2</v>
      </c>
      <c r="K1265" s="4">
        <v>366.69299999999998</v>
      </c>
      <c r="L1265" s="4" t="str">
        <f>HYPERLINK("http://ms.phosphosite.org:5080/cgi-bin/plot-msms.cgi?MassType=1&amp;NumAxis=1&amp;Mod7=170&amp;Pep=GPANGFR&amp;Dta=/var/www/html/dta/yong/23612.3507.2.dta&amp;Global_Mod=CS57.0215", "3507")</f>
        <v>3507</v>
      </c>
      <c r="M1265" s="4"/>
      <c r="N1265" s="5">
        <v>20.07</v>
      </c>
      <c r="O1265" s="5"/>
      <c r="P1265" s="5">
        <v>1.611</v>
      </c>
      <c r="Q1265" s="5"/>
      <c r="R1265" s="5">
        <v>3.3399999999999999E-2</v>
      </c>
      <c r="S1265" s="5"/>
      <c r="T1265" s="5">
        <v>0.2092</v>
      </c>
      <c r="U1265" s="5"/>
      <c r="V1265" s="4">
        <v>6</v>
      </c>
      <c r="W1265" s="4"/>
      <c r="X1265" s="5">
        <v>1.52</v>
      </c>
      <c r="Y1265" s="5"/>
      <c r="Z1265" s="6">
        <v>1000</v>
      </c>
      <c r="AA1265" s="6"/>
      <c r="AB1265" s="4" t="s">
        <v>13</v>
      </c>
    </row>
    <row r="1266" spans="1:28">
      <c r="A1266" s="3" t="s">
        <v>142</v>
      </c>
      <c r="B1266" s="24" t="s">
        <v>2030</v>
      </c>
      <c r="C1266" s="26" t="s">
        <v>2031</v>
      </c>
      <c r="D1266" s="4">
        <v>633</v>
      </c>
      <c r="E1266" s="3" t="s">
        <v>143</v>
      </c>
      <c r="F1266" s="3" t="s">
        <v>2032</v>
      </c>
      <c r="G1266" s="4">
        <v>78.3</v>
      </c>
      <c r="H1266" s="3" t="s">
        <v>2033</v>
      </c>
      <c r="I1266" s="3" t="s">
        <v>2037</v>
      </c>
      <c r="J1266" s="4">
        <v>3</v>
      </c>
      <c r="K1266" s="4">
        <v>562.26570000000004</v>
      </c>
      <c r="L1266" s="4"/>
      <c r="M1266" s="4" t="str">
        <f>HYPERLINK("http://ms.phosphosite.org:5080/cgi-bin/plot-msms.cgi?MassType=1&amp;NumAxis=1&amp;Mod7=170&amp;Pep=GPANGFRGGYDGYRPS&amp;Dta=/var/www/html/dta/yong/23613.7469.3.dta&amp;Global_Mod=CS57.0215", "7469")</f>
        <v>7469</v>
      </c>
      <c r="N1266" s="5"/>
      <c r="O1266" s="5">
        <v>34.83</v>
      </c>
      <c r="P1266" s="5"/>
      <c r="Q1266" s="5">
        <v>2.298</v>
      </c>
      <c r="R1266" s="5"/>
      <c r="S1266" s="5">
        <v>0.57050000000000001</v>
      </c>
      <c r="T1266" s="5"/>
      <c r="U1266" s="5">
        <v>0.24279999999999999</v>
      </c>
      <c r="V1266" s="4"/>
      <c r="W1266" s="4">
        <v>13</v>
      </c>
      <c r="X1266" s="5"/>
      <c r="Y1266" s="5">
        <v>1.51</v>
      </c>
      <c r="Z1266" s="6"/>
      <c r="AA1266" s="6">
        <v>23</v>
      </c>
      <c r="AB1266" s="4" t="s">
        <v>13</v>
      </c>
    </row>
    <row r="1267" spans="1:28">
      <c r="A1267" s="3" t="s">
        <v>142</v>
      </c>
      <c r="B1267" s="24" t="s">
        <v>2030</v>
      </c>
      <c r="C1267" s="26" t="s">
        <v>2031</v>
      </c>
      <c r="D1267" s="4">
        <v>633</v>
      </c>
      <c r="E1267" s="3" t="s">
        <v>143</v>
      </c>
      <c r="F1267" s="3" t="s">
        <v>2032</v>
      </c>
      <c r="G1267" s="4">
        <v>78.3</v>
      </c>
      <c r="H1267" s="3" t="s">
        <v>2033</v>
      </c>
      <c r="I1267" s="3" t="s">
        <v>2038</v>
      </c>
      <c r="J1267" s="4">
        <v>3</v>
      </c>
      <c r="K1267" s="4">
        <v>1032.7991999999999</v>
      </c>
      <c r="L1267" s="4" t="str">
        <f>HYPERLINK("http://ms.phosphosite.org:5080/cgi-bin/plot-msms.cgi?MassType=1&amp;NumAxis=1&amp;Mod7=170&amp;Pep=GPANGFRGGYDGYRPSFSNTPNSGYTQSQ&amp;Dta=/var/www/html/dta/yong/23612.10590.3.dta&amp;Global_Mod=CS57.0215", "10590")</f>
        <v>10590</v>
      </c>
      <c r="M1267" s="4"/>
      <c r="N1267" s="5">
        <v>46.05</v>
      </c>
      <c r="O1267" s="5"/>
      <c r="P1267" s="5">
        <v>3.3069999999999999</v>
      </c>
      <c r="Q1267" s="5"/>
      <c r="R1267" s="5">
        <v>1.9925999999999999</v>
      </c>
      <c r="S1267" s="5"/>
      <c r="T1267" s="5">
        <v>0.18129999999999999</v>
      </c>
      <c r="U1267" s="5"/>
      <c r="V1267" s="4">
        <v>1</v>
      </c>
      <c r="W1267" s="4"/>
      <c r="X1267" s="5">
        <v>1.27</v>
      </c>
      <c r="Y1267" s="5"/>
      <c r="Z1267" s="6">
        <v>8</v>
      </c>
      <c r="AA1267" s="6"/>
      <c r="AB1267" s="4" t="s">
        <v>13</v>
      </c>
    </row>
    <row r="1268" spans="1:28">
      <c r="A1268" s="3" t="s">
        <v>142</v>
      </c>
      <c r="B1268" s="24" t="s">
        <v>2030</v>
      </c>
      <c r="C1268" s="26" t="s">
        <v>2031</v>
      </c>
      <c r="D1268" s="4">
        <v>633</v>
      </c>
      <c r="E1268" s="3" t="s">
        <v>143</v>
      </c>
      <c r="F1268" s="3" t="s">
        <v>2032</v>
      </c>
      <c r="G1268" s="4">
        <v>78.3</v>
      </c>
      <c r="H1268" s="3" t="s">
        <v>2033</v>
      </c>
      <c r="I1268" s="3" t="s">
        <v>2039</v>
      </c>
      <c r="J1268" s="4">
        <v>3</v>
      </c>
      <c r="K1268" s="4">
        <v>1081.8219999999999</v>
      </c>
      <c r="L1268" s="4" t="str">
        <f>HYPERLINK("http://ms.phosphosite.org:5080/cgi-bin/plot-msms.cgi?MassType=1&amp;NumAxis=1&amp;Mod7=170&amp;Pep=GPANGFRGGYDGYRPSFSNTPNSGYTQSQF&amp;Dta=/var/www/html/dta/yong/23612.12641.3.dta&amp;Global_Mod=CS57.0215", "12641")</f>
        <v>12641</v>
      </c>
      <c r="M1268" s="4" t="str">
        <f>HYPERLINK("http://ms.phosphosite.org:5080/cgi-bin/plot-msms.cgi?MassType=1&amp;NumAxis=1&amp;Mod7=170&amp;Pep=GPANGFRGGYDGYRPSFSNTPNSGYTQSQF&amp;Dta=/var/www/html/dta/yong/23613.12753.3.dta&amp;Global_Mod=CS57.0215", "12753")</f>
        <v>12753</v>
      </c>
      <c r="N1268" s="5">
        <v>53.02</v>
      </c>
      <c r="O1268" s="5">
        <v>53.08</v>
      </c>
      <c r="P1268" s="5">
        <v>4.0869999999999997</v>
      </c>
      <c r="Q1268" s="5">
        <v>3.3730000000000002</v>
      </c>
      <c r="R1268" s="5">
        <v>1.2017</v>
      </c>
      <c r="S1268" s="5">
        <v>1.5523</v>
      </c>
      <c r="T1268" s="5">
        <v>0.4526</v>
      </c>
      <c r="U1268" s="5">
        <v>0.41270000000000001</v>
      </c>
      <c r="V1268" s="4">
        <v>1</v>
      </c>
      <c r="W1268" s="4">
        <v>1</v>
      </c>
      <c r="X1268" s="5">
        <v>2.8</v>
      </c>
      <c r="Y1268" s="5">
        <v>2.35</v>
      </c>
      <c r="Z1268" s="6">
        <v>28</v>
      </c>
      <c r="AA1268" s="6">
        <v>8</v>
      </c>
      <c r="AB1268" s="4" t="s">
        <v>13</v>
      </c>
    </row>
    <row r="1269" spans="1:28">
      <c r="A1269" s="3" t="s">
        <v>142</v>
      </c>
      <c r="B1269" s="24" t="s">
        <v>2030</v>
      </c>
      <c r="C1269" s="26" t="s">
        <v>2031</v>
      </c>
      <c r="D1269" s="4">
        <v>633</v>
      </c>
      <c r="E1269" s="3" t="s">
        <v>143</v>
      </c>
      <c r="F1269" s="3" t="s">
        <v>2032</v>
      </c>
      <c r="G1269" s="4">
        <v>78.3</v>
      </c>
      <c r="H1269" s="3" t="s">
        <v>2033</v>
      </c>
      <c r="I1269" s="3" t="s">
        <v>2039</v>
      </c>
      <c r="J1269" s="4">
        <v>3</v>
      </c>
      <c r="K1269" s="4">
        <v>1081.8219999999999</v>
      </c>
      <c r="L1269" s="4" t="str">
        <f>HYPERLINK("http://ms.phosphosite.org:5080/cgi-bin/plot-msms.cgi?MassType=1&amp;NumAxis=1&amp;Mod7=170&amp;Pep=GPANGFRGGYDGYRPSFSNTPNSGYTQSQF&amp;Dta=/var/www/html/dta/yong/23612.12659.3.dta&amp;Global_Mod=CS57.0215", "12659")</f>
        <v>12659</v>
      </c>
      <c r="M1269" s="4"/>
      <c r="N1269" s="5">
        <v>53.08</v>
      </c>
      <c r="O1269" s="5"/>
      <c r="P1269" s="5">
        <v>4.3120000000000003</v>
      </c>
      <c r="Q1269" s="5"/>
      <c r="R1269" s="5">
        <v>1.087</v>
      </c>
      <c r="S1269" s="5"/>
      <c r="T1269" s="5">
        <v>0.48799999999999999</v>
      </c>
      <c r="U1269" s="5"/>
      <c r="V1269" s="4">
        <v>1</v>
      </c>
      <c r="W1269" s="4"/>
      <c r="X1269" s="5">
        <v>3.02</v>
      </c>
      <c r="Y1269" s="5"/>
      <c r="Z1269" s="6">
        <v>14</v>
      </c>
      <c r="AA1269" s="6"/>
      <c r="AB1269" s="4" t="s">
        <v>13</v>
      </c>
    </row>
    <row r="1270" spans="1:28">
      <c r="A1270" s="3" t="s">
        <v>142</v>
      </c>
      <c r="B1270" s="24" t="s">
        <v>2030</v>
      </c>
      <c r="C1270" s="26" t="s">
        <v>2031</v>
      </c>
      <c r="D1270" s="4">
        <v>633</v>
      </c>
      <c r="E1270" s="3" t="s">
        <v>143</v>
      </c>
      <c r="F1270" s="3" t="s">
        <v>2032</v>
      </c>
      <c r="G1270" s="4">
        <v>78.3</v>
      </c>
      <c r="H1270" s="3" t="s">
        <v>2033</v>
      </c>
      <c r="I1270" s="3" t="s">
        <v>2040</v>
      </c>
      <c r="J1270" s="4">
        <v>3</v>
      </c>
      <c r="K1270" s="4">
        <v>1218.8964000000001</v>
      </c>
      <c r="L1270" s="4" t="str">
        <f>HYPERLINK("http://ms.phosphosite.org:5080/cgi-bin/plot-msms.cgi?MassType=1&amp;NumAxis=1&amp;Mod7=170&amp;Pep=GPANGFRGGYDGYRPSFSNTPNSGYTQSQFSAPR&amp;Dta=/var/www/html/dta/yong/23612.11367.3.dta&amp;Global_Mod=CS57.0215", "11367")</f>
        <v>11367</v>
      </c>
      <c r="M1270" s="4"/>
      <c r="N1270" s="5">
        <v>48.7</v>
      </c>
      <c r="O1270" s="5"/>
      <c r="P1270" s="5">
        <v>3.3410000000000002</v>
      </c>
      <c r="Q1270" s="5"/>
      <c r="R1270" s="5">
        <v>-0.32900000000000001</v>
      </c>
      <c r="S1270" s="5"/>
      <c r="T1270" s="5">
        <v>0.2102</v>
      </c>
      <c r="U1270" s="5"/>
      <c r="V1270" s="4">
        <v>1</v>
      </c>
      <c r="W1270" s="4"/>
      <c r="X1270" s="5">
        <v>1.41</v>
      </c>
      <c r="Y1270" s="5"/>
      <c r="Z1270" s="6">
        <v>15</v>
      </c>
      <c r="AA1270" s="6"/>
      <c r="AB1270" s="4" t="s">
        <v>13</v>
      </c>
    </row>
    <row r="1271" spans="1:28">
      <c r="A1271" s="3" t="s">
        <v>142</v>
      </c>
      <c r="B1271" s="24" t="s">
        <v>2030</v>
      </c>
      <c r="C1271" s="26" t="s">
        <v>2031</v>
      </c>
      <c r="D1271" s="4">
        <v>633</v>
      </c>
      <c r="E1271" s="3" t="s">
        <v>143</v>
      </c>
      <c r="F1271" s="3" t="s">
        <v>2032</v>
      </c>
      <c r="G1271" s="4">
        <v>78.3</v>
      </c>
      <c r="H1271" s="3" t="s">
        <v>2035</v>
      </c>
      <c r="I1271" s="3" t="s">
        <v>2040</v>
      </c>
      <c r="J1271" s="4">
        <v>4</v>
      </c>
      <c r="K1271" s="4">
        <v>914.42409999999995</v>
      </c>
      <c r="L1271" s="4" t="str">
        <f>HYPERLINK("http://ms.phosphosite.org:5080/cgi-bin/plot-msms.cgi?MassType=1&amp;NumAxis=1&amp;Mod7=170&amp;Pep=GPANGFRGGYDGYRPSFSNTPNSGYTQSQFSAPR&amp;Dta=/var/www/html/dta/yong/23612.11311.4.dta&amp;Global_Mod=CS57.0215", "11311")</f>
        <v>11311</v>
      </c>
      <c r="M1271" s="4"/>
      <c r="N1271" s="5">
        <v>48.51</v>
      </c>
      <c r="O1271" s="5"/>
      <c r="P1271" s="5">
        <v>3.5169999999999999</v>
      </c>
      <c r="Q1271" s="5"/>
      <c r="R1271" s="5">
        <v>0.88690000000000002</v>
      </c>
      <c r="S1271" s="5"/>
      <c r="T1271" s="5">
        <v>0.1988</v>
      </c>
      <c r="U1271" s="5"/>
      <c r="V1271" s="4">
        <v>1</v>
      </c>
      <c r="W1271" s="4"/>
      <c r="X1271" s="5">
        <v>1.46</v>
      </c>
      <c r="Y1271" s="5"/>
      <c r="Z1271" s="6">
        <v>1</v>
      </c>
      <c r="AA1271" s="6"/>
      <c r="AB1271" s="4" t="s">
        <v>13</v>
      </c>
    </row>
    <row r="1272" spans="1:28">
      <c r="A1272" s="3" t="s">
        <v>142</v>
      </c>
      <c r="B1272" s="24" t="s">
        <v>2030</v>
      </c>
      <c r="C1272" s="26" t="s">
        <v>2031</v>
      </c>
      <c r="D1272" s="4">
        <v>640</v>
      </c>
      <c r="E1272" s="3" t="s">
        <v>143</v>
      </c>
      <c r="F1272" s="3" t="s">
        <v>2032</v>
      </c>
      <c r="G1272" s="4">
        <v>78.3</v>
      </c>
      <c r="H1272" s="3" t="s">
        <v>2033</v>
      </c>
      <c r="I1272" s="3" t="s">
        <v>2041</v>
      </c>
      <c r="J1272" s="4">
        <v>4</v>
      </c>
      <c r="K1272" s="4">
        <v>875.90549999999996</v>
      </c>
      <c r="L1272" s="4" t="str">
        <f>HYPERLINK("http://ms.phosphosite.org:5080/cgi-bin/plot-msms.cgi?MassType=1&amp;NumAxis=1&amp;Mod12=170&amp;Pep=ANGFRGGYDGYRPSFSNTPNSGYTQSQFSAPR&amp;Dta=/var/www/html/dta/yong/23612.11015.4.dta&amp;Global_Mod=CS57.0215", "11015")</f>
        <v>11015</v>
      </c>
      <c r="M1272" s="4" t="str">
        <f>HYPERLINK("http://ms.phosphosite.org:5080/cgi-bin/plot-msms.cgi?MassType=1&amp;NumAxis=1&amp;Mod12=170&amp;Pep=ANGFRGGYDGYRPSFSNTPNSGYTQSQFSAPR&amp;Dta=/var/www/html/dta/yong/23613.11087.4.dta&amp;Global_Mod=CS57.0215", "11087")</f>
        <v>11087</v>
      </c>
      <c r="N1272" s="5">
        <v>47.51</v>
      </c>
      <c r="O1272" s="5">
        <v>47.49</v>
      </c>
      <c r="P1272" s="5">
        <v>4.0060000000000002</v>
      </c>
      <c r="Q1272" s="5">
        <v>4.3019999999999996</v>
      </c>
      <c r="R1272" s="5">
        <v>1.2161</v>
      </c>
      <c r="S1272" s="5">
        <v>1.0386</v>
      </c>
      <c r="T1272" s="5">
        <v>0.37480000000000002</v>
      </c>
      <c r="U1272" s="5">
        <v>0.26450000000000001</v>
      </c>
      <c r="V1272" s="4">
        <v>1</v>
      </c>
      <c r="W1272" s="4">
        <v>1</v>
      </c>
      <c r="X1272" s="5">
        <v>2.4300000000000002</v>
      </c>
      <c r="Y1272" s="5">
        <v>1.86</v>
      </c>
      <c r="Z1272" s="6">
        <v>2</v>
      </c>
      <c r="AA1272" s="6">
        <v>1</v>
      </c>
      <c r="AB1272" s="4" t="s">
        <v>13</v>
      </c>
    </row>
    <row r="1273" spans="1:28">
      <c r="A1273" s="3" t="s">
        <v>142</v>
      </c>
      <c r="B1273" s="24" t="s">
        <v>2030</v>
      </c>
      <c r="C1273" s="26" t="s">
        <v>2031</v>
      </c>
      <c r="D1273" s="4">
        <v>640</v>
      </c>
      <c r="E1273" s="3" t="s">
        <v>143</v>
      </c>
      <c r="F1273" s="3" t="s">
        <v>2032</v>
      </c>
      <c r="G1273" s="4">
        <v>78.3</v>
      </c>
      <c r="H1273" s="3" t="s">
        <v>2035</v>
      </c>
      <c r="I1273" s="3" t="s">
        <v>2042</v>
      </c>
      <c r="J1273" s="4">
        <v>4</v>
      </c>
      <c r="K1273" s="4">
        <v>914.42409999999995</v>
      </c>
      <c r="L1273" s="4"/>
      <c r="M1273" s="4" t="str">
        <f>HYPERLINK("http://ms.phosphosite.org:5080/cgi-bin/plot-msms.cgi?MassType=1&amp;NumAxis=1&amp;Mod14=170&amp;Pep=GPANGFRGGYDGYRPSFSNTPNSGYTQSQFSAPR&amp;Dta=/var/www/html/dta/yong/23613.11383.4.dta&amp;Global_Mod=CS57.0215", "11383")</f>
        <v>11383</v>
      </c>
      <c r="N1273" s="5"/>
      <c r="O1273" s="5">
        <v>48.48</v>
      </c>
      <c r="P1273" s="5"/>
      <c r="Q1273" s="5">
        <v>4.4240000000000004</v>
      </c>
      <c r="R1273" s="5"/>
      <c r="S1273" s="5">
        <v>1.2141999999999999</v>
      </c>
      <c r="T1273" s="5"/>
      <c r="U1273" s="5">
        <v>0.30299999999999999</v>
      </c>
      <c r="V1273" s="4"/>
      <c r="W1273" s="4">
        <v>2</v>
      </c>
      <c r="X1273" s="5"/>
      <c r="Y1273" s="5">
        <v>2.04</v>
      </c>
      <c r="Z1273" s="6"/>
      <c r="AA1273" s="6">
        <v>2</v>
      </c>
      <c r="AB1273" s="4" t="s">
        <v>13</v>
      </c>
    </row>
    <row r="1274" spans="1:28">
      <c r="A1274" s="3" t="s">
        <v>142</v>
      </c>
      <c r="B1274" s="24" t="s">
        <v>2030</v>
      </c>
      <c r="C1274" s="26" t="s">
        <v>2031</v>
      </c>
      <c r="D1274" s="4">
        <v>640</v>
      </c>
      <c r="E1274" s="3" t="s">
        <v>143</v>
      </c>
      <c r="F1274" s="3" t="s">
        <v>2032</v>
      </c>
      <c r="G1274" s="4">
        <v>78.3</v>
      </c>
      <c r="H1274" s="3" t="s">
        <v>2035</v>
      </c>
      <c r="I1274" s="3" t="s">
        <v>2043</v>
      </c>
      <c r="J1274" s="4">
        <v>4</v>
      </c>
      <c r="K1274" s="4">
        <v>778.61300000000006</v>
      </c>
      <c r="L1274" s="4" t="str">
        <f>HYPERLINK("http://ms.phosphosite.org:5080/cgi-bin/plot-msms.cgi?MassType=1&amp;NumAxis=1&amp;Mod8=170&amp;Pep=RGGYDGYRPSFSNTPNSGYTQSQFSAPR&amp;Dta=/var/www/html/dta/yong/23612.9938.4.dta&amp;Global_Mod=CS57.0215", "9938")</f>
        <v>9938</v>
      </c>
      <c r="M1274" s="4"/>
      <c r="N1274" s="5">
        <v>43.74</v>
      </c>
      <c r="O1274" s="5"/>
      <c r="P1274" s="5">
        <v>2.5</v>
      </c>
      <c r="Q1274" s="5"/>
      <c r="R1274" s="5">
        <v>1.0791999999999999</v>
      </c>
      <c r="S1274" s="5"/>
      <c r="T1274" s="5">
        <v>9.4200000000000006E-2</v>
      </c>
      <c r="U1274" s="5"/>
      <c r="V1274" s="4">
        <v>3</v>
      </c>
      <c r="W1274" s="4"/>
      <c r="X1274" s="5">
        <v>0.8</v>
      </c>
      <c r="Y1274" s="5"/>
      <c r="Z1274" s="6">
        <v>1</v>
      </c>
      <c r="AA1274" s="6"/>
      <c r="AB1274" s="4" t="s">
        <v>13</v>
      </c>
    </row>
    <row r="1275" spans="1:28">
      <c r="A1275" s="3" t="s">
        <v>153</v>
      </c>
      <c r="B1275" s="24" t="s">
        <v>2044</v>
      </c>
      <c r="C1275" s="26" t="s">
        <v>2044</v>
      </c>
      <c r="D1275" s="4">
        <v>535</v>
      </c>
      <c r="E1275" s="3" t="s">
        <v>2045</v>
      </c>
      <c r="F1275" s="3" t="s">
        <v>2046</v>
      </c>
      <c r="G1275" s="4">
        <v>59.3</v>
      </c>
      <c r="H1275" s="3" t="s">
        <v>2047</v>
      </c>
      <c r="I1275" s="3" t="s">
        <v>2048</v>
      </c>
      <c r="J1275" s="4">
        <v>2</v>
      </c>
      <c r="K1275" s="4">
        <v>530.27509999999995</v>
      </c>
      <c r="L1275" s="4" t="str">
        <f>HYPERLINK("http://ms.phosphosite.org:5080/cgi-bin/plot-msms.cgi?MassType=1&amp;NumAxis=1&amp;Mod11=170&amp;Pep=STVDAPTAAGR&amp;Dta=/var/www/html/dta/yong/23612.3604.2.dta&amp;Global_Mod=CS57.0215", "3604")</f>
        <v>3604</v>
      </c>
      <c r="M1275" s="4" t="str">
        <f>HYPERLINK("http://ms.phosphosite.org:5080/cgi-bin/plot-msms.cgi?MassType=1&amp;NumAxis=1&amp;Mod11=170&amp;Pep=STVDAPTAAGR&amp;Dta=/var/www/html/dta/yong/23613.3638.2.dta&amp;Global_Mod=CS57.0215", "3638")</f>
        <v>3638</v>
      </c>
      <c r="N1275" s="5">
        <v>20.46</v>
      </c>
      <c r="O1275" s="5">
        <v>20.399999999999999</v>
      </c>
      <c r="P1275" s="5">
        <v>2.9180000000000001</v>
      </c>
      <c r="Q1275" s="5">
        <v>2.6779999999999999</v>
      </c>
      <c r="R1275" s="5">
        <v>9.1600000000000001E-2</v>
      </c>
      <c r="S1275" s="5">
        <v>0.1706</v>
      </c>
      <c r="T1275" s="5">
        <v>0.18210000000000001</v>
      </c>
      <c r="U1275" s="5">
        <v>0.21129999999999999</v>
      </c>
      <c r="V1275" s="4">
        <v>7</v>
      </c>
      <c r="W1275" s="4">
        <v>4</v>
      </c>
      <c r="X1275" s="5">
        <v>1.48</v>
      </c>
      <c r="Y1275" s="5">
        <v>1.6</v>
      </c>
      <c r="Z1275" s="6">
        <v>1000</v>
      </c>
      <c r="AA1275" s="6">
        <v>1000</v>
      </c>
      <c r="AB1275" s="4" t="s">
        <v>13</v>
      </c>
    </row>
    <row r="1276" spans="1:28">
      <c r="A1276" s="3" t="s">
        <v>153</v>
      </c>
      <c r="B1276" s="24" t="s">
        <v>2049</v>
      </c>
      <c r="C1276" s="26" t="s">
        <v>2050</v>
      </c>
      <c r="D1276" s="4">
        <v>469</v>
      </c>
      <c r="E1276" s="3" t="s">
        <v>158</v>
      </c>
      <c r="F1276" s="3" t="s">
        <v>2051</v>
      </c>
      <c r="G1276" s="4">
        <v>70</v>
      </c>
      <c r="H1276" s="3" t="s">
        <v>2052</v>
      </c>
      <c r="I1276" s="3" t="s">
        <v>159</v>
      </c>
      <c r="J1276" s="4">
        <v>2</v>
      </c>
      <c r="K1276" s="4">
        <v>599.33500000000004</v>
      </c>
      <c r="L1276" s="4" t="str">
        <f>HYPERLINK("http://ms.phosphosite.org:5080/cgi-bin/plot-msms.cgi?MassType=1&amp;NumAxis=1&amp;Mod11=170&amp;Pep=FELSGIPPAPR&amp;Dta=/var/www/html/dta/yong/23612.13244.2.dta&amp;Global_Mod=CS57.0215", "13244")</f>
        <v>13244</v>
      </c>
      <c r="M1276" s="4" t="str">
        <f>HYPERLINK("http://ms.phosphosite.org:5080/cgi-bin/plot-msms.cgi?MassType=1&amp;NumAxis=1&amp;Mod11=170&amp;Pep=FELSGIPPAPR&amp;Dta=/var/www/html/dta/yong/23613.12893.2.dta&amp;Global_Mod=CS57.0215", "12893")</f>
        <v>12893</v>
      </c>
      <c r="N1276" s="5">
        <v>55.18</v>
      </c>
      <c r="O1276" s="5">
        <v>53.56</v>
      </c>
      <c r="P1276" s="5">
        <v>2.431</v>
      </c>
      <c r="Q1276" s="5">
        <v>3.5710000000000002</v>
      </c>
      <c r="R1276" s="5">
        <v>0.39500000000000002</v>
      </c>
      <c r="S1276" s="5">
        <v>0.4133</v>
      </c>
      <c r="T1276" s="5">
        <v>6.4799999999999996E-2</v>
      </c>
      <c r="U1276" s="5">
        <v>0.23369999999999999</v>
      </c>
      <c r="V1276" s="4">
        <v>1</v>
      </c>
      <c r="W1276" s="4">
        <v>1</v>
      </c>
      <c r="X1276" s="5">
        <v>1.08</v>
      </c>
      <c r="Y1276" s="5">
        <v>2.13</v>
      </c>
      <c r="Z1276" s="6">
        <v>1000</v>
      </c>
      <c r="AA1276" s="6">
        <v>1000</v>
      </c>
      <c r="AB1276" s="4" t="s">
        <v>13</v>
      </c>
    </row>
    <row r="1277" spans="1:28">
      <c r="A1277" s="3" t="s">
        <v>153</v>
      </c>
      <c r="B1277" s="24" t="s">
        <v>2049</v>
      </c>
      <c r="C1277" s="26" t="s">
        <v>2050</v>
      </c>
      <c r="D1277" s="4">
        <v>469</v>
      </c>
      <c r="E1277" s="3" t="s">
        <v>158</v>
      </c>
      <c r="F1277" s="3" t="s">
        <v>2051</v>
      </c>
      <c r="G1277" s="4">
        <v>70</v>
      </c>
      <c r="H1277" s="3" t="s">
        <v>2052</v>
      </c>
      <c r="I1277" s="3" t="s">
        <v>159</v>
      </c>
      <c r="J1277" s="4">
        <v>2</v>
      </c>
      <c r="K1277" s="4">
        <v>599.33500000000004</v>
      </c>
      <c r="L1277" s="4" t="str">
        <f>HYPERLINK("http://ms.phosphosite.org:5080/cgi-bin/plot-msms.cgi?MassType=1&amp;NumAxis=1&amp;Mod11=170&amp;Pep=FELSGIPPAPR&amp;Dta=/var/www/html/dta/yong/23612.13015.2.dta&amp;Global_Mod=CS57.0215", "13015")</f>
        <v>13015</v>
      </c>
      <c r="M1277" s="4" t="str">
        <f>HYPERLINK("http://ms.phosphosite.org:5080/cgi-bin/plot-msms.cgi?MassType=1&amp;NumAxis=1&amp;Mod11=170&amp;Pep=FELSGIPPAPR&amp;Dta=/var/www/html/dta/yong/23613.13631.2.dta&amp;Global_Mod=CS57.0215", "13631")</f>
        <v>13631</v>
      </c>
      <c r="N1277" s="5">
        <v>54.32</v>
      </c>
      <c r="O1277" s="5">
        <v>56.2</v>
      </c>
      <c r="P1277" s="5">
        <v>3.0539999999999998</v>
      </c>
      <c r="Q1277" s="5">
        <v>2.41</v>
      </c>
      <c r="R1277" s="5">
        <v>0.47389999999999999</v>
      </c>
      <c r="S1277" s="5">
        <v>0.40329999999999999</v>
      </c>
      <c r="T1277" s="5">
        <v>0.1686</v>
      </c>
      <c r="U1277" s="5">
        <v>0.15279999999999999</v>
      </c>
      <c r="V1277" s="4">
        <v>1</v>
      </c>
      <c r="W1277" s="4">
        <v>2</v>
      </c>
      <c r="X1277" s="5">
        <v>1.71</v>
      </c>
      <c r="Y1277" s="5">
        <v>1.49</v>
      </c>
      <c r="Z1277" s="6">
        <v>1000</v>
      </c>
      <c r="AA1277" s="6">
        <v>1000</v>
      </c>
      <c r="AB1277" s="4" t="s">
        <v>13</v>
      </c>
    </row>
    <row r="1278" spans="1:28">
      <c r="A1278" s="3" t="s">
        <v>153</v>
      </c>
      <c r="B1278" s="24" t="s">
        <v>2049</v>
      </c>
      <c r="C1278" s="26" t="s">
        <v>2050</v>
      </c>
      <c r="D1278" s="4">
        <v>469</v>
      </c>
      <c r="E1278" s="3" t="s">
        <v>158</v>
      </c>
      <c r="F1278" s="3" t="s">
        <v>2051</v>
      </c>
      <c r="G1278" s="4">
        <v>70</v>
      </c>
      <c r="H1278" s="3" t="s">
        <v>2052</v>
      </c>
      <c r="I1278" s="3" t="s">
        <v>159</v>
      </c>
      <c r="J1278" s="4">
        <v>2</v>
      </c>
      <c r="K1278" s="4">
        <v>599.33500000000004</v>
      </c>
      <c r="L1278" s="4" t="str">
        <f>HYPERLINK("http://ms.phosphosite.org:5080/cgi-bin/plot-msms.cgi?MassType=1&amp;NumAxis=1&amp;Mod11=170&amp;Pep=FELSGIPPAPR&amp;Dta=/var/www/html/dta/yong/23612.13645.2.dta&amp;Global_Mod=CS57.0215", "13645")</f>
        <v>13645</v>
      </c>
      <c r="M1278" s="4" t="str">
        <f>HYPERLINK("http://ms.phosphosite.org:5080/cgi-bin/plot-msms.cgi?MassType=1&amp;NumAxis=1&amp;Mod11=170&amp;Pep=FELSGIPPAPR&amp;Dta=/var/www/html/dta/yong/23613.13850.2.dta&amp;Global_Mod=CS57.0215", "13850")</f>
        <v>13850</v>
      </c>
      <c r="N1278" s="5">
        <v>56.59</v>
      </c>
      <c r="O1278" s="5">
        <v>56.95</v>
      </c>
      <c r="P1278" s="5">
        <v>3.0129999999999999</v>
      </c>
      <c r="Q1278" s="5">
        <v>2.7</v>
      </c>
      <c r="R1278" s="5">
        <v>0.59460000000000002</v>
      </c>
      <c r="S1278" s="5">
        <v>0.79500000000000004</v>
      </c>
      <c r="T1278" s="5">
        <v>0.19700000000000001</v>
      </c>
      <c r="U1278" s="5">
        <v>0.27800000000000002</v>
      </c>
      <c r="V1278" s="4">
        <v>1</v>
      </c>
      <c r="W1278" s="4">
        <v>2</v>
      </c>
      <c r="X1278" s="5">
        <v>1.84</v>
      </c>
      <c r="Y1278" s="5">
        <v>2.15</v>
      </c>
      <c r="Z1278" s="6">
        <v>1000</v>
      </c>
      <c r="AA1278" s="6">
        <v>1000</v>
      </c>
      <c r="AB1278" s="4" t="s">
        <v>13</v>
      </c>
    </row>
    <row r="1279" spans="1:28">
      <c r="A1279" s="3" t="s">
        <v>153</v>
      </c>
      <c r="B1279" s="24" t="s">
        <v>2049</v>
      </c>
      <c r="C1279" s="26" t="s">
        <v>2050</v>
      </c>
      <c r="D1279" s="4">
        <v>469</v>
      </c>
      <c r="E1279" s="3" t="s">
        <v>158</v>
      </c>
      <c r="F1279" s="3" t="s">
        <v>2051</v>
      </c>
      <c r="G1279" s="4">
        <v>70</v>
      </c>
      <c r="H1279" s="3" t="s">
        <v>2052</v>
      </c>
      <c r="I1279" s="3" t="s">
        <v>159</v>
      </c>
      <c r="J1279" s="4">
        <v>2</v>
      </c>
      <c r="K1279" s="4">
        <v>599.33500000000004</v>
      </c>
      <c r="L1279" s="4" t="str">
        <f>HYPERLINK("http://ms.phosphosite.org:5080/cgi-bin/plot-msms.cgi?MassType=1&amp;NumAxis=1&amp;Mod11=170&amp;Pep=FELSGIPPAPR&amp;Dta=/var/www/html/dta/yong/23612.13444.2.dta&amp;Global_Mod=CS57.0215", "13444")</f>
        <v>13444</v>
      </c>
      <c r="M1279" s="4" t="str">
        <f>HYPERLINK("http://ms.phosphosite.org:5080/cgi-bin/plot-msms.cgi?MassType=1&amp;NumAxis=1&amp;Mod11=170&amp;Pep=FELSGIPPAPR&amp;Dta=/var/www/html/dta/yong/23613.13423.2.dta&amp;Global_Mod=CS57.0215", "13423")</f>
        <v>13423</v>
      </c>
      <c r="N1279" s="5">
        <v>55.88</v>
      </c>
      <c r="O1279" s="5">
        <v>55.47</v>
      </c>
      <c r="P1279" s="5">
        <v>2.9460000000000002</v>
      </c>
      <c r="Q1279" s="5">
        <v>2.694</v>
      </c>
      <c r="R1279" s="5">
        <v>0.41220000000000001</v>
      </c>
      <c r="S1279" s="5">
        <v>0.55149999999999999</v>
      </c>
      <c r="T1279" s="5">
        <v>0.21060000000000001</v>
      </c>
      <c r="U1279" s="5">
        <v>0.2762</v>
      </c>
      <c r="V1279" s="4">
        <v>1</v>
      </c>
      <c r="W1279" s="4">
        <v>1</v>
      </c>
      <c r="X1279" s="5">
        <v>1.9</v>
      </c>
      <c r="Y1279" s="5">
        <v>2.15</v>
      </c>
      <c r="Z1279" s="6">
        <v>1000</v>
      </c>
      <c r="AA1279" s="6">
        <v>1000</v>
      </c>
      <c r="AB1279" s="4" t="s">
        <v>13</v>
      </c>
    </row>
    <row r="1280" spans="1:28">
      <c r="A1280" s="3" t="s">
        <v>153</v>
      </c>
      <c r="B1280" s="24" t="s">
        <v>2049</v>
      </c>
      <c r="C1280" s="26" t="s">
        <v>2050</v>
      </c>
      <c r="D1280" s="4">
        <v>469</v>
      </c>
      <c r="E1280" s="3" t="s">
        <v>158</v>
      </c>
      <c r="F1280" s="3" t="s">
        <v>2051</v>
      </c>
      <c r="G1280" s="4">
        <v>70</v>
      </c>
      <c r="H1280" s="3" t="s">
        <v>2052</v>
      </c>
      <c r="I1280" s="3" t="s">
        <v>159</v>
      </c>
      <c r="J1280" s="4">
        <v>2</v>
      </c>
      <c r="K1280" s="4">
        <v>599.33500000000004</v>
      </c>
      <c r="L1280" s="4" t="str">
        <f>HYPERLINK("http://ms.phosphosite.org:5080/cgi-bin/plot-msms.cgi?MassType=1&amp;NumAxis=1&amp;Mod11=170&amp;Pep=FELSGIPPAPR&amp;Dta=/var/www/html/dta/yong/23612.12571.2.dta&amp;Global_Mod=CS57.0215", "12571")</f>
        <v>12571</v>
      </c>
      <c r="M1280" s="4" t="str">
        <f>HYPERLINK("http://ms.phosphosite.org:5080/cgi-bin/plot-msms.cgi?MassType=1&amp;NumAxis=1&amp;Mod11=170&amp;Pep=FELSGIPPAPR&amp;Dta=/var/www/html/dta/yong/23613.12471.2.dta&amp;Global_Mod=CS57.0215", "12471")</f>
        <v>12471</v>
      </c>
      <c r="N1280" s="5">
        <v>52.79</v>
      </c>
      <c r="O1280" s="5">
        <v>52.08</v>
      </c>
      <c r="P1280" s="5">
        <v>2.8460000000000001</v>
      </c>
      <c r="Q1280" s="5">
        <v>3.1120000000000001</v>
      </c>
      <c r="R1280" s="5">
        <v>0.25840000000000002</v>
      </c>
      <c r="S1280" s="5">
        <v>9.7199999999999995E-2</v>
      </c>
      <c r="T1280" s="5">
        <v>0.17560000000000001</v>
      </c>
      <c r="U1280" s="5">
        <v>0.21099999999999999</v>
      </c>
      <c r="V1280" s="4">
        <v>1</v>
      </c>
      <c r="W1280" s="4">
        <v>1</v>
      </c>
      <c r="X1280" s="5">
        <v>1.7</v>
      </c>
      <c r="Y1280" s="5">
        <v>1.9</v>
      </c>
      <c r="Z1280" s="6">
        <v>1000</v>
      </c>
      <c r="AA1280" s="6">
        <v>1000</v>
      </c>
      <c r="AB1280" s="4" t="s">
        <v>13</v>
      </c>
    </row>
    <row r="1281" spans="1:28">
      <c r="A1281" s="3" t="s">
        <v>153</v>
      </c>
      <c r="B1281" s="24" t="s">
        <v>2049</v>
      </c>
      <c r="C1281" s="26" t="s">
        <v>2050</v>
      </c>
      <c r="D1281" s="4">
        <v>469</v>
      </c>
      <c r="E1281" s="3" t="s">
        <v>158</v>
      </c>
      <c r="F1281" s="3" t="s">
        <v>2051</v>
      </c>
      <c r="G1281" s="4">
        <v>70</v>
      </c>
      <c r="H1281" s="3" t="s">
        <v>2052</v>
      </c>
      <c r="I1281" s="3" t="s">
        <v>159</v>
      </c>
      <c r="J1281" s="4">
        <v>2</v>
      </c>
      <c r="K1281" s="4">
        <v>599.33500000000004</v>
      </c>
      <c r="L1281" s="4" t="str">
        <f>HYPERLINK("http://ms.phosphosite.org:5080/cgi-bin/plot-msms.cgi?MassType=1&amp;NumAxis=1&amp;Mod11=170&amp;Pep=FELSGIPPAPR&amp;Dta=/var/www/html/dta/yong/23612.12383.2.dta&amp;Global_Mod=CS57.0215", "12383")</f>
        <v>12383</v>
      </c>
      <c r="M1281" s="4" t="str">
        <f>HYPERLINK("http://ms.phosphosite.org:5080/cgi-bin/plot-msms.cgi?MassType=1&amp;NumAxis=1&amp;Mod11=170&amp;Pep=FELSGIPPAPR&amp;Dta=/var/www/html/dta/yong/23613.12681.2.dta&amp;Global_Mod=CS57.0215", "12681")</f>
        <v>12681</v>
      </c>
      <c r="N1281" s="5">
        <v>52.08</v>
      </c>
      <c r="O1281" s="5">
        <v>52.83</v>
      </c>
      <c r="P1281" s="5">
        <v>2.9950000000000001</v>
      </c>
      <c r="Q1281" s="5">
        <v>2.9929999999999999</v>
      </c>
      <c r="R1281" s="5">
        <v>-0.19009999999999999</v>
      </c>
      <c r="S1281" s="5">
        <v>0.26829999999999998</v>
      </c>
      <c r="T1281" s="5">
        <v>0.23139999999999999</v>
      </c>
      <c r="U1281" s="5">
        <v>0.1958</v>
      </c>
      <c r="V1281" s="4">
        <v>1</v>
      </c>
      <c r="W1281" s="4">
        <v>1</v>
      </c>
      <c r="X1281" s="5">
        <v>1.99</v>
      </c>
      <c r="Y1281" s="5">
        <v>1.81</v>
      </c>
      <c r="Z1281" s="6">
        <v>1000</v>
      </c>
      <c r="AA1281" s="6">
        <v>1000</v>
      </c>
      <c r="AB1281" s="4" t="s">
        <v>13</v>
      </c>
    </row>
    <row r="1282" spans="1:28">
      <c r="A1282" s="3" t="s">
        <v>153</v>
      </c>
      <c r="B1282" s="24" t="s">
        <v>2049</v>
      </c>
      <c r="C1282" s="26" t="s">
        <v>2050</v>
      </c>
      <c r="D1282" s="4">
        <v>469</v>
      </c>
      <c r="E1282" s="3" t="s">
        <v>158</v>
      </c>
      <c r="F1282" s="3" t="s">
        <v>2051</v>
      </c>
      <c r="G1282" s="4">
        <v>70</v>
      </c>
      <c r="H1282" s="3" t="s">
        <v>2052</v>
      </c>
      <c r="I1282" s="3" t="s">
        <v>159</v>
      </c>
      <c r="J1282" s="4">
        <v>2</v>
      </c>
      <c r="K1282" s="4">
        <v>599.33500000000004</v>
      </c>
      <c r="L1282" s="4" t="str">
        <f>HYPERLINK("http://ms.phosphosite.org:5080/cgi-bin/plot-msms.cgi?MassType=1&amp;NumAxis=1&amp;Mod11=170&amp;Pep=FELSGIPPAPR&amp;Dta=/var/www/html/dta/yong/23612.12803.2.dta&amp;Global_Mod=CS57.0215", "12803")</f>
        <v>12803</v>
      </c>
      <c r="M1282" s="4" t="str">
        <f>HYPERLINK("http://ms.phosphosite.org:5080/cgi-bin/plot-msms.cgi?MassType=1&amp;NumAxis=1&amp;Mod11=170&amp;Pep=FELSGIPPAPR&amp;Dta=/var/www/html/dta/yong/23613.13102.2.dta&amp;Global_Mod=CS57.0215", "13102")</f>
        <v>13102</v>
      </c>
      <c r="N1282" s="5">
        <v>53.56</v>
      </c>
      <c r="O1282" s="5">
        <v>54.27</v>
      </c>
      <c r="P1282" s="5">
        <v>2.637</v>
      </c>
      <c r="Q1282" s="5">
        <v>2.8759999999999999</v>
      </c>
      <c r="R1282" s="5">
        <v>0.53810000000000002</v>
      </c>
      <c r="S1282" s="5">
        <v>0.4909</v>
      </c>
      <c r="T1282" s="5">
        <v>0.1749</v>
      </c>
      <c r="U1282" s="5">
        <v>0.2087</v>
      </c>
      <c r="V1282" s="4">
        <v>1</v>
      </c>
      <c r="W1282" s="4">
        <v>1</v>
      </c>
      <c r="X1282" s="5">
        <v>1.66</v>
      </c>
      <c r="Y1282" s="5">
        <v>1.86</v>
      </c>
      <c r="Z1282" s="6">
        <v>1000</v>
      </c>
      <c r="AA1282" s="6">
        <v>1000</v>
      </c>
      <c r="AB1282" s="4" t="s">
        <v>13</v>
      </c>
    </row>
    <row r="1283" spans="1:28">
      <c r="A1283" s="3" t="s">
        <v>153</v>
      </c>
      <c r="B1283" s="24" t="s">
        <v>2053</v>
      </c>
      <c r="C1283" t="s">
        <v>2054</v>
      </c>
      <c r="D1283" s="4">
        <v>469</v>
      </c>
      <c r="E1283" s="3" t="s">
        <v>2055</v>
      </c>
      <c r="F1283" s="3" t="s">
        <v>2056</v>
      </c>
      <c r="G1283" s="4">
        <v>70.900000000000006</v>
      </c>
      <c r="H1283" s="3" t="s">
        <v>2057</v>
      </c>
      <c r="I1283" s="3" t="s">
        <v>2058</v>
      </c>
      <c r="J1283" s="4">
        <v>2</v>
      </c>
      <c r="K1283" s="4">
        <v>606.34280000000001</v>
      </c>
      <c r="L1283" s="4" t="str">
        <f>HYPERLINK("http://ms.phosphosite.org:5080/cgi-bin/plot-msms.cgi?MassType=1&amp;NumAxis=1&amp;Mod11=170&amp;Pep=FELTGIPPAPR&amp;Dta=/var/www/html/dta/yong/23612.12825.2.dta&amp;Global_Mod=CS57.0215", "12825")</f>
        <v>12825</v>
      </c>
      <c r="M1283" s="4" t="str">
        <f>HYPERLINK("http://ms.phosphosite.org:5080/cgi-bin/plot-msms.cgi?MassType=1&amp;NumAxis=1&amp;Mod11=170&amp;Pep=FELTGIPPAPR&amp;Dta=/var/www/html/dta/yong/23613.14377.2.dta&amp;Global_Mod=CS57.0215", "14377")</f>
        <v>14377</v>
      </c>
      <c r="N1283" s="5">
        <v>53.64</v>
      </c>
      <c r="O1283" s="5">
        <v>58.96</v>
      </c>
      <c r="P1283" s="5">
        <v>3.0139999999999998</v>
      </c>
      <c r="Q1283" s="5">
        <v>2.3359999999999999</v>
      </c>
      <c r="R1283" s="5">
        <v>0.53210000000000002</v>
      </c>
      <c r="S1283" s="5">
        <v>0.59770000000000001</v>
      </c>
      <c r="T1283" s="5">
        <v>0.43580000000000002</v>
      </c>
      <c r="U1283" s="5">
        <v>8.4599999999999995E-2</v>
      </c>
      <c r="V1283" s="4">
        <v>1</v>
      </c>
      <c r="W1283" s="4">
        <v>6</v>
      </c>
      <c r="X1283" s="5">
        <v>2.88</v>
      </c>
      <c r="Y1283" s="5">
        <v>0.99</v>
      </c>
      <c r="Z1283" s="6">
        <v>1000</v>
      </c>
      <c r="AA1283" s="6">
        <v>1000</v>
      </c>
      <c r="AB1283" s="4" t="s">
        <v>13</v>
      </c>
    </row>
    <row r="1284" spans="1:28">
      <c r="A1284" s="3" t="s">
        <v>153</v>
      </c>
      <c r="B1284" s="24" t="s">
        <v>2053</v>
      </c>
      <c r="C1284" t="s">
        <v>2054</v>
      </c>
      <c r="D1284" s="4">
        <v>469</v>
      </c>
      <c r="E1284" s="3" t="s">
        <v>2055</v>
      </c>
      <c r="F1284" s="3" t="s">
        <v>2056</v>
      </c>
      <c r="G1284" s="4">
        <v>70.900000000000006</v>
      </c>
      <c r="H1284" s="3" t="s">
        <v>2057</v>
      </c>
      <c r="I1284" s="3" t="s">
        <v>2058</v>
      </c>
      <c r="J1284" s="4">
        <v>2</v>
      </c>
      <c r="K1284" s="4">
        <v>606.34280000000001</v>
      </c>
      <c r="L1284" s="4" t="str">
        <f>HYPERLINK("http://ms.phosphosite.org:5080/cgi-bin/plot-msms.cgi?MassType=1&amp;NumAxis=1&amp;Mod11=170&amp;Pep=FELTGIPPAPR&amp;Dta=/var/www/html/dta/yong/23612.13202.2.dta&amp;Global_Mod=CS57.0215", "13202")</f>
        <v>13202</v>
      </c>
      <c r="M1284" s="4" t="str">
        <f>HYPERLINK("http://ms.phosphosite.org:5080/cgi-bin/plot-msms.cgi?MassType=1&amp;NumAxis=1&amp;Mod11=170&amp;Pep=FELTGIPPAPR&amp;Dta=/var/www/html/dta/yong/23613.13145.2.dta&amp;Global_Mod=CS57.0215", "13145")</f>
        <v>13145</v>
      </c>
      <c r="N1284" s="5">
        <v>55.04</v>
      </c>
      <c r="O1284" s="5">
        <v>54.44</v>
      </c>
      <c r="P1284" s="5">
        <v>2.99</v>
      </c>
      <c r="Q1284" s="5">
        <v>3.198</v>
      </c>
      <c r="R1284" s="5">
        <v>0.5444</v>
      </c>
      <c r="S1284" s="5">
        <v>0.46189999999999998</v>
      </c>
      <c r="T1284" s="5">
        <v>0.41320000000000001</v>
      </c>
      <c r="U1284" s="5">
        <v>0.39360000000000001</v>
      </c>
      <c r="V1284" s="4">
        <v>1</v>
      </c>
      <c r="W1284" s="4">
        <v>1</v>
      </c>
      <c r="X1284" s="5">
        <v>2.76</v>
      </c>
      <c r="Y1284" s="5">
        <v>2.7</v>
      </c>
      <c r="Z1284" s="6">
        <v>1000</v>
      </c>
      <c r="AA1284" s="6">
        <v>1000</v>
      </c>
      <c r="AB1284" s="4" t="s">
        <v>13</v>
      </c>
    </row>
    <row r="1285" spans="1:28">
      <c r="A1285" s="3" t="s">
        <v>153</v>
      </c>
      <c r="B1285" s="24" t="s">
        <v>2053</v>
      </c>
      <c r="C1285" t="s">
        <v>2054</v>
      </c>
      <c r="D1285" s="4">
        <v>469</v>
      </c>
      <c r="E1285" s="3" t="s">
        <v>2055</v>
      </c>
      <c r="F1285" s="3" t="s">
        <v>2056</v>
      </c>
      <c r="G1285" s="4">
        <v>70.900000000000006</v>
      </c>
      <c r="H1285" s="3" t="s">
        <v>2057</v>
      </c>
      <c r="I1285" s="3" t="s">
        <v>2058</v>
      </c>
      <c r="J1285" s="4">
        <v>2</v>
      </c>
      <c r="K1285" s="4">
        <v>606.34280000000001</v>
      </c>
      <c r="L1285" s="4" t="str">
        <f>HYPERLINK("http://ms.phosphosite.org:5080/cgi-bin/plot-msms.cgi?MassType=1&amp;NumAxis=1&amp;Mod11=170&amp;Pep=FELTGIPPAPR&amp;Dta=/var/www/html/dta/yong/23612.13863.2.dta&amp;Global_Mod=CS57.0215", "13863")</f>
        <v>13863</v>
      </c>
      <c r="M1285" s="4" t="str">
        <f>HYPERLINK("http://ms.phosphosite.org:5080/cgi-bin/plot-msms.cgi?MassType=1&amp;NumAxis=1&amp;Mod11=170&amp;Pep=FELTGIPPAPR&amp;Dta=/var/www/html/dta/yong/23613.13356.2.dta&amp;Global_Mod=CS57.0215", "13356")</f>
        <v>13356</v>
      </c>
      <c r="N1285" s="5">
        <v>57.41</v>
      </c>
      <c r="O1285" s="5">
        <v>55.26</v>
      </c>
      <c r="P1285" s="5">
        <v>2.6989999999999998</v>
      </c>
      <c r="Q1285" s="5">
        <v>2.9239999999999999</v>
      </c>
      <c r="R1285" s="5">
        <v>0.55659999999999998</v>
      </c>
      <c r="S1285" s="5">
        <v>0.57540000000000002</v>
      </c>
      <c r="T1285" s="5">
        <v>0.33539999999999998</v>
      </c>
      <c r="U1285" s="5">
        <v>0.42799999999999999</v>
      </c>
      <c r="V1285" s="4">
        <v>1</v>
      </c>
      <c r="W1285" s="4">
        <v>1</v>
      </c>
      <c r="X1285" s="5">
        <v>2.3199999999999998</v>
      </c>
      <c r="Y1285" s="5">
        <v>2.81</v>
      </c>
      <c r="Z1285" s="6">
        <v>1000</v>
      </c>
      <c r="AA1285" s="6">
        <v>1000</v>
      </c>
      <c r="AB1285" s="4" t="s">
        <v>13</v>
      </c>
    </row>
    <row r="1286" spans="1:28">
      <c r="A1286" s="3" t="s">
        <v>153</v>
      </c>
      <c r="B1286" s="24" t="s">
        <v>2053</v>
      </c>
      <c r="C1286" t="s">
        <v>2054</v>
      </c>
      <c r="D1286" s="4">
        <v>469</v>
      </c>
      <c r="E1286" s="3" t="s">
        <v>2055</v>
      </c>
      <c r="F1286" s="3" t="s">
        <v>2056</v>
      </c>
      <c r="G1286" s="4">
        <v>70.900000000000006</v>
      </c>
      <c r="H1286" s="3" t="s">
        <v>2057</v>
      </c>
      <c r="I1286" s="3" t="s">
        <v>2058</v>
      </c>
      <c r="J1286" s="4">
        <v>2</v>
      </c>
      <c r="K1286" s="4">
        <v>606.34280000000001</v>
      </c>
      <c r="L1286" s="4" t="str">
        <f>HYPERLINK("http://ms.phosphosite.org:5080/cgi-bin/plot-msms.cgi?MassType=1&amp;NumAxis=1&amp;Mod11=170&amp;Pep=FELTGIPPAPR&amp;Dta=/var/www/html/dta/yong/23612.13012.2.dta&amp;Global_Mod=CS57.0215", "13012")</f>
        <v>13012</v>
      </c>
      <c r="M1286" s="4" t="str">
        <f>HYPERLINK("http://ms.phosphosite.org:5080/cgi-bin/plot-msms.cgi?MassType=1&amp;NumAxis=1&amp;Mod11=170&amp;Pep=FELTGIPPAPR&amp;Dta=/var/www/html/dta/yong/23613.14022.2.dta&amp;Global_Mod=CS57.0215", "14022")</f>
        <v>14022</v>
      </c>
      <c r="N1286" s="5">
        <v>54.31</v>
      </c>
      <c r="O1286" s="5">
        <v>57.6</v>
      </c>
      <c r="P1286" s="5">
        <v>3.0310000000000001</v>
      </c>
      <c r="Q1286" s="5">
        <v>2.343</v>
      </c>
      <c r="R1286" s="5">
        <v>0.48609999999999998</v>
      </c>
      <c r="S1286" s="5">
        <v>0.51539999999999997</v>
      </c>
      <c r="T1286" s="5">
        <v>0.38729999999999998</v>
      </c>
      <c r="U1286" s="5">
        <v>0.15429999999999999</v>
      </c>
      <c r="V1286" s="4">
        <v>1</v>
      </c>
      <c r="W1286" s="4">
        <v>1</v>
      </c>
      <c r="X1286" s="5">
        <v>2.64</v>
      </c>
      <c r="Y1286" s="5">
        <v>1.35</v>
      </c>
      <c r="Z1286" s="6">
        <v>1000</v>
      </c>
      <c r="AA1286" s="6">
        <v>1000</v>
      </c>
      <c r="AB1286" s="4" t="s">
        <v>13</v>
      </c>
    </row>
    <row r="1287" spans="1:28">
      <c r="A1287" s="3" t="s">
        <v>153</v>
      </c>
      <c r="B1287" s="24" t="s">
        <v>2053</v>
      </c>
      <c r="C1287" t="s">
        <v>2054</v>
      </c>
      <c r="D1287" s="4">
        <v>469</v>
      </c>
      <c r="E1287" s="3" t="s">
        <v>2055</v>
      </c>
      <c r="F1287" s="3" t="s">
        <v>2056</v>
      </c>
      <c r="G1287" s="4">
        <v>70.900000000000006</v>
      </c>
      <c r="H1287" s="3" t="s">
        <v>2057</v>
      </c>
      <c r="I1287" s="3" t="s">
        <v>2058</v>
      </c>
      <c r="J1287" s="4">
        <v>2</v>
      </c>
      <c r="K1287" s="4">
        <v>606.34280000000001</v>
      </c>
      <c r="L1287" s="4" t="str">
        <f>HYPERLINK("http://ms.phosphosite.org:5080/cgi-bin/plot-msms.cgi?MassType=1&amp;NumAxis=1&amp;Mod11=170&amp;Pep=FELTGIPPAPR&amp;Dta=/var/www/html/dta/yong/23612.13666.2.dta&amp;Global_Mod=CS57.0215", "13666")</f>
        <v>13666</v>
      </c>
      <c r="M1287" s="4" t="str">
        <f>HYPERLINK("http://ms.phosphosite.org:5080/cgi-bin/plot-msms.cgi?MassType=1&amp;NumAxis=1&amp;Mod11=170&amp;Pep=FELTGIPPAPR&amp;Dta=/var/www/html/dta/yong/23613.13783.2.dta&amp;Global_Mod=CS57.0215", "13783")</f>
        <v>13783</v>
      </c>
      <c r="N1287" s="5">
        <v>56.67</v>
      </c>
      <c r="O1287" s="5">
        <v>56.72</v>
      </c>
      <c r="P1287" s="5">
        <v>2.8719999999999999</v>
      </c>
      <c r="Q1287" s="5">
        <v>2.996</v>
      </c>
      <c r="R1287" s="5">
        <v>0.70520000000000005</v>
      </c>
      <c r="S1287" s="5">
        <v>0.72360000000000002</v>
      </c>
      <c r="T1287" s="5">
        <v>0.33660000000000001</v>
      </c>
      <c r="U1287" s="5">
        <v>0.37180000000000002</v>
      </c>
      <c r="V1287" s="4">
        <v>2</v>
      </c>
      <c r="W1287" s="4">
        <v>1</v>
      </c>
      <c r="X1287" s="5">
        <v>2.35</v>
      </c>
      <c r="Y1287" s="5">
        <v>2.54</v>
      </c>
      <c r="Z1287" s="6">
        <v>1000</v>
      </c>
      <c r="AA1287" s="6">
        <v>1000</v>
      </c>
      <c r="AB1287" s="4" t="s">
        <v>13</v>
      </c>
    </row>
    <row r="1288" spans="1:28">
      <c r="A1288" s="3" t="s">
        <v>153</v>
      </c>
      <c r="B1288" s="24" t="s">
        <v>2053</v>
      </c>
      <c r="C1288" t="s">
        <v>2054</v>
      </c>
      <c r="D1288" s="4">
        <v>469</v>
      </c>
      <c r="E1288" s="3" t="s">
        <v>2055</v>
      </c>
      <c r="F1288" s="3" t="s">
        <v>2056</v>
      </c>
      <c r="G1288" s="4">
        <v>70.900000000000006</v>
      </c>
      <c r="H1288" s="3" t="s">
        <v>2057</v>
      </c>
      <c r="I1288" s="3" t="s">
        <v>2058</v>
      </c>
      <c r="J1288" s="4">
        <v>2</v>
      </c>
      <c r="K1288" s="4">
        <v>606.34280000000001</v>
      </c>
      <c r="L1288" s="4" t="str">
        <f>HYPERLINK("http://ms.phosphosite.org:5080/cgi-bin/plot-msms.cgi?MassType=1&amp;NumAxis=1&amp;Mod11=170&amp;Pep=FELTGIPPAPR&amp;Dta=/var/www/html/dta/yong/23612.13472.2.dta&amp;Global_Mod=CS57.0215", "13472")</f>
        <v>13472</v>
      </c>
      <c r="M1288" s="4" t="str">
        <f>HYPERLINK("http://ms.phosphosite.org:5080/cgi-bin/plot-msms.cgi?MassType=1&amp;NumAxis=1&amp;Mod11=170&amp;Pep=FELTGIPPAPR&amp;Dta=/var/www/html/dta/yong/23613.13571.2.dta&amp;Global_Mod=CS57.0215", "13571")</f>
        <v>13571</v>
      </c>
      <c r="N1288" s="5">
        <v>55.97</v>
      </c>
      <c r="O1288" s="5">
        <v>56</v>
      </c>
      <c r="P1288" s="5">
        <v>2.8479999999999999</v>
      </c>
      <c r="Q1288" s="5">
        <v>2.6760000000000002</v>
      </c>
      <c r="R1288" s="5">
        <v>0.54579999999999995</v>
      </c>
      <c r="S1288" s="5">
        <v>0.5746</v>
      </c>
      <c r="T1288" s="5">
        <v>0.32450000000000001</v>
      </c>
      <c r="U1288" s="5">
        <v>0.4199</v>
      </c>
      <c r="V1288" s="4">
        <v>2</v>
      </c>
      <c r="W1288" s="4">
        <v>1</v>
      </c>
      <c r="X1288" s="5">
        <v>2.29</v>
      </c>
      <c r="Y1288" s="5">
        <v>2.72</v>
      </c>
      <c r="Z1288" s="6">
        <v>1000</v>
      </c>
      <c r="AA1288" s="6">
        <v>1000</v>
      </c>
      <c r="AB1288" s="4" t="s">
        <v>13</v>
      </c>
    </row>
    <row r="1289" spans="1:28">
      <c r="A1289" s="3" t="s">
        <v>153</v>
      </c>
      <c r="B1289" s="24" t="s">
        <v>2053</v>
      </c>
      <c r="C1289" t="s">
        <v>2054</v>
      </c>
      <c r="D1289" s="4">
        <v>469</v>
      </c>
      <c r="E1289" s="3" t="s">
        <v>2055</v>
      </c>
      <c r="F1289" s="3" t="s">
        <v>2056</v>
      </c>
      <c r="G1289" s="4">
        <v>70.900000000000006</v>
      </c>
      <c r="H1289" s="3" t="s">
        <v>2057</v>
      </c>
      <c r="I1289" s="3" t="s">
        <v>2058</v>
      </c>
      <c r="J1289" s="4">
        <v>2</v>
      </c>
      <c r="K1289" s="4">
        <v>606.34280000000001</v>
      </c>
      <c r="L1289" s="4" t="str">
        <f>HYPERLINK("http://ms.phosphosite.org:5080/cgi-bin/plot-msms.cgi?MassType=1&amp;NumAxis=1&amp;Mod11=170&amp;Pep=FELTGIPPAPR&amp;Dta=/var/www/html/dta/yong/23612.14051.2.dta&amp;Global_Mod=CS57.0215", "14051")</f>
        <v>14051</v>
      </c>
      <c r="M1289" s="4" t="str">
        <f>HYPERLINK("http://ms.phosphosite.org:5080/cgi-bin/plot-msms.cgi?MassType=1&amp;NumAxis=1&amp;Mod11=170&amp;Pep=FELTGIPPAPR&amp;Dta=/var/www/html/dta/yong/23613.12934.2.dta&amp;Global_Mod=CS57.0215", "12934")</f>
        <v>12934</v>
      </c>
      <c r="N1289" s="5">
        <v>58.09</v>
      </c>
      <c r="O1289" s="5">
        <v>53.7</v>
      </c>
      <c r="P1289" s="5">
        <v>2.992</v>
      </c>
      <c r="Q1289" s="5">
        <v>2.9020000000000001</v>
      </c>
      <c r="R1289" s="5">
        <v>0.68520000000000003</v>
      </c>
      <c r="S1289" s="5">
        <v>0.5615</v>
      </c>
      <c r="T1289" s="5">
        <v>0.39810000000000001</v>
      </c>
      <c r="U1289" s="5">
        <v>0.38150000000000001</v>
      </c>
      <c r="V1289" s="4">
        <v>1</v>
      </c>
      <c r="W1289" s="4">
        <v>1</v>
      </c>
      <c r="X1289" s="5">
        <v>2.68</v>
      </c>
      <c r="Y1289" s="5">
        <v>2.58</v>
      </c>
      <c r="Z1289" s="6">
        <v>1000</v>
      </c>
      <c r="AA1289" s="6">
        <v>1000</v>
      </c>
      <c r="AB1289" s="4" t="s">
        <v>13</v>
      </c>
    </row>
    <row r="1290" spans="1:28">
      <c r="A1290" s="3" t="s">
        <v>153</v>
      </c>
      <c r="B1290" s="24" t="s">
        <v>2059</v>
      </c>
      <c r="C1290" t="s">
        <v>2060</v>
      </c>
      <c r="D1290" s="4">
        <v>12</v>
      </c>
      <c r="E1290" s="3" t="s">
        <v>2061</v>
      </c>
      <c r="F1290" s="3" t="s">
        <v>2062</v>
      </c>
      <c r="G1290" s="4">
        <v>22.8</v>
      </c>
      <c r="H1290" s="3" t="s">
        <v>2063</v>
      </c>
      <c r="I1290" s="3" t="s">
        <v>2064</v>
      </c>
      <c r="J1290" s="4">
        <v>3</v>
      </c>
      <c r="K1290" s="4">
        <v>531.28420000000006</v>
      </c>
      <c r="L1290" s="4" t="str">
        <f>HYPERLINK("http://ms.phosphosite.org:5080/cgi-bin/plot-msms.cgi?MassType=1&amp;NumAxis=1&amp;Mod5=170&amp;Pep=FSLLRGPSWDPFR&amp;Dta=/var/www/html/dta/yong/23612.17452.3.dta&amp;Global_Mod=CS57.0215", "17452")</f>
        <v>17452</v>
      </c>
      <c r="M1290" s="4"/>
      <c r="N1290" s="5">
        <v>71.739999999999995</v>
      </c>
      <c r="O1290" s="5"/>
      <c r="P1290" s="5">
        <v>2.9260000000000002</v>
      </c>
      <c r="Q1290" s="5"/>
      <c r="R1290" s="5">
        <v>0.55449999999999999</v>
      </c>
      <c r="S1290" s="5"/>
      <c r="T1290" s="5">
        <v>0.31040000000000001</v>
      </c>
      <c r="U1290" s="5"/>
      <c r="V1290" s="4">
        <v>4</v>
      </c>
      <c r="W1290" s="4"/>
      <c r="X1290" s="5">
        <v>1.98</v>
      </c>
      <c r="Y1290" s="5"/>
      <c r="Z1290" s="6">
        <v>1000</v>
      </c>
      <c r="AA1290" s="6"/>
      <c r="AB1290" s="4" t="s">
        <v>13</v>
      </c>
    </row>
    <row r="1291" spans="1:28">
      <c r="A1291" s="3" t="s">
        <v>153</v>
      </c>
      <c r="B1291" s="24" t="s">
        <v>2059</v>
      </c>
      <c r="C1291" t="s">
        <v>2060</v>
      </c>
      <c r="D1291" s="4">
        <v>12</v>
      </c>
      <c r="E1291" s="3" t="s">
        <v>2061</v>
      </c>
      <c r="F1291" s="3" t="s">
        <v>2062</v>
      </c>
      <c r="G1291" s="4">
        <v>22.8</v>
      </c>
      <c r="H1291" s="3" t="s">
        <v>2063</v>
      </c>
      <c r="I1291" s="3" t="s">
        <v>2065</v>
      </c>
      <c r="J1291" s="4">
        <v>3</v>
      </c>
      <c r="K1291" s="4">
        <v>482.26139999999998</v>
      </c>
      <c r="L1291" s="4" t="str">
        <f>HYPERLINK("http://ms.phosphosite.org:5080/cgi-bin/plot-msms.cgi?MassType=1&amp;NumAxis=1&amp;Mod4=170&amp;Pep=SLLRGPSWDPFR&amp;Dta=/var/www/html/dta/yong/23612.14983.3.dta&amp;Global_Mod=CS57.0215", "14983")</f>
        <v>14983</v>
      </c>
      <c r="M1291" s="4"/>
      <c r="N1291" s="5">
        <v>61.61</v>
      </c>
      <c r="O1291" s="5"/>
      <c r="P1291" s="5">
        <v>3.476</v>
      </c>
      <c r="Q1291" s="5"/>
      <c r="R1291" s="5">
        <v>-0.33400000000000002</v>
      </c>
      <c r="S1291" s="5"/>
      <c r="T1291" s="5">
        <v>0.2747</v>
      </c>
      <c r="U1291" s="5"/>
      <c r="V1291" s="4">
        <v>3</v>
      </c>
      <c r="W1291" s="4"/>
      <c r="X1291" s="5">
        <v>1.89</v>
      </c>
      <c r="Y1291" s="5"/>
      <c r="Z1291" s="6">
        <v>1000</v>
      </c>
      <c r="AA1291" s="6"/>
      <c r="AB1291" s="4" t="s">
        <v>13</v>
      </c>
    </row>
    <row r="1292" spans="1:28">
      <c r="A1292" s="3" t="s">
        <v>153</v>
      </c>
      <c r="B1292" s="24" t="s">
        <v>2059</v>
      </c>
      <c r="C1292" t="s">
        <v>2060</v>
      </c>
      <c r="D1292" s="4">
        <v>12</v>
      </c>
      <c r="E1292" s="3" t="s">
        <v>2061</v>
      </c>
      <c r="F1292" s="3" t="s">
        <v>2062</v>
      </c>
      <c r="G1292" s="4">
        <v>22.8</v>
      </c>
      <c r="H1292" s="3" t="s">
        <v>2063</v>
      </c>
      <c r="I1292" s="3" t="s">
        <v>2066</v>
      </c>
      <c r="J1292" s="4">
        <v>3</v>
      </c>
      <c r="K1292" s="4">
        <v>596.65790000000004</v>
      </c>
      <c r="L1292" s="4" t="str">
        <f>HYPERLINK("http://ms.phosphosite.org:5080/cgi-bin/plot-msms.cgi?MassType=1&amp;NumAxis=1&amp;Mod7=170&amp;Pep=VPFSLLRGPSWDPFR&amp;Dta=/var/www/html/dta/yong/23612.18452.3.dta&amp;Global_Mod=CS57.0215", "18452")</f>
        <v>18452</v>
      </c>
      <c r="M1292" s="4" t="str">
        <f>HYPERLINK("http://ms.phosphosite.org:5080/cgi-bin/plot-msms.cgi?MassType=1&amp;NumAxis=1&amp;Mod7=170&amp;Pep=VPFSLLRGPSWDPFR&amp;Dta=/var/www/html/dta/yong/23613.18535.3.dta&amp;Global_Mod=CS57.0215", "18535")</f>
        <v>18535</v>
      </c>
      <c r="N1292" s="5">
        <v>76.19</v>
      </c>
      <c r="O1292" s="5">
        <v>76.13</v>
      </c>
      <c r="P1292" s="5">
        <v>2.641</v>
      </c>
      <c r="Q1292" s="5">
        <v>2.7810000000000001</v>
      </c>
      <c r="R1292" s="5">
        <v>0.27560000000000001</v>
      </c>
      <c r="S1292" s="5">
        <v>0.71950000000000003</v>
      </c>
      <c r="T1292" s="5">
        <v>0.31280000000000002</v>
      </c>
      <c r="U1292" s="5">
        <v>0.28160000000000002</v>
      </c>
      <c r="V1292" s="4">
        <v>1</v>
      </c>
      <c r="W1292" s="4">
        <v>1</v>
      </c>
      <c r="X1292" s="5">
        <v>1.92</v>
      </c>
      <c r="Y1292" s="5">
        <v>1.73</v>
      </c>
      <c r="Z1292" s="6">
        <v>1000</v>
      </c>
      <c r="AA1292" s="6">
        <v>1000</v>
      </c>
      <c r="AB1292" s="4" t="s">
        <v>13</v>
      </c>
    </row>
    <row r="1293" spans="1:28">
      <c r="A1293" s="3" t="s">
        <v>153</v>
      </c>
      <c r="B1293" s="24" t="s">
        <v>2059</v>
      </c>
      <c r="C1293" t="s">
        <v>2060</v>
      </c>
      <c r="D1293" s="4">
        <v>37</v>
      </c>
      <c r="E1293" s="3" t="s">
        <v>2061</v>
      </c>
      <c r="F1293" s="3" t="s">
        <v>2062</v>
      </c>
      <c r="G1293" s="4">
        <v>22.8</v>
      </c>
      <c r="H1293" s="3" t="s">
        <v>2067</v>
      </c>
      <c r="I1293" s="3" t="s">
        <v>2068</v>
      </c>
      <c r="J1293" s="4">
        <v>2</v>
      </c>
      <c r="K1293" s="4">
        <v>589.32190000000003</v>
      </c>
      <c r="L1293" s="4" t="str">
        <f>HYPERLINK("http://ms.phosphosite.org:5080/cgi-bin/plot-msms.cgi?MassType=1&amp;NumAxis=1&amp;Mod10=170&amp;Pep=LFDQAFGLPR&amp;Dta=/var/www/html/dta/yong/23612.15167.2.dta&amp;Global_Mod=CS57.0215", "15167")</f>
        <v>15167</v>
      </c>
      <c r="M1293" s="4" t="str">
        <f>HYPERLINK("http://ms.phosphosite.org:5080/cgi-bin/plot-msms.cgi?MassType=1&amp;NumAxis=1&amp;Mod10=170&amp;Pep=LFDQAFGLPR&amp;Dta=/var/www/html/dta/yong/23613.15244.2.dta&amp;Global_Mod=CS57.0215", "15244")</f>
        <v>15244</v>
      </c>
      <c r="N1293" s="5">
        <v>62.24</v>
      </c>
      <c r="O1293" s="5">
        <v>62.26</v>
      </c>
      <c r="P1293" s="5">
        <v>4.0090000000000003</v>
      </c>
      <c r="Q1293" s="5">
        <v>3.8159999999999998</v>
      </c>
      <c r="R1293" s="5">
        <v>0.46850000000000003</v>
      </c>
      <c r="S1293" s="5">
        <v>0.4461</v>
      </c>
      <c r="T1293" s="5">
        <v>0.41239999999999999</v>
      </c>
      <c r="U1293" s="5">
        <v>0.38019999999999998</v>
      </c>
      <c r="V1293" s="4">
        <v>1</v>
      </c>
      <c r="W1293" s="4">
        <v>1</v>
      </c>
      <c r="X1293" s="5">
        <v>2.86</v>
      </c>
      <c r="Y1293" s="5">
        <v>2.65</v>
      </c>
      <c r="Z1293" s="6">
        <v>1000</v>
      </c>
      <c r="AA1293" s="6">
        <v>1000</v>
      </c>
      <c r="AB1293" s="4" t="s">
        <v>13</v>
      </c>
    </row>
    <row r="1294" spans="1:28">
      <c r="A1294" s="3" t="s">
        <v>2069</v>
      </c>
      <c r="B1294" s="24" t="s">
        <v>2070</v>
      </c>
      <c r="C1294" t="s">
        <v>2071</v>
      </c>
      <c r="D1294" s="4">
        <v>213</v>
      </c>
      <c r="E1294" s="3" t="s">
        <v>2072</v>
      </c>
      <c r="F1294" s="3" t="s">
        <v>2073</v>
      </c>
      <c r="G1294" s="4">
        <v>74.2</v>
      </c>
      <c r="H1294" s="3" t="s">
        <v>2074</v>
      </c>
      <c r="I1294" s="3" t="s">
        <v>2075</v>
      </c>
      <c r="J1294" s="4">
        <v>3</v>
      </c>
      <c r="K1294" s="4">
        <v>755.42179999999996</v>
      </c>
      <c r="L1294" s="4"/>
      <c r="M1294" s="4" t="str">
        <f>HYPERLINK("http://ms.phosphosite.org:5080/cgi-bin/plot-msms.cgi?MassType=1&amp;NumAxis=1&amp;Mod23=170&amp;Pep=PSPAIPRGGFALSLLANAEAAAR&amp;Dta=/var/www/html/dta/yong/23613.22638.3.dta&amp;Global_Mod=CS57.0215", "22638")</f>
        <v>22638</v>
      </c>
      <c r="N1294" s="5"/>
      <c r="O1294" s="5">
        <v>95.98</v>
      </c>
      <c r="P1294" s="5"/>
      <c r="Q1294" s="5">
        <v>2.468</v>
      </c>
      <c r="R1294" s="5"/>
      <c r="S1294" s="5">
        <v>6.7934999999999999</v>
      </c>
      <c r="T1294" s="5"/>
      <c r="U1294" s="5">
        <v>0.19159999999999999</v>
      </c>
      <c r="V1294" s="4"/>
      <c r="W1294" s="4">
        <v>5</v>
      </c>
      <c r="X1294" s="5"/>
      <c r="Y1294" s="5">
        <v>0.77</v>
      </c>
      <c r="Z1294" s="6"/>
      <c r="AA1294" s="6">
        <v>1000</v>
      </c>
      <c r="AB1294" s="4" t="s">
        <v>13</v>
      </c>
    </row>
    <row r="1295" spans="1:28">
      <c r="A1295" s="3" t="s">
        <v>160</v>
      </c>
      <c r="B1295" s="24" t="s">
        <v>2076</v>
      </c>
      <c r="C1295" t="s">
        <v>2076</v>
      </c>
      <c r="D1295" s="4">
        <v>65</v>
      </c>
      <c r="E1295" s="3" t="s">
        <v>2077</v>
      </c>
      <c r="F1295" s="3" t="s">
        <v>2078</v>
      </c>
      <c r="G1295" s="4">
        <v>165.8</v>
      </c>
      <c r="H1295" s="3" t="s">
        <v>2079</v>
      </c>
      <c r="I1295" s="3" t="s">
        <v>2080</v>
      </c>
      <c r="J1295" s="4">
        <v>2</v>
      </c>
      <c r="K1295" s="4">
        <v>398.70100000000002</v>
      </c>
      <c r="L1295" s="4"/>
      <c r="M1295" s="4" t="str">
        <f>HYPERLINK("http://ms.phosphosite.org:5080/cgi-bin/plot-msms.cgi?MassType=1&amp;NumAxis=1&amp;Mod7=170&amp;Pep=VGSSNYR&amp;Dta=/var/www/html/dta/yong/23613.2936.2.dta&amp;Global_Mod=CS57.0215", "2936")</f>
        <v>2936</v>
      </c>
      <c r="N1295" s="5"/>
      <c r="O1295" s="5">
        <v>17.73</v>
      </c>
      <c r="P1295" s="5"/>
      <c r="Q1295" s="5">
        <v>1.73</v>
      </c>
      <c r="R1295" s="5"/>
      <c r="S1295" s="5">
        <v>0.24149999999999999</v>
      </c>
      <c r="T1295" s="5"/>
      <c r="U1295" s="5">
        <v>0.14430000000000001</v>
      </c>
      <c r="V1295" s="4"/>
      <c r="W1295" s="4">
        <v>6</v>
      </c>
      <c r="X1295" s="5"/>
      <c r="Y1295" s="5">
        <v>1.06</v>
      </c>
      <c r="Z1295" s="6"/>
      <c r="AA1295" s="6">
        <v>1000</v>
      </c>
      <c r="AB1295" s="4" t="s">
        <v>13</v>
      </c>
    </row>
    <row r="1296" spans="1:28">
      <c r="A1296" s="3" t="s">
        <v>160</v>
      </c>
      <c r="B1296" s="24" t="s">
        <v>2081</v>
      </c>
      <c r="C1296" t="s">
        <v>2082</v>
      </c>
      <c r="D1296" s="4">
        <v>37</v>
      </c>
      <c r="E1296" s="3" t="s">
        <v>2083</v>
      </c>
      <c r="F1296" s="3" t="s">
        <v>2084</v>
      </c>
      <c r="G1296" s="4">
        <v>53.5</v>
      </c>
      <c r="H1296" s="3" t="s">
        <v>2085</v>
      </c>
      <c r="I1296" s="3" t="s">
        <v>2086</v>
      </c>
      <c r="J1296" s="4">
        <v>2</v>
      </c>
      <c r="K1296" s="4">
        <v>1051.5571</v>
      </c>
      <c r="L1296" s="4" t="str">
        <f>HYPERLINK("http://ms.phosphosite.org:5080/cgi-bin/plot-msms.cgi?MassType=1&amp;NumAxis=1&amp;Mod21=170&amp;Pep=TFGGAPGFPLGSPLSSPVFPR&amp;Dta=/var/www/html/dta/yong/23612.19109.2.dta&amp;Global_Mod=CS57.0215", "19109")</f>
        <v>19109</v>
      </c>
      <c r="M1296" s="4" t="str">
        <f>HYPERLINK("http://ms.phosphosite.org:5080/cgi-bin/plot-msms.cgi?MassType=1&amp;NumAxis=1&amp;Mod21=170&amp;Pep=TFGGAPGFPLGSPLSSPVFPR&amp;Dta=/var/www/html/dta/yong/23613.19187.2.dta&amp;Global_Mod=CS57.0215", "19187")</f>
        <v>19187</v>
      </c>
      <c r="N1296" s="5">
        <v>79.25</v>
      </c>
      <c r="O1296" s="5">
        <v>79.180000000000007</v>
      </c>
      <c r="P1296" s="5">
        <v>4.4390000000000001</v>
      </c>
      <c r="Q1296" s="5">
        <v>4.1660000000000004</v>
      </c>
      <c r="R1296" s="5">
        <v>0.58399999999999996</v>
      </c>
      <c r="S1296" s="5">
        <v>1.0084</v>
      </c>
      <c r="T1296" s="5">
        <v>0.44669999999999999</v>
      </c>
      <c r="U1296" s="5">
        <v>0.4582</v>
      </c>
      <c r="V1296" s="4">
        <v>1</v>
      </c>
      <c r="W1296" s="4">
        <v>1</v>
      </c>
      <c r="X1296" s="5">
        <v>3</v>
      </c>
      <c r="Y1296" s="5">
        <v>2.99</v>
      </c>
      <c r="Z1296" s="6">
        <v>1000</v>
      </c>
      <c r="AA1296" s="6">
        <v>1000</v>
      </c>
      <c r="AB1296" s="4" t="s">
        <v>13</v>
      </c>
    </row>
    <row r="1297" spans="1:28">
      <c r="A1297" s="3" t="s">
        <v>160</v>
      </c>
      <c r="B1297" s="24" t="s">
        <v>2081</v>
      </c>
      <c r="C1297" t="s">
        <v>2082</v>
      </c>
      <c r="D1297" s="4">
        <v>37</v>
      </c>
      <c r="E1297" s="3" t="s">
        <v>2083</v>
      </c>
      <c r="F1297" s="3" t="s">
        <v>2084</v>
      </c>
      <c r="G1297" s="4">
        <v>53.5</v>
      </c>
      <c r="H1297" s="3" t="s">
        <v>2085</v>
      </c>
      <c r="I1297" s="3" t="s">
        <v>2086</v>
      </c>
      <c r="J1297" s="4">
        <v>2</v>
      </c>
      <c r="K1297" s="4">
        <v>1051.5571</v>
      </c>
      <c r="L1297" s="4" t="str">
        <f>HYPERLINK("http://ms.phosphosite.org:5080/cgi-bin/plot-msms.cgi?MassType=1&amp;NumAxis=1&amp;Mod21=170&amp;Pep=TFGGAPGFPLGSPLSSPVFPR&amp;Dta=/var/www/html/dta/yong/23612.19125.2.dta&amp;Global_Mod=CS57.0215", "19125")</f>
        <v>19125</v>
      </c>
      <c r="M1297" s="4" t="str">
        <f>HYPERLINK("http://ms.phosphosite.org:5080/cgi-bin/plot-msms.cgi?MassType=1&amp;NumAxis=1&amp;Mod21=170&amp;Pep=TFGGAPGFPLGSPLSSPVFPR&amp;Dta=/var/www/html/dta/yong/23613.19199.2.dta&amp;Global_Mod=CS57.0215", "19199")</f>
        <v>19199</v>
      </c>
      <c r="N1297" s="5">
        <v>79.33</v>
      </c>
      <c r="O1297" s="5">
        <v>79.239999999999995</v>
      </c>
      <c r="P1297" s="5">
        <v>4.282</v>
      </c>
      <c r="Q1297" s="5">
        <v>4.4550000000000001</v>
      </c>
      <c r="R1297" s="5">
        <v>0.58399999999999996</v>
      </c>
      <c r="S1297" s="5">
        <v>0.83630000000000004</v>
      </c>
      <c r="T1297" s="5">
        <v>0.50270000000000004</v>
      </c>
      <c r="U1297" s="5">
        <v>0.495</v>
      </c>
      <c r="V1297" s="4">
        <v>1</v>
      </c>
      <c r="W1297" s="4">
        <v>1</v>
      </c>
      <c r="X1297" s="5">
        <v>3.24</v>
      </c>
      <c r="Y1297" s="5">
        <v>3.24</v>
      </c>
      <c r="Z1297" s="6">
        <v>1000</v>
      </c>
      <c r="AA1297" s="6">
        <v>1000</v>
      </c>
      <c r="AB1297" s="4" t="s">
        <v>13</v>
      </c>
    </row>
    <row r="1298" spans="1:28">
      <c r="A1298" s="3" t="s">
        <v>160</v>
      </c>
      <c r="B1298" s="24" t="s">
        <v>2081</v>
      </c>
      <c r="C1298" t="s">
        <v>2082</v>
      </c>
      <c r="D1298" s="4">
        <v>37</v>
      </c>
      <c r="E1298" s="3" t="s">
        <v>2083</v>
      </c>
      <c r="F1298" s="3" t="s">
        <v>2084</v>
      </c>
      <c r="G1298" s="4">
        <v>53.5</v>
      </c>
      <c r="H1298" s="3" t="s">
        <v>2085</v>
      </c>
      <c r="I1298" s="3" t="s">
        <v>2086</v>
      </c>
      <c r="J1298" s="4">
        <v>3</v>
      </c>
      <c r="K1298" s="4">
        <v>701.37379999999996</v>
      </c>
      <c r="L1298" s="4" t="str">
        <f>HYPERLINK("http://ms.phosphosite.org:5080/cgi-bin/plot-msms.cgi?MassType=1&amp;NumAxis=1&amp;Mod21=170&amp;Pep=TFGGAPGFPLGSPLSSPVFPR&amp;Dta=/var/www/html/dta/yong/23612.19126.3.dta&amp;Global_Mod=CS57.0215", "19126")</f>
        <v>19126</v>
      </c>
      <c r="M1298" s="4" t="str">
        <f>HYPERLINK("http://ms.phosphosite.org:5080/cgi-bin/plot-msms.cgi?MassType=1&amp;NumAxis=1&amp;Mod21=170&amp;Pep=TFGGAPGFPLGSPLSSPVFPR&amp;Dta=/var/www/html/dta/yong/23613.19174.3.dta&amp;Global_Mod=CS57.0215", "19174")</f>
        <v>19174</v>
      </c>
      <c r="N1298" s="5">
        <v>79.34</v>
      </c>
      <c r="O1298" s="5">
        <v>79.12</v>
      </c>
      <c r="P1298" s="5">
        <v>4.9109999999999996</v>
      </c>
      <c r="Q1298" s="5">
        <v>4.5190000000000001</v>
      </c>
      <c r="R1298" s="5">
        <v>1.1870000000000001</v>
      </c>
      <c r="S1298" s="5">
        <v>0.75900000000000001</v>
      </c>
      <c r="T1298" s="5">
        <v>0.50470000000000004</v>
      </c>
      <c r="U1298" s="5">
        <v>0.38779999999999998</v>
      </c>
      <c r="V1298" s="4">
        <v>1</v>
      </c>
      <c r="W1298" s="4">
        <v>1</v>
      </c>
      <c r="X1298" s="5">
        <v>3.4</v>
      </c>
      <c r="Y1298" s="5">
        <v>2.77</v>
      </c>
      <c r="Z1298" s="6">
        <v>1000</v>
      </c>
      <c r="AA1298" s="6">
        <v>1000</v>
      </c>
      <c r="AB1298" s="4" t="s">
        <v>13</v>
      </c>
    </row>
    <row r="1299" spans="1:28">
      <c r="A1299" s="3" t="s">
        <v>160</v>
      </c>
      <c r="B1299" s="24" t="s">
        <v>2081</v>
      </c>
      <c r="C1299" t="s">
        <v>2082</v>
      </c>
      <c r="D1299" s="4">
        <v>37</v>
      </c>
      <c r="E1299" s="3" t="s">
        <v>2083</v>
      </c>
      <c r="F1299" s="3" t="s">
        <v>2084</v>
      </c>
      <c r="G1299" s="4">
        <v>53.5</v>
      </c>
      <c r="H1299" s="3" t="s">
        <v>2085</v>
      </c>
      <c r="I1299" s="3" t="s">
        <v>2086</v>
      </c>
      <c r="J1299" s="4">
        <v>3</v>
      </c>
      <c r="K1299" s="4">
        <v>701.37379999999996</v>
      </c>
      <c r="L1299" s="4"/>
      <c r="M1299" s="4" t="str">
        <f>HYPERLINK("http://ms.phosphosite.org:5080/cgi-bin/plot-msms.cgi?MassType=1&amp;NumAxis=1&amp;Mod21=170&amp;Pep=TFGGAPGFPLGSPLSSPVFPR&amp;Dta=/var/www/html/dta/yong/23613.19264.3.dta&amp;Global_Mod=CS57.0215", "19264")</f>
        <v>19264</v>
      </c>
      <c r="N1299" s="5"/>
      <c r="O1299" s="5">
        <v>79.55</v>
      </c>
      <c r="P1299" s="5"/>
      <c r="Q1299" s="5">
        <v>4.41</v>
      </c>
      <c r="R1299" s="5"/>
      <c r="S1299" s="5">
        <v>0.75900000000000001</v>
      </c>
      <c r="T1299" s="5"/>
      <c r="U1299" s="5">
        <v>0.43569999999999998</v>
      </c>
      <c r="V1299" s="4"/>
      <c r="W1299" s="4">
        <v>1</v>
      </c>
      <c r="X1299" s="5"/>
      <c r="Y1299" s="5">
        <v>2.98</v>
      </c>
      <c r="Z1299" s="6"/>
      <c r="AA1299" s="6">
        <v>1000</v>
      </c>
      <c r="AB1299" s="4" t="s">
        <v>13</v>
      </c>
    </row>
    <row r="1300" spans="1:28">
      <c r="A1300" s="3" t="s">
        <v>160</v>
      </c>
      <c r="B1300" s="24" t="s">
        <v>161</v>
      </c>
      <c r="C1300" t="s">
        <v>162</v>
      </c>
      <c r="D1300" s="4">
        <v>55</v>
      </c>
      <c r="E1300" s="3" t="s">
        <v>163</v>
      </c>
      <c r="F1300" s="3" t="s">
        <v>2087</v>
      </c>
      <c r="G1300" s="4">
        <v>48</v>
      </c>
      <c r="H1300" s="3" t="s">
        <v>2088</v>
      </c>
      <c r="I1300" s="3" t="s">
        <v>2089</v>
      </c>
      <c r="J1300" s="4">
        <v>3</v>
      </c>
      <c r="K1300" s="4">
        <v>870.7636</v>
      </c>
      <c r="L1300" s="4" t="str">
        <f>HYPERLINK("http://ms.phosphosite.org:5080/cgi-bin/plot-msms.cgi?MassType=1&amp;NumAxis=1&amp;Mod2=170&amp;Mod5=147&amp;Mod21=147&amp;Pep=FRGGMGSGGLATGIAGGLAGMGGIQNEK&amp;Dta=/var/www/html/dta/yong/23612.11276.3.dta&amp;Global_Mod=CS57.0215", "11276")</f>
        <v>11276</v>
      </c>
      <c r="M1300" s="4" t="str">
        <f>HYPERLINK("http://ms.phosphosite.org:5080/cgi-bin/plot-msms.cgi?MassType=1&amp;NumAxis=1&amp;Mod2=170&amp;Mod5=147&amp;Mod21=147&amp;Pep=FRGGMGSGGLATGIAGGLAGMGGIQNEK&amp;Dta=/var/www/html/dta/yong/23613.11350.3.dta&amp;Global_Mod=CS57.0215", "11350")</f>
        <v>11350</v>
      </c>
      <c r="N1300" s="5">
        <v>48.38</v>
      </c>
      <c r="O1300" s="5">
        <v>48.36</v>
      </c>
      <c r="P1300" s="5">
        <v>4.9950000000000001</v>
      </c>
      <c r="Q1300" s="5">
        <v>4.6420000000000003</v>
      </c>
      <c r="R1300" s="5">
        <v>1.4971000000000001</v>
      </c>
      <c r="S1300" s="5">
        <v>0.69469999999999998</v>
      </c>
      <c r="T1300" s="5">
        <v>0.30669999999999997</v>
      </c>
      <c r="U1300" s="5">
        <v>0.24740000000000001</v>
      </c>
      <c r="V1300" s="4">
        <v>1</v>
      </c>
      <c r="W1300" s="4">
        <v>1</v>
      </c>
      <c r="X1300" s="5">
        <v>2.82</v>
      </c>
      <c r="Y1300" s="5">
        <v>2.58</v>
      </c>
      <c r="Z1300" s="6">
        <v>1000</v>
      </c>
      <c r="AA1300" s="6">
        <v>1000</v>
      </c>
      <c r="AB1300" s="4" t="s">
        <v>13</v>
      </c>
    </row>
    <row r="1301" spans="1:28">
      <c r="A1301" s="3" t="s">
        <v>160</v>
      </c>
      <c r="B1301" s="24" t="s">
        <v>161</v>
      </c>
      <c r="C1301" t="s">
        <v>162</v>
      </c>
      <c r="D1301" s="4">
        <v>55</v>
      </c>
      <c r="E1301" s="3" t="s">
        <v>163</v>
      </c>
      <c r="F1301" s="3" t="s">
        <v>2087</v>
      </c>
      <c r="G1301" s="4">
        <v>48</v>
      </c>
      <c r="H1301" s="3" t="s">
        <v>2088</v>
      </c>
      <c r="I1301" s="3" t="s">
        <v>2090</v>
      </c>
      <c r="J1301" s="4">
        <v>3</v>
      </c>
      <c r="K1301" s="4">
        <v>821.74080000000004</v>
      </c>
      <c r="L1301" s="4" t="str">
        <f>HYPERLINK("http://ms.phosphosite.org:5080/cgi-bin/plot-msms.cgi?MassType=1&amp;NumAxis=1&amp;Mod1=170&amp;Mod4=147&amp;Mod20=147&amp;Pep=RGGMGSGGLATGIAGGLAGMGGIQNEK&amp;Dta=/var/www/html/dta/yong/23612.10434.3.dta&amp;Global_Mod=CS57.0215", "10434")</f>
        <v>10434</v>
      </c>
      <c r="M1301" s="4" t="str">
        <f>HYPERLINK("http://ms.phosphosite.org:5080/cgi-bin/plot-msms.cgi?MassType=1&amp;NumAxis=1&amp;Mod1=170&amp;Mod4=147&amp;Mod20=147&amp;Pep=RGGMGSGGLATGIAGGLAGMGGIQNEK&amp;Dta=/var/www/html/dta/yong/23613.10613.3.dta&amp;Global_Mod=CS57.0215", "10613")</f>
        <v>10613</v>
      </c>
      <c r="N1301" s="5">
        <v>45.48</v>
      </c>
      <c r="O1301" s="5">
        <v>45.87</v>
      </c>
      <c r="P1301" s="5">
        <v>4.7510000000000003</v>
      </c>
      <c r="Q1301" s="5">
        <v>4.5590000000000002</v>
      </c>
      <c r="R1301" s="5">
        <v>0.85660000000000003</v>
      </c>
      <c r="S1301" s="5">
        <v>0.71489999999999998</v>
      </c>
      <c r="T1301" s="5">
        <v>0.36880000000000002</v>
      </c>
      <c r="U1301" s="5">
        <v>0.33040000000000003</v>
      </c>
      <c r="V1301" s="4">
        <v>1</v>
      </c>
      <c r="W1301" s="4">
        <v>1</v>
      </c>
      <c r="X1301" s="5">
        <v>3.12</v>
      </c>
      <c r="Y1301" s="5">
        <v>2.99</v>
      </c>
      <c r="Z1301" s="6">
        <v>1000</v>
      </c>
      <c r="AA1301" s="6">
        <v>1000</v>
      </c>
      <c r="AB1301" s="4" t="s">
        <v>13</v>
      </c>
    </row>
    <row r="1302" spans="1:28">
      <c r="A1302" s="3" t="s">
        <v>160</v>
      </c>
      <c r="B1302" s="24" t="s">
        <v>161</v>
      </c>
      <c r="C1302" t="s">
        <v>162</v>
      </c>
      <c r="D1302" s="4">
        <v>55</v>
      </c>
      <c r="E1302" s="3" t="s">
        <v>163</v>
      </c>
      <c r="F1302" s="3" t="s">
        <v>2087</v>
      </c>
      <c r="G1302" s="4">
        <v>48</v>
      </c>
      <c r="H1302" s="3" t="s">
        <v>2088</v>
      </c>
      <c r="I1302" s="3" t="s">
        <v>2090</v>
      </c>
      <c r="J1302" s="4">
        <v>3</v>
      </c>
      <c r="K1302" s="4">
        <v>821.74080000000004</v>
      </c>
      <c r="L1302" s="4"/>
      <c r="M1302" s="4" t="str">
        <f>HYPERLINK("http://ms.phosphosite.org:5080/cgi-bin/plot-msms.cgi?MassType=1&amp;NumAxis=1&amp;Mod1=170&amp;Mod4=147&amp;Mod20=147&amp;Pep=RGGMGSGGLATGIAGGLAGMGGIQNEK&amp;Dta=/var/www/html/dta/yong/23613.10507.3.dta&amp;Global_Mod=CS57.0215", "10507")</f>
        <v>10507</v>
      </c>
      <c r="N1302" s="5"/>
      <c r="O1302" s="5">
        <v>45.5</v>
      </c>
      <c r="P1302" s="5"/>
      <c r="Q1302" s="5">
        <v>5.423</v>
      </c>
      <c r="R1302" s="5"/>
      <c r="S1302" s="5">
        <v>0.68689999999999996</v>
      </c>
      <c r="T1302" s="5"/>
      <c r="U1302" s="5">
        <v>0.39739999999999998</v>
      </c>
      <c r="V1302" s="4"/>
      <c r="W1302" s="4">
        <v>1</v>
      </c>
      <c r="X1302" s="5"/>
      <c r="Y1302" s="5">
        <v>3.49</v>
      </c>
      <c r="Z1302" s="6"/>
      <c r="AA1302" s="6">
        <v>1000</v>
      </c>
      <c r="AB1302" s="4" t="s">
        <v>13</v>
      </c>
    </row>
    <row r="1303" spans="1:28">
      <c r="A1303" s="3" t="s">
        <v>160</v>
      </c>
      <c r="B1303" s="24" t="s">
        <v>161</v>
      </c>
      <c r="C1303" t="s">
        <v>162</v>
      </c>
      <c r="D1303" s="4">
        <v>55</v>
      </c>
      <c r="E1303" s="3" t="s">
        <v>163</v>
      </c>
      <c r="F1303" s="3" t="s">
        <v>2087</v>
      </c>
      <c r="G1303" s="4">
        <v>48</v>
      </c>
      <c r="H1303" s="3" t="s">
        <v>2088</v>
      </c>
      <c r="I1303" s="3" t="s">
        <v>2091</v>
      </c>
      <c r="J1303" s="4">
        <v>4</v>
      </c>
      <c r="K1303" s="4">
        <v>889.17529999999999</v>
      </c>
      <c r="L1303" s="4" t="str">
        <f>HYPERLINK("http://ms.phosphosite.org:5080/cgi-bin/plot-msms.cgi?MassType=1&amp;NumAxis=1&amp;Mod1=170&amp;Mod4=147&amp;Mod20=147&amp;Mod30=147&amp;Pep=RGGMGSGGLATGIAGGLAGMGGIQNEKETMQSLNDR&amp;Dta=/var/www/html/dta/yong/23612.10563.4.dta&amp;Global_Mod=CS57.0215", "10563")</f>
        <v>10563</v>
      </c>
      <c r="M1303" s="4"/>
      <c r="N1303" s="5">
        <v>45.95</v>
      </c>
      <c r="O1303" s="5"/>
      <c r="P1303" s="5">
        <v>3.6070000000000002</v>
      </c>
      <c r="Q1303" s="5"/>
      <c r="R1303" s="5">
        <v>1.1108</v>
      </c>
      <c r="S1303" s="5"/>
      <c r="T1303" s="5">
        <v>0.16889999999999999</v>
      </c>
      <c r="U1303" s="5"/>
      <c r="V1303" s="4">
        <v>1</v>
      </c>
      <c r="W1303" s="4"/>
      <c r="X1303" s="5">
        <v>1.66</v>
      </c>
      <c r="Y1303" s="5"/>
      <c r="Z1303" s="6">
        <v>1000</v>
      </c>
      <c r="AA1303" s="6"/>
      <c r="AB1303" s="4" t="s">
        <v>13</v>
      </c>
    </row>
    <row r="1304" spans="1:28">
      <c r="A1304" s="3" t="s">
        <v>160</v>
      </c>
      <c r="B1304" s="24" t="s">
        <v>161</v>
      </c>
      <c r="C1304" t="s">
        <v>162</v>
      </c>
      <c r="D1304" s="4">
        <v>55</v>
      </c>
      <c r="E1304" s="3" t="s">
        <v>163</v>
      </c>
      <c r="F1304" s="3" t="s">
        <v>2087</v>
      </c>
      <c r="G1304" s="4">
        <v>48</v>
      </c>
      <c r="H1304" s="3" t="s">
        <v>2088</v>
      </c>
      <c r="I1304" s="3" t="s">
        <v>2092</v>
      </c>
      <c r="J1304" s="4">
        <v>2</v>
      </c>
      <c r="K1304" s="4">
        <v>436.7002</v>
      </c>
      <c r="L1304" s="4" t="str">
        <f>HYPERLINK("http://ms.phosphosite.org:5080/cgi-bin/plot-msms.cgi?MassType=1&amp;NumAxis=1&amp;Mod5=170&amp;Mod8=147&amp;Pep=STSFRGGM&amp;Dta=/var/www/html/dta/yong/23612.2487.2.dta&amp;Global_Mod=CS57.0215", "2487")</f>
        <v>2487</v>
      </c>
      <c r="M1304" s="4" t="str">
        <f>HYPERLINK("http://ms.phosphosite.org:5080/cgi-bin/plot-msms.cgi?MassType=1&amp;NumAxis=1&amp;Mod5=170&amp;Mod8=147&amp;Pep=STSFRGGM&amp;Dta=/var/www/html/dta/yong/23613.2553.2.dta&amp;Global_Mod=CS57.0215", "2553")</f>
        <v>2553</v>
      </c>
      <c r="N1304" s="5">
        <v>16.23</v>
      </c>
      <c r="O1304" s="5">
        <v>16.34</v>
      </c>
      <c r="P1304" s="5">
        <v>1.802</v>
      </c>
      <c r="Q1304" s="5">
        <v>1.5349999999999999</v>
      </c>
      <c r="R1304" s="5">
        <v>0.16819999999999999</v>
      </c>
      <c r="S1304" s="5">
        <v>0.11509999999999999</v>
      </c>
      <c r="T1304" s="5">
        <v>0.19639999999999999</v>
      </c>
      <c r="U1304" s="5">
        <v>1.7500000000000002E-2</v>
      </c>
      <c r="V1304" s="4">
        <v>2</v>
      </c>
      <c r="W1304" s="4">
        <v>98</v>
      </c>
      <c r="X1304" s="5">
        <v>1.86</v>
      </c>
      <c r="Y1304" s="5">
        <v>0.96</v>
      </c>
      <c r="Z1304" s="6">
        <v>1000</v>
      </c>
      <c r="AA1304" s="6">
        <v>1000</v>
      </c>
      <c r="AB1304" s="4" t="s">
        <v>13</v>
      </c>
    </row>
    <row r="1305" spans="1:28">
      <c r="A1305" s="3" t="s">
        <v>160</v>
      </c>
      <c r="B1305" s="24" t="s">
        <v>161</v>
      </c>
      <c r="C1305" t="s">
        <v>162</v>
      </c>
      <c r="D1305" s="4">
        <v>55</v>
      </c>
      <c r="E1305" s="3" t="s">
        <v>163</v>
      </c>
      <c r="F1305" s="3" t="s">
        <v>2087</v>
      </c>
      <c r="G1305" s="4">
        <v>48</v>
      </c>
      <c r="H1305" s="3" t="s">
        <v>2088</v>
      </c>
      <c r="I1305" s="3" t="s">
        <v>2093</v>
      </c>
      <c r="J1305" s="4">
        <v>2</v>
      </c>
      <c r="K1305" s="4">
        <v>465.21089999999998</v>
      </c>
      <c r="L1305" s="4" t="str">
        <f>HYPERLINK("http://ms.phosphosite.org:5080/cgi-bin/plot-msms.cgi?MassType=1&amp;NumAxis=1&amp;Mod5=170&amp;Mod8=147&amp;Pep=STSFRGGMG&amp;Dta=/var/www/html/dta/yong/23612.2449.2.dta&amp;Global_Mod=CS57.0215", "2449")</f>
        <v>2449</v>
      </c>
      <c r="M1305" s="4"/>
      <c r="N1305" s="5">
        <v>16.09</v>
      </c>
      <c r="O1305" s="5"/>
      <c r="P1305" s="5">
        <v>1.5189999999999999</v>
      </c>
      <c r="Q1305" s="5"/>
      <c r="R1305" s="5">
        <v>1.1900000000000001E-2</v>
      </c>
      <c r="S1305" s="5"/>
      <c r="T1305" s="5">
        <v>0.1148</v>
      </c>
      <c r="U1305" s="5"/>
      <c r="V1305" s="4">
        <v>207</v>
      </c>
      <c r="W1305" s="4"/>
      <c r="X1305" s="5">
        <v>1.26</v>
      </c>
      <c r="Y1305" s="5"/>
      <c r="Z1305" s="6">
        <v>1000</v>
      </c>
      <c r="AA1305" s="6"/>
      <c r="AB1305" s="4" t="s">
        <v>13</v>
      </c>
    </row>
    <row r="1306" spans="1:28">
      <c r="A1306" s="3" t="s">
        <v>160</v>
      </c>
      <c r="B1306" s="24" t="s">
        <v>161</v>
      </c>
      <c r="C1306" t="s">
        <v>162</v>
      </c>
      <c r="D1306" s="4">
        <v>55</v>
      </c>
      <c r="E1306" s="3" t="s">
        <v>163</v>
      </c>
      <c r="F1306" s="3" t="s">
        <v>2087</v>
      </c>
      <c r="G1306" s="4">
        <v>48</v>
      </c>
      <c r="H1306" s="3" t="s">
        <v>2088</v>
      </c>
      <c r="I1306" s="3" t="s">
        <v>2094</v>
      </c>
      <c r="J1306" s="4">
        <v>2</v>
      </c>
      <c r="K1306" s="4">
        <v>622.29039999999998</v>
      </c>
      <c r="L1306" s="4" t="str">
        <f>HYPERLINK("http://ms.phosphosite.org:5080/cgi-bin/plot-msms.cgi?MassType=1&amp;NumAxis=1&amp;Mod5=170&amp;Mod8=147&amp;Pep=STSFRGGMGSGGL&amp;Dta=/var/www/html/dta/yong/23612.6308.2.dta&amp;Global_Mod=CS57.0215", "6308")</f>
        <v>6308</v>
      </c>
      <c r="M1306" s="4" t="str">
        <f>HYPERLINK("http://ms.phosphosite.org:5080/cgi-bin/plot-msms.cgi?MassType=1&amp;NumAxis=1&amp;Mod5=170&amp;Mod8=147&amp;Pep=STSFRGGMGSGGL&amp;Dta=/var/www/html/dta/yong/23613.6358.2.dta&amp;Global_Mod=CS57.0215", "6358")</f>
        <v>6358</v>
      </c>
      <c r="N1306" s="5">
        <v>30.68</v>
      </c>
      <c r="O1306" s="5">
        <v>30.69</v>
      </c>
      <c r="P1306" s="5">
        <v>2.5259999999999998</v>
      </c>
      <c r="Q1306" s="5">
        <v>2.5680000000000001</v>
      </c>
      <c r="R1306" s="5">
        <v>1.1805000000000001</v>
      </c>
      <c r="S1306" s="5">
        <v>0.96730000000000005</v>
      </c>
      <c r="T1306" s="5">
        <v>0.1027</v>
      </c>
      <c r="U1306" s="5">
        <v>8.2299999999999998E-2</v>
      </c>
      <c r="V1306" s="4">
        <v>1</v>
      </c>
      <c r="W1306" s="4">
        <v>1</v>
      </c>
      <c r="X1306" s="5">
        <v>1.46</v>
      </c>
      <c r="Y1306" s="5">
        <v>1.47</v>
      </c>
      <c r="Z1306" s="6">
        <v>1000</v>
      </c>
      <c r="AA1306" s="6">
        <v>1000</v>
      </c>
      <c r="AB1306" s="4" t="s">
        <v>13</v>
      </c>
    </row>
    <row r="1307" spans="1:28">
      <c r="A1307" s="3" t="s">
        <v>160</v>
      </c>
      <c r="B1307" s="24" t="s">
        <v>161</v>
      </c>
      <c r="C1307" t="s">
        <v>162</v>
      </c>
      <c r="D1307" s="4">
        <v>55</v>
      </c>
      <c r="E1307" s="3" t="s">
        <v>163</v>
      </c>
      <c r="F1307" s="3" t="s">
        <v>2087</v>
      </c>
      <c r="G1307" s="4">
        <v>48</v>
      </c>
      <c r="H1307" s="3" t="s">
        <v>2088</v>
      </c>
      <c r="I1307" s="3" t="s">
        <v>2095</v>
      </c>
      <c r="J1307" s="4">
        <v>2</v>
      </c>
      <c r="K1307" s="4">
        <v>657.80899999999997</v>
      </c>
      <c r="L1307" s="4" t="str">
        <f>HYPERLINK("http://ms.phosphosite.org:5080/cgi-bin/plot-msms.cgi?MassType=1&amp;NumAxis=1&amp;Mod5=170&amp;Mod8=147&amp;Pep=STSFRGGMGSGGLA&amp;Dta=/var/www/html/dta/yong/23612.5861.2.dta&amp;Global_Mod=CS57.0215", "5861")</f>
        <v>5861</v>
      </c>
      <c r="M1307" s="4" t="str">
        <f>HYPERLINK("http://ms.phosphosite.org:5080/cgi-bin/plot-msms.cgi?MassType=1&amp;NumAxis=1&amp;Mod5=170&amp;Mod8=147&amp;Pep=STSFRGGMGSGGLA&amp;Dta=/var/www/html/dta/yong/23613.5902.2.dta&amp;Global_Mod=CS57.0215", "5902")</f>
        <v>5902</v>
      </c>
      <c r="N1307" s="5">
        <v>29.05</v>
      </c>
      <c r="O1307" s="5">
        <v>29.02</v>
      </c>
      <c r="P1307" s="5">
        <v>3.0049999999999999</v>
      </c>
      <c r="Q1307" s="5">
        <v>3.246</v>
      </c>
      <c r="R1307" s="5">
        <v>0.69750000000000001</v>
      </c>
      <c r="S1307" s="5">
        <v>0.70389999999999997</v>
      </c>
      <c r="T1307" s="5">
        <v>0.31879999999999997</v>
      </c>
      <c r="U1307" s="5">
        <v>0.31709999999999999</v>
      </c>
      <c r="V1307" s="4">
        <v>1</v>
      </c>
      <c r="W1307" s="4">
        <v>1</v>
      </c>
      <c r="X1307" s="5">
        <v>2.63</v>
      </c>
      <c r="Y1307" s="5">
        <v>2.77</v>
      </c>
      <c r="Z1307" s="6">
        <v>1000</v>
      </c>
      <c r="AA1307" s="6">
        <v>1000</v>
      </c>
      <c r="AB1307" s="4" t="s">
        <v>13</v>
      </c>
    </row>
    <row r="1308" spans="1:28">
      <c r="A1308" s="3" t="s">
        <v>160</v>
      </c>
      <c r="B1308" s="24" t="s">
        <v>161</v>
      </c>
      <c r="C1308" t="s">
        <v>162</v>
      </c>
      <c r="D1308" s="4">
        <v>55</v>
      </c>
      <c r="E1308" s="3" t="s">
        <v>163</v>
      </c>
      <c r="F1308" s="3" t="s">
        <v>2087</v>
      </c>
      <c r="G1308" s="4">
        <v>48</v>
      </c>
      <c r="H1308" s="3" t="s">
        <v>2088</v>
      </c>
      <c r="I1308" s="3" t="s">
        <v>2096</v>
      </c>
      <c r="J1308" s="4">
        <v>2</v>
      </c>
      <c r="K1308" s="4">
        <v>708.33280000000002</v>
      </c>
      <c r="L1308" s="4" t="str">
        <f>HYPERLINK("http://ms.phosphosite.org:5080/cgi-bin/plot-msms.cgi?MassType=1&amp;NumAxis=1&amp;Mod5=170&amp;Mod8=147&amp;Pep=STSFRGGMGSGGLAT&amp;Dta=/var/www/html/dta/yong/23612.5930.2.dta&amp;Global_Mod=CS57.0215", "5930")</f>
        <v>5930</v>
      </c>
      <c r="M1308" s="4" t="str">
        <f>HYPERLINK("http://ms.phosphosite.org:5080/cgi-bin/plot-msms.cgi?MassType=1&amp;NumAxis=1&amp;Mod5=170&amp;Mod8=147&amp;Pep=STSFRGGMGSGGLAT&amp;Dta=/var/www/html/dta/yong/23613.5978.2.dta&amp;Global_Mod=CS57.0215", "5978")</f>
        <v>5978</v>
      </c>
      <c r="N1308" s="5">
        <v>29.31</v>
      </c>
      <c r="O1308" s="5">
        <v>29.31</v>
      </c>
      <c r="P1308" s="5">
        <v>2.4129999999999998</v>
      </c>
      <c r="Q1308" s="5">
        <v>2.2799999999999998</v>
      </c>
      <c r="R1308" s="5">
        <v>0.98699999999999999</v>
      </c>
      <c r="S1308" s="5">
        <v>0.6613</v>
      </c>
      <c r="T1308" s="5">
        <v>0.25619999999999998</v>
      </c>
      <c r="U1308" s="5">
        <v>0.18379999999999999</v>
      </c>
      <c r="V1308" s="4">
        <v>1</v>
      </c>
      <c r="W1308" s="4">
        <v>7</v>
      </c>
      <c r="X1308" s="5">
        <v>2.1800000000000002</v>
      </c>
      <c r="Y1308" s="5">
        <v>1.9</v>
      </c>
      <c r="Z1308" s="6">
        <v>1000</v>
      </c>
      <c r="AA1308" s="6">
        <v>1000</v>
      </c>
      <c r="AB1308" s="4" t="s">
        <v>13</v>
      </c>
    </row>
    <row r="1309" spans="1:28">
      <c r="A1309" s="3" t="s">
        <v>160</v>
      </c>
      <c r="B1309" s="24" t="s">
        <v>161</v>
      </c>
      <c r="C1309" t="s">
        <v>162</v>
      </c>
      <c r="D1309" s="4">
        <v>55</v>
      </c>
      <c r="E1309" s="3" t="s">
        <v>163</v>
      </c>
      <c r="F1309" s="3" t="s">
        <v>2087</v>
      </c>
      <c r="G1309" s="4">
        <v>48</v>
      </c>
      <c r="H1309" s="3" t="s">
        <v>2088</v>
      </c>
      <c r="I1309" s="3" t="s">
        <v>2097</v>
      </c>
      <c r="J1309" s="4">
        <v>2</v>
      </c>
      <c r="K1309" s="4">
        <v>736.84360000000004</v>
      </c>
      <c r="L1309" s="4" t="str">
        <f>HYPERLINK("http://ms.phosphosite.org:5080/cgi-bin/plot-msms.cgi?MassType=1&amp;NumAxis=1&amp;Mod5=170&amp;Mod8=147&amp;Pep=STSFRGGMGSGGLATG&amp;Dta=/var/www/html/dta/yong/23612.5795.2.dta&amp;Global_Mod=CS57.0215", "5795")</f>
        <v>5795</v>
      </c>
      <c r="M1309" s="4" t="str">
        <f>HYPERLINK("http://ms.phosphosite.org:5080/cgi-bin/plot-msms.cgi?MassType=1&amp;NumAxis=1&amp;Mod5=170&amp;Mod8=147&amp;Pep=STSFRGGMGSGGLATG&amp;Dta=/var/www/html/dta/yong/23613.5839.2.dta&amp;Global_Mod=CS57.0215", "5839")</f>
        <v>5839</v>
      </c>
      <c r="N1309" s="5">
        <v>28.79</v>
      </c>
      <c r="O1309" s="5">
        <v>28.76</v>
      </c>
      <c r="P1309" s="5">
        <v>2.4289999999999998</v>
      </c>
      <c r="Q1309" s="5">
        <v>3.01</v>
      </c>
      <c r="R1309" s="5">
        <v>0.50090000000000001</v>
      </c>
      <c r="S1309" s="5">
        <v>0.85060000000000002</v>
      </c>
      <c r="T1309" s="5">
        <v>0.25769999999999998</v>
      </c>
      <c r="U1309" s="5">
        <v>0.42580000000000001</v>
      </c>
      <c r="V1309" s="4">
        <v>1</v>
      </c>
      <c r="W1309" s="4">
        <v>1</v>
      </c>
      <c r="X1309" s="5">
        <v>2.21</v>
      </c>
      <c r="Y1309" s="5">
        <v>3.23</v>
      </c>
      <c r="Z1309" s="6">
        <v>1000</v>
      </c>
      <c r="AA1309" s="6">
        <v>1000</v>
      </c>
      <c r="AB1309" s="4" t="s">
        <v>13</v>
      </c>
    </row>
    <row r="1310" spans="1:28">
      <c r="A1310" s="3" t="s">
        <v>160</v>
      </c>
      <c r="B1310" s="24" t="s">
        <v>161</v>
      </c>
      <c r="C1310" t="s">
        <v>162</v>
      </c>
      <c r="D1310" s="4">
        <v>55</v>
      </c>
      <c r="E1310" s="3" t="s">
        <v>163</v>
      </c>
      <c r="F1310" s="3" t="s">
        <v>2087</v>
      </c>
      <c r="G1310" s="4">
        <v>48</v>
      </c>
      <c r="H1310" s="3" t="s">
        <v>2088</v>
      </c>
      <c r="I1310" s="3" t="s">
        <v>2098</v>
      </c>
      <c r="J1310" s="4">
        <v>2</v>
      </c>
      <c r="K1310" s="4">
        <v>793.38559999999995</v>
      </c>
      <c r="L1310" s="4" t="str">
        <f>HYPERLINK("http://ms.phosphosite.org:5080/cgi-bin/plot-msms.cgi?MassType=1&amp;NumAxis=1&amp;Mod5=170&amp;Mod8=147&amp;Pep=STSFRGGMGSGGLATGI&amp;Dta=/var/www/html/dta/yong/23612.9987.2.dta&amp;Global_Mod=CS57.0215", "9987")</f>
        <v>9987</v>
      </c>
      <c r="M1310" s="4" t="str">
        <f>HYPERLINK("http://ms.phosphosite.org:5080/cgi-bin/plot-msms.cgi?MassType=1&amp;NumAxis=1&amp;Mod5=170&amp;Mod8=147&amp;Pep=STSFRGGMGSGGLATGI&amp;Dta=/var/www/html/dta/yong/23613.10027.2.dta&amp;Global_Mod=CS57.0215", "10027")</f>
        <v>10027</v>
      </c>
      <c r="N1310" s="5">
        <v>43.9</v>
      </c>
      <c r="O1310" s="5">
        <v>43.87</v>
      </c>
      <c r="P1310" s="5">
        <v>3.028</v>
      </c>
      <c r="Q1310" s="5">
        <v>2.843</v>
      </c>
      <c r="R1310" s="5">
        <v>0.86329999999999996</v>
      </c>
      <c r="S1310" s="5">
        <v>0.89980000000000004</v>
      </c>
      <c r="T1310" s="5">
        <v>0.34160000000000001</v>
      </c>
      <c r="U1310" s="5">
        <v>0.29549999999999998</v>
      </c>
      <c r="V1310" s="4">
        <v>1</v>
      </c>
      <c r="W1310" s="4">
        <v>1</v>
      </c>
      <c r="X1310" s="5">
        <v>2.71</v>
      </c>
      <c r="Y1310" s="5">
        <v>2.5299999999999998</v>
      </c>
      <c r="Z1310" s="6">
        <v>1000</v>
      </c>
      <c r="AA1310" s="6">
        <v>1000</v>
      </c>
      <c r="AB1310" s="4" t="s">
        <v>13</v>
      </c>
    </row>
    <row r="1311" spans="1:28">
      <c r="A1311" s="3" t="s">
        <v>160</v>
      </c>
      <c r="B1311" s="24" t="s">
        <v>161</v>
      </c>
      <c r="C1311" t="s">
        <v>162</v>
      </c>
      <c r="D1311" s="4">
        <v>55</v>
      </c>
      <c r="E1311" s="3" t="s">
        <v>163</v>
      </c>
      <c r="F1311" s="3" t="s">
        <v>2087</v>
      </c>
      <c r="G1311" s="4">
        <v>48</v>
      </c>
      <c r="H1311" s="3" t="s">
        <v>2088</v>
      </c>
      <c r="I1311" s="3" t="s">
        <v>2098</v>
      </c>
      <c r="J1311" s="4">
        <v>2</v>
      </c>
      <c r="K1311" s="4">
        <v>793.38559999999995</v>
      </c>
      <c r="L1311" s="4" t="str">
        <f>HYPERLINK("http://ms.phosphosite.org:5080/cgi-bin/plot-msms.cgi?MassType=1&amp;NumAxis=1&amp;Mod5=170&amp;Mod8=147&amp;Pep=STSFRGGMGSGGLATGI&amp;Dta=/var/www/html/dta/yong/23612.9765.2.dta&amp;Global_Mod=CS57.0215", "9765")</f>
        <v>9765</v>
      </c>
      <c r="M1311" s="4" t="str">
        <f>HYPERLINK("http://ms.phosphosite.org:5080/cgi-bin/plot-msms.cgi?MassType=1&amp;NumAxis=1&amp;Mod5=170&amp;Mod8=147&amp;Pep=STSFRGGMGSGGLATGI&amp;Dta=/var/www/html/dta/yong/23613.10171.2.dta&amp;Global_Mod=CS57.0215", "10171")</f>
        <v>10171</v>
      </c>
      <c r="N1311" s="5">
        <v>43.17</v>
      </c>
      <c r="O1311" s="5">
        <v>44.36</v>
      </c>
      <c r="P1311" s="5">
        <v>3.6320000000000001</v>
      </c>
      <c r="Q1311" s="5">
        <v>2.5649999999999999</v>
      </c>
      <c r="R1311" s="5">
        <v>0.50570000000000004</v>
      </c>
      <c r="S1311" s="5">
        <v>1.3173999999999999</v>
      </c>
      <c r="T1311" s="5">
        <v>0.45729999999999998</v>
      </c>
      <c r="U1311" s="5">
        <v>0.36020000000000002</v>
      </c>
      <c r="V1311" s="4">
        <v>1</v>
      </c>
      <c r="W1311" s="4">
        <v>1</v>
      </c>
      <c r="X1311" s="5">
        <v>3.41</v>
      </c>
      <c r="Y1311" s="5">
        <v>2.77</v>
      </c>
      <c r="Z1311" s="6">
        <v>1000</v>
      </c>
      <c r="AA1311" s="6">
        <v>1000</v>
      </c>
      <c r="AB1311" s="4" t="s">
        <v>13</v>
      </c>
    </row>
    <row r="1312" spans="1:28">
      <c r="A1312" s="3" t="s">
        <v>160</v>
      </c>
      <c r="B1312" s="24" t="s">
        <v>161</v>
      </c>
      <c r="C1312" t="s">
        <v>162</v>
      </c>
      <c r="D1312" s="4">
        <v>55</v>
      </c>
      <c r="E1312" s="3" t="s">
        <v>163</v>
      </c>
      <c r="F1312" s="3" t="s">
        <v>2087</v>
      </c>
      <c r="G1312" s="4">
        <v>48</v>
      </c>
      <c r="H1312" s="3" t="s">
        <v>2088</v>
      </c>
      <c r="I1312" s="3" t="s">
        <v>2098</v>
      </c>
      <c r="J1312" s="4">
        <v>2</v>
      </c>
      <c r="K1312" s="4">
        <v>793.38559999999995</v>
      </c>
      <c r="L1312" s="4"/>
      <c r="M1312" s="4" t="str">
        <f>HYPERLINK("http://ms.phosphosite.org:5080/cgi-bin/plot-msms.cgi?MassType=1&amp;NumAxis=1&amp;Mod5=170&amp;Mod8=147&amp;Pep=STSFRGGMGSGGLATGI&amp;Dta=/var/www/html/dta/yong/23613.9808.2.dta&amp;Global_Mod=CS57.0215", "9808")</f>
        <v>9808</v>
      </c>
      <c r="N1312" s="5"/>
      <c r="O1312" s="5">
        <v>43.16</v>
      </c>
      <c r="P1312" s="5"/>
      <c r="Q1312" s="5">
        <v>3.39</v>
      </c>
      <c r="R1312" s="5"/>
      <c r="S1312" s="5">
        <v>0.39679999999999999</v>
      </c>
      <c r="T1312" s="5"/>
      <c r="U1312" s="5">
        <v>0.45700000000000002</v>
      </c>
      <c r="V1312" s="4"/>
      <c r="W1312" s="4">
        <v>1</v>
      </c>
      <c r="X1312" s="5"/>
      <c r="Y1312" s="5">
        <v>3.47</v>
      </c>
      <c r="Z1312" s="6"/>
      <c r="AA1312" s="6">
        <v>1000</v>
      </c>
      <c r="AB1312" s="4" t="s">
        <v>13</v>
      </c>
    </row>
    <row r="1313" spans="1:28">
      <c r="A1313" s="3" t="s">
        <v>160</v>
      </c>
      <c r="B1313" s="24" t="s">
        <v>161</v>
      </c>
      <c r="C1313" t="s">
        <v>162</v>
      </c>
      <c r="D1313" s="4">
        <v>55</v>
      </c>
      <c r="E1313" s="3" t="s">
        <v>163</v>
      </c>
      <c r="F1313" s="3" t="s">
        <v>2087</v>
      </c>
      <c r="G1313" s="4">
        <v>48</v>
      </c>
      <c r="H1313" s="3" t="s">
        <v>2088</v>
      </c>
      <c r="I1313" s="3" t="s">
        <v>2099</v>
      </c>
      <c r="J1313" s="4">
        <v>2</v>
      </c>
      <c r="K1313" s="4">
        <v>828.90409999999997</v>
      </c>
      <c r="L1313" s="4" t="str">
        <f>HYPERLINK("http://ms.phosphosite.org:5080/cgi-bin/plot-msms.cgi?MassType=1&amp;NumAxis=1&amp;Mod5=170&amp;Mod8=147&amp;Pep=STSFRGGMGSGGLATGIA&amp;Dta=/var/www/html/dta/yong/23612.9324.2.dta&amp;Global_Mod=CS57.0215", "9324")</f>
        <v>9324</v>
      </c>
      <c r="M1313" s="4"/>
      <c r="N1313" s="5">
        <v>41.64</v>
      </c>
      <c r="O1313" s="5"/>
      <c r="P1313" s="5">
        <v>1.774</v>
      </c>
      <c r="Q1313" s="5"/>
      <c r="R1313" s="5">
        <v>1.2226999999999999</v>
      </c>
      <c r="S1313" s="5"/>
      <c r="T1313" s="5">
        <v>4.6699999999999998E-2</v>
      </c>
      <c r="U1313" s="5"/>
      <c r="V1313" s="4">
        <v>277</v>
      </c>
      <c r="W1313" s="4"/>
      <c r="X1313" s="5">
        <v>0.8</v>
      </c>
      <c r="Y1313" s="5"/>
      <c r="Z1313" s="6">
        <v>1000</v>
      </c>
      <c r="AA1313" s="6"/>
      <c r="AB1313" s="4" t="s">
        <v>13</v>
      </c>
    </row>
    <row r="1314" spans="1:28">
      <c r="A1314" s="3" t="s">
        <v>160</v>
      </c>
      <c r="B1314" s="24" t="s">
        <v>161</v>
      </c>
      <c r="C1314" t="s">
        <v>162</v>
      </c>
      <c r="D1314" s="4">
        <v>55</v>
      </c>
      <c r="E1314" s="3" t="s">
        <v>163</v>
      </c>
      <c r="F1314" s="3" t="s">
        <v>2087</v>
      </c>
      <c r="G1314" s="4">
        <v>48</v>
      </c>
      <c r="H1314" s="3" t="s">
        <v>2088</v>
      </c>
      <c r="I1314" s="3" t="s">
        <v>2100</v>
      </c>
      <c r="J1314" s="4">
        <v>2</v>
      </c>
      <c r="K1314" s="4">
        <v>942.46759999999995</v>
      </c>
      <c r="L1314" s="4" t="str">
        <f>HYPERLINK("http://ms.phosphosite.org:5080/cgi-bin/plot-msms.cgi?MassType=1&amp;NumAxis=1&amp;Mod5=170&amp;Mod8=147&amp;Pep=STSFRGGMGSGGLATGIAGGL&amp;Dta=/var/www/html/dta/yong/23612.13111.2.dta&amp;Global_Mod=CS57.0215", "13111")</f>
        <v>13111</v>
      </c>
      <c r="M1314" s="4" t="str">
        <f>HYPERLINK("http://ms.phosphosite.org:5080/cgi-bin/plot-msms.cgi?MassType=1&amp;NumAxis=1&amp;Mod5=170&amp;Mod8=147&amp;Pep=STSFRGGMGSGGLATGIAGGL&amp;Dta=/var/www/html/dta/yong/23613.13209.2.dta&amp;Global_Mod=CS57.0215", "13209")</f>
        <v>13209</v>
      </c>
      <c r="N1314" s="5">
        <v>54.67</v>
      </c>
      <c r="O1314" s="5">
        <v>54.68</v>
      </c>
      <c r="P1314" s="5">
        <v>3.9870000000000001</v>
      </c>
      <c r="Q1314" s="5">
        <v>3.6320000000000001</v>
      </c>
      <c r="R1314" s="5">
        <v>1.5283</v>
      </c>
      <c r="S1314" s="5">
        <v>0.71509999999999996</v>
      </c>
      <c r="T1314" s="5">
        <v>0.33300000000000002</v>
      </c>
      <c r="U1314" s="5">
        <v>0.31859999999999999</v>
      </c>
      <c r="V1314" s="4">
        <v>1</v>
      </c>
      <c r="W1314" s="4">
        <v>1</v>
      </c>
      <c r="X1314" s="5">
        <v>2.77</v>
      </c>
      <c r="Y1314" s="5">
        <v>2.77</v>
      </c>
      <c r="Z1314" s="6">
        <v>1000</v>
      </c>
      <c r="AA1314" s="6">
        <v>1000</v>
      </c>
      <c r="AB1314" s="4" t="s">
        <v>13</v>
      </c>
    </row>
    <row r="1315" spans="1:28">
      <c r="A1315" s="3" t="s">
        <v>160</v>
      </c>
      <c r="B1315" s="24" t="s">
        <v>161</v>
      </c>
      <c r="C1315" t="s">
        <v>162</v>
      </c>
      <c r="D1315" s="4">
        <v>55</v>
      </c>
      <c r="E1315" s="3" t="s">
        <v>163</v>
      </c>
      <c r="F1315" s="3" t="s">
        <v>2087</v>
      </c>
      <c r="G1315" s="4">
        <v>48</v>
      </c>
      <c r="H1315" s="3" t="s">
        <v>2088</v>
      </c>
      <c r="I1315" s="3" t="s">
        <v>2101</v>
      </c>
      <c r="J1315" s="4">
        <v>3</v>
      </c>
      <c r="K1315" s="4">
        <v>876.755</v>
      </c>
      <c r="L1315" s="4" t="str">
        <f>HYPERLINK("http://ms.phosphosite.org:5080/cgi-bin/plot-msms.cgi?MassType=1&amp;NumAxis=1&amp;Mod5=170&amp;Mod8=147&amp;Mod24=147&amp;Pep=STSFRGGMGSGGLATGIAGGLAGMGGIQN&amp;Dta=/var/www/html/dta/yong/23612.13024.3.dta&amp;Global_Mod=CS57.0215", "13024")</f>
        <v>13024</v>
      </c>
      <c r="M1315" s="4" t="str">
        <f>HYPERLINK("http://ms.phosphosite.org:5080/cgi-bin/plot-msms.cgi?MassType=1&amp;NumAxis=1&amp;Mod5=170&amp;Mod8=147&amp;Mod24=147&amp;Pep=STSFRGGMGSGGLATGIAGGLAGMGGIQN&amp;Dta=/var/www/html/dta/yong/23613.13152.3.dta&amp;Global_Mod=CS57.0215", "13152")</f>
        <v>13152</v>
      </c>
      <c r="N1315" s="5">
        <v>54.34</v>
      </c>
      <c r="O1315" s="5">
        <v>54.46</v>
      </c>
      <c r="P1315" s="5">
        <v>4.2119999999999997</v>
      </c>
      <c r="Q1315" s="5">
        <v>3.0760000000000001</v>
      </c>
      <c r="R1315" s="5">
        <v>0.86870000000000003</v>
      </c>
      <c r="S1315" s="5">
        <v>1.3240000000000001</v>
      </c>
      <c r="T1315" s="5">
        <v>0.3448</v>
      </c>
      <c r="U1315" s="5">
        <v>0.15440000000000001</v>
      </c>
      <c r="V1315" s="4">
        <v>1</v>
      </c>
      <c r="W1315" s="4">
        <v>1</v>
      </c>
      <c r="X1315" s="5">
        <v>2.88</v>
      </c>
      <c r="Y1315" s="5">
        <v>1.76</v>
      </c>
      <c r="Z1315" s="6">
        <v>1000</v>
      </c>
      <c r="AA1315" s="6">
        <v>1000</v>
      </c>
      <c r="AB1315" s="4" t="s">
        <v>13</v>
      </c>
    </row>
    <row r="1316" spans="1:28">
      <c r="A1316" s="3" t="s">
        <v>160</v>
      </c>
      <c r="B1316" s="24" t="s">
        <v>161</v>
      </c>
      <c r="C1316" t="s">
        <v>162</v>
      </c>
      <c r="D1316" s="4">
        <v>55</v>
      </c>
      <c r="E1316" s="3" t="s">
        <v>163</v>
      </c>
      <c r="F1316" s="3" t="s">
        <v>2087</v>
      </c>
      <c r="G1316" s="4">
        <v>48</v>
      </c>
      <c r="H1316" s="3" t="s">
        <v>2088</v>
      </c>
      <c r="I1316" s="3" t="s">
        <v>167</v>
      </c>
      <c r="J1316" s="4">
        <v>3</v>
      </c>
      <c r="K1316" s="4">
        <v>962.46749999999997</v>
      </c>
      <c r="L1316" s="4" t="str">
        <f>HYPERLINK("http://ms.phosphosite.org:5080/cgi-bin/plot-msms.cgi?MassType=1&amp;NumAxis=1&amp;Mod5=170&amp;Mod8=147&amp;Mod24=147&amp;Pep=STSFRGGMGSGGLATGIAGGLAGMGGIQNEK&amp;Dta=/var/www/html/dta/yong/23612.13101.3.dta&amp;Global_Mod=CS57.0215", "13101")</f>
        <v>13101</v>
      </c>
      <c r="M1316" s="4" t="str">
        <f>HYPERLINK("http://ms.phosphosite.org:5080/cgi-bin/plot-msms.cgi?MassType=1&amp;NumAxis=1&amp;Mod5=170&amp;Mod8=147&amp;Mod24=147&amp;Pep=STSFRGGMGSGGLATGIAGGLAGMGGIQNEK&amp;Dta=/var/www/html/dta/yong/23613.12218.3.dta&amp;Global_Mod=CS57.0215", "12218")</f>
        <v>12218</v>
      </c>
      <c r="N1316" s="5">
        <v>54.63</v>
      </c>
      <c r="O1316" s="5">
        <v>51.22</v>
      </c>
      <c r="P1316" s="5">
        <v>5.2880000000000003</v>
      </c>
      <c r="Q1316" s="5">
        <v>6.23</v>
      </c>
      <c r="R1316" s="5">
        <v>1.0548999999999999</v>
      </c>
      <c r="S1316" s="5">
        <v>0.97970000000000002</v>
      </c>
      <c r="T1316" s="5">
        <v>0.42630000000000001</v>
      </c>
      <c r="U1316" s="5">
        <v>0.45850000000000002</v>
      </c>
      <c r="V1316" s="4">
        <v>1</v>
      </c>
      <c r="W1316" s="4">
        <v>1</v>
      </c>
      <c r="X1316" s="5">
        <v>3.45</v>
      </c>
      <c r="Y1316" s="5">
        <v>3.9</v>
      </c>
      <c r="Z1316" s="6">
        <v>1000</v>
      </c>
      <c r="AA1316" s="6">
        <v>1000</v>
      </c>
      <c r="AB1316" s="4" t="s">
        <v>13</v>
      </c>
    </row>
    <row r="1317" spans="1:28">
      <c r="A1317" s="3" t="s">
        <v>160</v>
      </c>
      <c r="B1317" s="24" t="s">
        <v>161</v>
      </c>
      <c r="C1317" t="s">
        <v>162</v>
      </c>
      <c r="D1317" s="4">
        <v>55</v>
      </c>
      <c r="E1317" s="3" t="s">
        <v>163</v>
      </c>
      <c r="F1317" s="3" t="s">
        <v>2087</v>
      </c>
      <c r="G1317" s="4">
        <v>48</v>
      </c>
      <c r="H1317" s="3" t="s">
        <v>2088</v>
      </c>
      <c r="I1317" s="3" t="s">
        <v>167</v>
      </c>
      <c r="J1317" s="4">
        <v>3</v>
      </c>
      <c r="K1317" s="4">
        <v>962.46749999999997</v>
      </c>
      <c r="L1317" s="4" t="str">
        <f>HYPERLINK("http://ms.phosphosite.org:5080/cgi-bin/plot-msms.cgi?MassType=1&amp;NumAxis=1&amp;Mod5=170&amp;Mod8=147&amp;Mod24=147&amp;Pep=STSFRGGMGSGGLATGIAGGLAGMGGIQNEK&amp;Dta=/var/www/html/dta/yong/23612.13707.3.dta&amp;Global_Mod=CS57.0215", "13707")</f>
        <v>13707</v>
      </c>
      <c r="M1317" s="4" t="str">
        <f>HYPERLINK("http://ms.phosphosite.org:5080/cgi-bin/plot-msms.cgi?MassType=1&amp;NumAxis=1&amp;Mod5=170&amp;Mod8=147&amp;Mod24=147&amp;Pep=STSFRGGMGSGGLATGIAGGLAGMGGIQNEK&amp;Dta=/var/www/html/dta/yong/23613.12749.3.dta&amp;Global_Mod=CS57.0215", "12749")</f>
        <v>12749</v>
      </c>
      <c r="N1317" s="5">
        <v>56.81</v>
      </c>
      <c r="O1317" s="5">
        <v>53.07</v>
      </c>
      <c r="P1317" s="5">
        <v>3.5590000000000002</v>
      </c>
      <c r="Q1317" s="5">
        <v>6.2750000000000004</v>
      </c>
      <c r="R1317" s="5">
        <v>2.0617000000000001</v>
      </c>
      <c r="S1317" s="5">
        <v>1.0038</v>
      </c>
      <c r="T1317" s="5">
        <v>0.21290000000000001</v>
      </c>
      <c r="U1317" s="5">
        <v>0.54320000000000002</v>
      </c>
      <c r="V1317" s="4">
        <v>1</v>
      </c>
      <c r="W1317" s="4">
        <v>1</v>
      </c>
      <c r="X1317" s="5">
        <v>2.0099999999999998</v>
      </c>
      <c r="Y1317" s="5">
        <v>4.32</v>
      </c>
      <c r="Z1317" s="6">
        <v>1000</v>
      </c>
      <c r="AA1317" s="6">
        <v>1000</v>
      </c>
      <c r="AB1317" s="4" t="s">
        <v>13</v>
      </c>
    </row>
    <row r="1318" spans="1:28">
      <c r="A1318" s="3" t="s">
        <v>160</v>
      </c>
      <c r="B1318" s="24" t="s">
        <v>161</v>
      </c>
      <c r="C1318" t="s">
        <v>162</v>
      </c>
      <c r="D1318" s="4">
        <v>55</v>
      </c>
      <c r="E1318" s="3" t="s">
        <v>163</v>
      </c>
      <c r="F1318" s="3" t="s">
        <v>2087</v>
      </c>
      <c r="G1318" s="4">
        <v>48</v>
      </c>
      <c r="H1318" s="3" t="s">
        <v>2088</v>
      </c>
      <c r="I1318" s="3" t="s">
        <v>167</v>
      </c>
      <c r="J1318" s="4">
        <v>3</v>
      </c>
      <c r="K1318" s="4">
        <v>962.46749999999997</v>
      </c>
      <c r="L1318" s="4" t="str">
        <f>HYPERLINK("http://ms.phosphosite.org:5080/cgi-bin/plot-msms.cgi?MassType=1&amp;NumAxis=1&amp;Mod5=170&amp;Mod8=147&amp;Mod24=147&amp;Pep=STSFRGGMGSGGLATGIAGGLAGMGGIQNEK&amp;Dta=/var/www/html/dta/yong/23612.11818.3.dta&amp;Global_Mod=CS57.0215", "11818")</f>
        <v>11818</v>
      </c>
      <c r="M1318" s="4" t="str">
        <f>HYPERLINK("http://ms.phosphosite.org:5080/cgi-bin/plot-msms.cgi?MassType=1&amp;NumAxis=1&amp;Mod5=170&amp;Mod8=147&amp;Mod24=147&amp;Pep=STSFRGGMGSGGLATGIAGGLAGMGGIQNEK&amp;Dta=/var/www/html/dta/yong/23613.13199.3.dta&amp;Global_Mod=CS57.0215", "13199")</f>
        <v>13199</v>
      </c>
      <c r="N1318" s="5">
        <v>50.22</v>
      </c>
      <c r="O1318" s="5">
        <v>54.64</v>
      </c>
      <c r="P1318" s="5">
        <v>5.2069999999999999</v>
      </c>
      <c r="Q1318" s="5">
        <v>3.879</v>
      </c>
      <c r="R1318" s="5">
        <v>0.94159999999999999</v>
      </c>
      <c r="S1318" s="5">
        <v>1.4404999999999999</v>
      </c>
      <c r="T1318" s="5">
        <v>0.3775</v>
      </c>
      <c r="U1318" s="5">
        <v>8.2600000000000007E-2</v>
      </c>
      <c r="V1318" s="4">
        <v>1</v>
      </c>
      <c r="W1318" s="4">
        <v>1</v>
      </c>
      <c r="X1318" s="5">
        <v>3.2</v>
      </c>
      <c r="Y1318" s="5">
        <v>1.54</v>
      </c>
      <c r="Z1318" s="6">
        <v>1000</v>
      </c>
      <c r="AA1318" s="6">
        <v>1000</v>
      </c>
      <c r="AB1318" s="4" t="s">
        <v>13</v>
      </c>
    </row>
    <row r="1319" spans="1:28">
      <c r="A1319" s="3" t="s">
        <v>160</v>
      </c>
      <c r="B1319" s="24" t="s">
        <v>161</v>
      </c>
      <c r="C1319" t="s">
        <v>162</v>
      </c>
      <c r="D1319" s="4">
        <v>55</v>
      </c>
      <c r="E1319" s="3" t="s">
        <v>163</v>
      </c>
      <c r="F1319" s="3" t="s">
        <v>2087</v>
      </c>
      <c r="G1319" s="4">
        <v>48</v>
      </c>
      <c r="H1319" s="3" t="s">
        <v>2088</v>
      </c>
      <c r="I1319" s="3" t="s">
        <v>167</v>
      </c>
      <c r="J1319" s="4">
        <v>3</v>
      </c>
      <c r="K1319" s="4">
        <v>962.46749999999997</v>
      </c>
      <c r="L1319" s="4" t="str">
        <f>HYPERLINK("http://ms.phosphosite.org:5080/cgi-bin/plot-msms.cgi?MassType=1&amp;NumAxis=1&amp;Mod5=170&amp;Mod8=147&amp;Mod24=147&amp;Pep=STSFRGGMGSGGLATGIAGGLAGMGGIQNEK&amp;Dta=/var/www/html/dta/yong/23612.12030.3.dta&amp;Global_Mod=CS57.0215", "12030")</f>
        <v>12030</v>
      </c>
      <c r="M1319" s="4" t="str">
        <f>HYPERLINK("http://ms.phosphosite.org:5080/cgi-bin/plot-msms.cgi?MassType=1&amp;NumAxis=1&amp;Mod5=170&amp;Mod8=147&amp;Mod24=147&amp;Pep=STSFRGGMGSGGLATGIAGGLAGMGGIQNEK&amp;Dta=/var/www/html/dta/yong/23613.12960.3.dta&amp;Global_Mod=CS57.0215", "12960")</f>
        <v>12960</v>
      </c>
      <c r="N1319" s="5">
        <v>50.9</v>
      </c>
      <c r="O1319" s="5">
        <v>53.78</v>
      </c>
      <c r="P1319" s="5">
        <v>5.4379999999999997</v>
      </c>
      <c r="Q1319" s="5">
        <v>6.13</v>
      </c>
      <c r="R1319" s="5">
        <v>1.07</v>
      </c>
      <c r="S1319" s="5">
        <v>1.1194999999999999</v>
      </c>
      <c r="T1319" s="5">
        <v>0.46479999999999999</v>
      </c>
      <c r="U1319" s="5">
        <v>0.46949999999999997</v>
      </c>
      <c r="V1319" s="4">
        <v>1</v>
      </c>
      <c r="W1319" s="4">
        <v>1</v>
      </c>
      <c r="X1319" s="5">
        <v>3.67</v>
      </c>
      <c r="Y1319" s="5">
        <v>3.92</v>
      </c>
      <c r="Z1319" s="6">
        <v>1000</v>
      </c>
      <c r="AA1319" s="6">
        <v>1000</v>
      </c>
      <c r="AB1319" s="4" t="s">
        <v>13</v>
      </c>
    </row>
    <row r="1320" spans="1:28">
      <c r="A1320" s="3" t="s">
        <v>160</v>
      </c>
      <c r="B1320" s="24" t="s">
        <v>161</v>
      </c>
      <c r="C1320" t="s">
        <v>162</v>
      </c>
      <c r="D1320" s="4">
        <v>55</v>
      </c>
      <c r="E1320" s="3" t="s">
        <v>163</v>
      </c>
      <c r="F1320" s="3" t="s">
        <v>2087</v>
      </c>
      <c r="G1320" s="4">
        <v>48</v>
      </c>
      <c r="H1320" s="3" t="s">
        <v>2088</v>
      </c>
      <c r="I1320" s="3" t="s">
        <v>167</v>
      </c>
      <c r="J1320" s="4">
        <v>3</v>
      </c>
      <c r="K1320" s="4">
        <v>962.46749999999997</v>
      </c>
      <c r="L1320" s="4" t="str">
        <f>HYPERLINK("http://ms.phosphosite.org:5080/cgi-bin/plot-msms.cgi?MassType=1&amp;NumAxis=1&amp;Mod5=170&amp;Mod8=147&amp;Mod24=147&amp;Pep=STSFRGGMGSGGLATGIAGGLAGMGGIQNEK&amp;Dta=/var/www/html/dta/yong/23612.25078.3.dta&amp;Global_Mod=CS57.0215", "25078")</f>
        <v>25078</v>
      </c>
      <c r="M1320" s="4" t="str">
        <f>HYPERLINK("http://ms.phosphosite.org:5080/cgi-bin/plot-msms.cgi?MassType=1&amp;NumAxis=1&amp;Mod5=170&amp;Mod8=147&amp;Mod24=147&amp;Pep=STSFRGGMGSGGLATGIAGGLAGMGGIQNEK&amp;Dta=/var/www/html/dta/yong/23613.12247.3.dta&amp;Global_Mod=CS57.0215", "12247")</f>
        <v>12247</v>
      </c>
      <c r="N1320" s="5">
        <v>110</v>
      </c>
      <c r="O1320" s="5">
        <v>51.31</v>
      </c>
      <c r="P1320" s="5">
        <v>3.8279999999999998</v>
      </c>
      <c r="Q1320" s="5">
        <v>6.069</v>
      </c>
      <c r="R1320" s="5">
        <v>0.40429999999999999</v>
      </c>
      <c r="S1320" s="5">
        <v>1.3341000000000001</v>
      </c>
      <c r="T1320" s="5">
        <v>0.3014</v>
      </c>
      <c r="U1320" s="5">
        <v>0.48089999999999999</v>
      </c>
      <c r="V1320" s="4">
        <v>1</v>
      </c>
      <c r="W1320" s="4">
        <v>1</v>
      </c>
      <c r="X1320" s="5">
        <v>2.59</v>
      </c>
      <c r="Y1320" s="5">
        <v>3.96</v>
      </c>
      <c r="Z1320" s="6">
        <v>1000</v>
      </c>
      <c r="AA1320" s="6">
        <v>1000</v>
      </c>
      <c r="AB1320" s="4" t="s">
        <v>13</v>
      </c>
    </row>
    <row r="1321" spans="1:28">
      <c r="A1321" s="3" t="s">
        <v>160</v>
      </c>
      <c r="B1321" s="24" t="s">
        <v>161</v>
      </c>
      <c r="C1321" t="s">
        <v>162</v>
      </c>
      <c r="D1321" s="4">
        <v>55</v>
      </c>
      <c r="E1321" s="3" t="s">
        <v>163</v>
      </c>
      <c r="F1321" s="3" t="s">
        <v>2087</v>
      </c>
      <c r="G1321" s="4">
        <v>48</v>
      </c>
      <c r="H1321" s="3" t="s">
        <v>2088</v>
      </c>
      <c r="I1321" s="3" t="s">
        <v>167</v>
      </c>
      <c r="J1321" s="4">
        <v>3</v>
      </c>
      <c r="K1321" s="4">
        <v>962.46749999999997</v>
      </c>
      <c r="L1321" s="4" t="str">
        <f>HYPERLINK("http://ms.phosphosite.org:5080/cgi-bin/plot-msms.cgi?MassType=1&amp;NumAxis=1&amp;Mod5=170&amp;Mod8=147&amp;Mod24=147&amp;Pep=STSFRGGMGSGGLATGIAGGLAGMGGIQNEK&amp;Dta=/var/www/html/dta/yong/23612.14011.3.dta&amp;Global_Mod=CS57.0215", "14011")</f>
        <v>14011</v>
      </c>
      <c r="M1321" s="4" t="str">
        <f>HYPERLINK("http://ms.phosphosite.org:5080/cgi-bin/plot-msms.cgi?MassType=1&amp;NumAxis=1&amp;Mod5=170&amp;Mod8=147&amp;Mod24=147&amp;Pep=STSFRGGMGSGGLATGIAGGLAGMGGIQNEK&amp;Dta=/var/www/html/dta/yong/23613.12100.3.dta&amp;Global_Mod=CS57.0215", "12100")</f>
        <v>12100</v>
      </c>
      <c r="N1321" s="5">
        <v>57.95</v>
      </c>
      <c r="O1321" s="5">
        <v>50.83</v>
      </c>
      <c r="P1321" s="5">
        <v>3.4649999999999999</v>
      </c>
      <c r="Q1321" s="5">
        <v>6.1070000000000002</v>
      </c>
      <c r="R1321" s="5">
        <v>0.35799999999999998</v>
      </c>
      <c r="S1321" s="5">
        <v>1.3319000000000001</v>
      </c>
      <c r="T1321" s="5">
        <v>0.11269999999999999</v>
      </c>
      <c r="U1321" s="5">
        <v>0.41549999999999998</v>
      </c>
      <c r="V1321" s="4">
        <v>1</v>
      </c>
      <c r="W1321" s="4">
        <v>1</v>
      </c>
      <c r="X1321" s="5">
        <v>1.58</v>
      </c>
      <c r="Y1321" s="5">
        <v>3.64</v>
      </c>
      <c r="Z1321" s="6">
        <v>1000</v>
      </c>
      <c r="AA1321" s="6">
        <v>1000</v>
      </c>
      <c r="AB1321" s="4" t="s">
        <v>13</v>
      </c>
    </row>
    <row r="1322" spans="1:28">
      <c r="A1322" s="3" t="s">
        <v>160</v>
      </c>
      <c r="B1322" s="24" t="s">
        <v>161</v>
      </c>
      <c r="C1322" t="s">
        <v>162</v>
      </c>
      <c r="D1322" s="4">
        <v>55</v>
      </c>
      <c r="E1322" s="3" t="s">
        <v>163</v>
      </c>
      <c r="F1322" s="3" t="s">
        <v>2087</v>
      </c>
      <c r="G1322" s="4">
        <v>48</v>
      </c>
      <c r="H1322" s="3" t="s">
        <v>2088</v>
      </c>
      <c r="I1322" s="3" t="s">
        <v>167</v>
      </c>
      <c r="J1322" s="4">
        <v>3</v>
      </c>
      <c r="K1322" s="4">
        <v>962.46749999999997</v>
      </c>
      <c r="L1322" s="4" t="str">
        <f>HYPERLINK("http://ms.phosphosite.org:5080/cgi-bin/plot-msms.cgi?MassType=1&amp;NumAxis=1&amp;Mod5=170&amp;Mod8=147&amp;Mod24=147&amp;Pep=STSFRGGMGSGGLATGIAGGLAGMGGIQNEK&amp;Dta=/var/www/html/dta/yong/23612.12265.3.dta&amp;Global_Mod=CS57.0215", "12265")</f>
        <v>12265</v>
      </c>
      <c r="M1322" s="4" t="str">
        <f>HYPERLINK("http://ms.phosphosite.org:5080/cgi-bin/plot-msms.cgi?MassType=1&amp;NumAxis=1&amp;Mod5=170&amp;Mod8=147&amp;Mod24=147&amp;Pep=STSFRGGMGSGGLATGIAGGLAGMGGIQNEK&amp;Dta=/var/www/html/dta/yong/23613.12331.3.dta&amp;Global_Mod=CS57.0215", "12331")</f>
        <v>12331</v>
      </c>
      <c r="N1322" s="5">
        <v>51.63</v>
      </c>
      <c r="O1322" s="5">
        <v>51.57</v>
      </c>
      <c r="P1322" s="5">
        <v>6.49</v>
      </c>
      <c r="Q1322" s="5">
        <v>6.899</v>
      </c>
      <c r="R1322" s="5">
        <v>1.3742000000000001</v>
      </c>
      <c r="S1322" s="5">
        <v>0.58799999999999997</v>
      </c>
      <c r="T1322" s="5">
        <v>0.44440000000000002</v>
      </c>
      <c r="U1322" s="5">
        <v>0.53969999999999996</v>
      </c>
      <c r="V1322" s="4">
        <v>1</v>
      </c>
      <c r="W1322" s="4">
        <v>1</v>
      </c>
      <c r="X1322" s="5">
        <v>3.76</v>
      </c>
      <c r="Y1322" s="5">
        <v>4.45</v>
      </c>
      <c r="Z1322" s="6">
        <v>1000</v>
      </c>
      <c r="AA1322" s="6">
        <v>1000</v>
      </c>
      <c r="AB1322" s="4" t="s">
        <v>13</v>
      </c>
    </row>
    <row r="1323" spans="1:28">
      <c r="A1323" s="3" t="s">
        <v>160</v>
      </c>
      <c r="B1323" s="24" t="s">
        <v>161</v>
      </c>
      <c r="C1323" t="s">
        <v>162</v>
      </c>
      <c r="D1323" s="4">
        <v>55</v>
      </c>
      <c r="E1323" s="3" t="s">
        <v>163</v>
      </c>
      <c r="F1323" s="3" t="s">
        <v>2087</v>
      </c>
      <c r="G1323" s="4">
        <v>48</v>
      </c>
      <c r="H1323" s="3" t="s">
        <v>2088</v>
      </c>
      <c r="I1323" s="3" t="s">
        <v>167</v>
      </c>
      <c r="J1323" s="4">
        <v>3</v>
      </c>
      <c r="K1323" s="4">
        <v>962.46749999999997</v>
      </c>
      <c r="L1323" s="4" t="str">
        <f>HYPERLINK("http://ms.phosphosite.org:5080/cgi-bin/plot-msms.cgi?MassType=1&amp;NumAxis=1&amp;Mod5=170&amp;Mod8=147&amp;Mod24=147&amp;Pep=STSFRGGMGSGGLATGIAGGLAGMGGIQNEK&amp;Dta=/var/www/html/dta/yong/23612.13951.3.dta&amp;Global_Mod=CS57.0215", "13951")</f>
        <v>13951</v>
      </c>
      <c r="M1323" s="4" t="str">
        <f>HYPERLINK("http://ms.phosphosite.org:5080/cgi-bin/plot-msms.cgi?MassType=1&amp;NumAxis=1&amp;Mod5=170&amp;Mod8=147&amp;Mod24=147&amp;Pep=STSFRGGMGSGGLATGIAGGLAGMGGIQNEK&amp;Dta=/var/www/html/dta/yong/23613.13239.3.dta&amp;Global_Mod=CS57.0215", "13239")</f>
        <v>13239</v>
      </c>
      <c r="N1323" s="5">
        <v>57.73</v>
      </c>
      <c r="O1323" s="5">
        <v>54.8</v>
      </c>
      <c r="P1323" s="5">
        <v>4.7450000000000001</v>
      </c>
      <c r="Q1323" s="5">
        <v>5.2039999999999997</v>
      </c>
      <c r="R1323" s="5">
        <v>0.55789999999999995</v>
      </c>
      <c r="S1323" s="5">
        <v>1.1702999999999999</v>
      </c>
      <c r="T1323" s="5">
        <v>0.42380000000000001</v>
      </c>
      <c r="U1323" s="5">
        <v>0.3639</v>
      </c>
      <c r="V1323" s="4">
        <v>1</v>
      </c>
      <c r="W1323" s="4">
        <v>1</v>
      </c>
      <c r="X1323" s="5">
        <v>3.36</v>
      </c>
      <c r="Y1323" s="5">
        <v>3.21</v>
      </c>
      <c r="Z1323" s="6">
        <v>1000</v>
      </c>
      <c r="AA1323" s="6">
        <v>1000</v>
      </c>
      <c r="AB1323" s="4" t="s">
        <v>13</v>
      </c>
    </row>
    <row r="1324" spans="1:28">
      <c r="A1324" s="3" t="s">
        <v>160</v>
      </c>
      <c r="B1324" s="24" t="s">
        <v>161</v>
      </c>
      <c r="C1324" t="s">
        <v>162</v>
      </c>
      <c r="D1324" s="4">
        <v>55</v>
      </c>
      <c r="E1324" s="3" t="s">
        <v>163</v>
      </c>
      <c r="F1324" s="3" t="s">
        <v>2087</v>
      </c>
      <c r="G1324" s="4">
        <v>48</v>
      </c>
      <c r="H1324" s="3" t="s">
        <v>2088</v>
      </c>
      <c r="I1324" s="3" t="s">
        <v>167</v>
      </c>
      <c r="J1324" s="4">
        <v>3</v>
      </c>
      <c r="K1324" s="4">
        <v>962.46749999999997</v>
      </c>
      <c r="L1324" s="4" t="str">
        <f>HYPERLINK("http://ms.phosphosite.org:5080/cgi-bin/plot-msms.cgi?MassType=1&amp;NumAxis=1&amp;Mod5=170&amp;Mod8=147&amp;Mod24=147&amp;Pep=STSFRGGMGSGGLATGIAGGLAGMGGIQNEK&amp;Dta=/var/www/html/dta/yong/23612.13544.3.dta&amp;Global_Mod=CS57.0215", "13544")</f>
        <v>13544</v>
      </c>
      <c r="M1324" s="4" t="str">
        <f>HYPERLINK("http://ms.phosphosite.org:5080/cgi-bin/plot-msms.cgi?MassType=1&amp;NumAxis=1&amp;Mod5=170&amp;Mod8=147&amp;Mod24=147&amp;Pep=STSFRGGMGSGGLATGIAGGLAGMGGIQNEK&amp;Dta=/var/www/html/dta/yong/23613.13868.3.dta&amp;Global_Mod=CS57.0215", "13868")</f>
        <v>13868</v>
      </c>
      <c r="N1324" s="5">
        <v>56.21</v>
      </c>
      <c r="O1324" s="5">
        <v>57.03</v>
      </c>
      <c r="P1324" s="5">
        <v>5.9550000000000001</v>
      </c>
      <c r="Q1324" s="5">
        <v>4.9930000000000003</v>
      </c>
      <c r="R1324" s="5">
        <v>1.3557999999999999</v>
      </c>
      <c r="S1324" s="5">
        <v>3.4148999999999998</v>
      </c>
      <c r="T1324" s="5">
        <v>0.44919999999999999</v>
      </c>
      <c r="U1324" s="5">
        <v>0.41920000000000002</v>
      </c>
      <c r="V1324" s="4">
        <v>1</v>
      </c>
      <c r="W1324" s="4">
        <v>1</v>
      </c>
      <c r="X1324" s="5">
        <v>3.68</v>
      </c>
      <c r="Y1324" s="5">
        <v>3.32</v>
      </c>
      <c r="Z1324" s="6">
        <v>1000</v>
      </c>
      <c r="AA1324" s="6">
        <v>1000</v>
      </c>
      <c r="AB1324" s="4" t="s">
        <v>13</v>
      </c>
    </row>
    <row r="1325" spans="1:28">
      <c r="A1325" s="3" t="s">
        <v>160</v>
      </c>
      <c r="B1325" s="24" t="s">
        <v>161</v>
      </c>
      <c r="C1325" t="s">
        <v>162</v>
      </c>
      <c r="D1325" s="4">
        <v>55</v>
      </c>
      <c r="E1325" s="3" t="s">
        <v>163</v>
      </c>
      <c r="F1325" s="3" t="s">
        <v>2087</v>
      </c>
      <c r="G1325" s="4">
        <v>48</v>
      </c>
      <c r="H1325" s="3" t="s">
        <v>2088</v>
      </c>
      <c r="I1325" s="3" t="s">
        <v>167</v>
      </c>
      <c r="J1325" s="4">
        <v>3</v>
      </c>
      <c r="K1325" s="4">
        <v>962.46749999999997</v>
      </c>
      <c r="L1325" s="4" t="str">
        <f>HYPERLINK("http://ms.phosphosite.org:5080/cgi-bin/plot-msms.cgi?MassType=1&amp;NumAxis=1&amp;Mod5=170&amp;Mod8=147&amp;Mod24=147&amp;Pep=STSFRGGMGSGGLATGIAGGLAGMGGIQNEK&amp;Dta=/var/www/html/dta/yong/23612.12142.3.dta&amp;Global_Mod=CS57.0215", "12142")</f>
        <v>12142</v>
      </c>
      <c r="M1325" s="4" t="str">
        <f>HYPERLINK("http://ms.phosphosite.org:5080/cgi-bin/plot-msms.cgi?MassType=1&amp;NumAxis=1&amp;Mod5=170&amp;Mod8=147&amp;Mod24=147&amp;Pep=STSFRGGMGSGGLATGIAGGLAGMGGIQNEK&amp;Dta=/var/www/html/dta/yong/23613.11675.3.dta&amp;Global_Mod=CS57.0215", "11675")</f>
        <v>11675</v>
      </c>
      <c r="N1325" s="5">
        <v>51.26</v>
      </c>
      <c r="O1325" s="5">
        <v>49.44</v>
      </c>
      <c r="P1325" s="5">
        <v>6.1210000000000004</v>
      </c>
      <c r="Q1325" s="5">
        <v>6.3419999999999996</v>
      </c>
      <c r="R1325" s="5">
        <v>1.0394000000000001</v>
      </c>
      <c r="S1325" s="5">
        <v>0.81459999999999999</v>
      </c>
      <c r="T1325" s="5">
        <v>0.51529999999999998</v>
      </c>
      <c r="U1325" s="5">
        <v>0.42049999999999998</v>
      </c>
      <c r="V1325" s="4">
        <v>1</v>
      </c>
      <c r="W1325" s="4">
        <v>1</v>
      </c>
      <c r="X1325" s="5">
        <v>4.0599999999999996</v>
      </c>
      <c r="Y1325" s="5">
        <v>3.74</v>
      </c>
      <c r="Z1325" s="6">
        <v>1000</v>
      </c>
      <c r="AA1325" s="6">
        <v>1000</v>
      </c>
      <c r="AB1325" s="4" t="s">
        <v>13</v>
      </c>
    </row>
    <row r="1326" spans="1:28">
      <c r="A1326" s="3" t="s">
        <v>160</v>
      </c>
      <c r="B1326" s="24" t="s">
        <v>161</v>
      </c>
      <c r="C1326" t="s">
        <v>162</v>
      </c>
      <c r="D1326" s="4">
        <v>55</v>
      </c>
      <c r="E1326" s="3" t="s">
        <v>163</v>
      </c>
      <c r="F1326" s="3" t="s">
        <v>2087</v>
      </c>
      <c r="G1326" s="4">
        <v>48</v>
      </c>
      <c r="H1326" s="3" t="s">
        <v>2088</v>
      </c>
      <c r="I1326" s="3" t="s">
        <v>167</v>
      </c>
      <c r="J1326" s="4">
        <v>3</v>
      </c>
      <c r="K1326" s="4">
        <v>962.46749999999997</v>
      </c>
      <c r="L1326" s="4" t="str">
        <f>HYPERLINK("http://ms.phosphosite.org:5080/cgi-bin/plot-msms.cgi?MassType=1&amp;NumAxis=1&amp;Mod5=170&amp;Mod8=147&amp;Mod24=147&amp;Pep=STSFRGGMGSGGLATGIAGGLAGMGGIQNEK&amp;Dta=/var/www/html/dta/yong/23612.11603.3.dta&amp;Global_Mod=CS57.0215", "11603")</f>
        <v>11603</v>
      </c>
      <c r="M1326" s="4" t="str">
        <f>HYPERLINK("http://ms.phosphosite.org:5080/cgi-bin/plot-msms.cgi?MassType=1&amp;NumAxis=1&amp;Mod5=170&amp;Mod8=147&amp;Mod24=147&amp;Pep=STSFRGGMGSGGLATGIAGGLAGMGGIQNEK&amp;Dta=/var/www/html/dta/yong/23613.13843.3.dta&amp;Global_Mod=CS57.0215", "13843")</f>
        <v>13843</v>
      </c>
      <c r="N1326" s="5">
        <v>49.5</v>
      </c>
      <c r="O1326" s="5">
        <v>56.93</v>
      </c>
      <c r="P1326" s="5">
        <v>6.54</v>
      </c>
      <c r="Q1326" s="5">
        <v>3.47</v>
      </c>
      <c r="R1326" s="5">
        <v>0.91249999999999998</v>
      </c>
      <c r="S1326" s="5">
        <v>2.6175000000000002</v>
      </c>
      <c r="T1326" s="5">
        <v>0.51449999999999996</v>
      </c>
      <c r="U1326" s="5">
        <v>6.4799999999999996E-2</v>
      </c>
      <c r="V1326" s="4">
        <v>1</v>
      </c>
      <c r="W1326" s="4">
        <v>1</v>
      </c>
      <c r="X1326" s="5">
        <v>4.1399999999999997</v>
      </c>
      <c r="Y1326" s="5">
        <v>1.31</v>
      </c>
      <c r="Z1326" s="6">
        <v>1000</v>
      </c>
      <c r="AA1326" s="6">
        <v>1000</v>
      </c>
      <c r="AB1326" s="4" t="s">
        <v>13</v>
      </c>
    </row>
    <row r="1327" spans="1:28">
      <c r="A1327" s="3" t="s">
        <v>160</v>
      </c>
      <c r="B1327" s="24" t="s">
        <v>161</v>
      </c>
      <c r="C1327" t="s">
        <v>162</v>
      </c>
      <c r="D1327" s="4">
        <v>55</v>
      </c>
      <c r="E1327" s="3" t="s">
        <v>163</v>
      </c>
      <c r="F1327" s="3" t="s">
        <v>2087</v>
      </c>
      <c r="G1327" s="4">
        <v>48</v>
      </c>
      <c r="H1327" s="3" t="s">
        <v>2088</v>
      </c>
      <c r="I1327" s="3" t="s">
        <v>167</v>
      </c>
      <c r="J1327" s="4">
        <v>3</v>
      </c>
      <c r="K1327" s="4">
        <v>962.46749999999997</v>
      </c>
      <c r="L1327" s="4" t="str">
        <f>HYPERLINK("http://ms.phosphosite.org:5080/cgi-bin/plot-msms.cgi?MassType=1&amp;NumAxis=1&amp;Mod5=170&amp;Mod8=147&amp;Mod24=147&amp;Pep=STSFRGGMGSGGLATGIAGGLAGMGGIQNEK&amp;Dta=/var/www/html/dta/yong/23612.13199.3.dta&amp;Global_Mod=CS57.0215", "13199")</f>
        <v>13199</v>
      </c>
      <c r="M1327" s="4" t="str">
        <f>HYPERLINK("http://ms.phosphosite.org:5080/cgi-bin/plot-msms.cgi?MassType=1&amp;NumAxis=1&amp;Mod5=170&amp;Mod8=147&amp;Mod24=147&amp;Pep=STSFRGGMGSGGLATGIAGGLAGMGGIQNEK&amp;Dta=/var/www/html/dta/yong/23613.13720.3.dta&amp;Global_Mod=CS57.0215", "13720")</f>
        <v>13720</v>
      </c>
      <c r="N1327" s="5">
        <v>55.02</v>
      </c>
      <c r="O1327" s="5">
        <v>56.51</v>
      </c>
      <c r="P1327" s="5">
        <v>5.76</v>
      </c>
      <c r="Q1327" s="5">
        <v>4.125</v>
      </c>
      <c r="R1327" s="5">
        <v>1.1772</v>
      </c>
      <c r="S1327" s="5">
        <v>0.92120000000000002</v>
      </c>
      <c r="T1327" s="5">
        <v>0.47099999999999997</v>
      </c>
      <c r="U1327" s="5">
        <v>0.28060000000000002</v>
      </c>
      <c r="V1327" s="4">
        <v>1</v>
      </c>
      <c r="W1327" s="4">
        <v>2</v>
      </c>
      <c r="X1327" s="5">
        <v>3.76</v>
      </c>
      <c r="Y1327" s="5">
        <v>2.59</v>
      </c>
      <c r="Z1327" s="6">
        <v>1000</v>
      </c>
      <c r="AA1327" s="6">
        <v>1000</v>
      </c>
      <c r="AB1327" s="4" t="s">
        <v>13</v>
      </c>
    </row>
    <row r="1328" spans="1:28">
      <c r="A1328" s="3" t="s">
        <v>160</v>
      </c>
      <c r="B1328" s="24" t="s">
        <v>161</v>
      </c>
      <c r="C1328" t="s">
        <v>162</v>
      </c>
      <c r="D1328" s="4">
        <v>55</v>
      </c>
      <c r="E1328" s="3" t="s">
        <v>163</v>
      </c>
      <c r="F1328" s="3" t="s">
        <v>2087</v>
      </c>
      <c r="G1328" s="4">
        <v>48</v>
      </c>
      <c r="H1328" s="3" t="s">
        <v>2088</v>
      </c>
      <c r="I1328" s="3" t="s">
        <v>167</v>
      </c>
      <c r="J1328" s="4">
        <v>3</v>
      </c>
      <c r="K1328" s="4">
        <v>962.46749999999997</v>
      </c>
      <c r="L1328" s="4" t="str">
        <f>HYPERLINK("http://ms.phosphosite.org:5080/cgi-bin/plot-msms.cgi?MassType=1&amp;NumAxis=1&amp;Mod5=170&amp;Mod8=147&amp;Mod24=147&amp;Pep=STSFRGGMGSGGLATGIAGGLAGMGGIQNEK&amp;Dta=/var/www/html/dta/yong/23612.12661.3.dta&amp;Global_Mod=CS57.0215", "12661")</f>
        <v>12661</v>
      </c>
      <c r="M1328" s="4" t="str">
        <f>HYPERLINK("http://ms.phosphosite.org:5080/cgi-bin/plot-msms.cgi?MassType=1&amp;NumAxis=1&amp;Mod5=170&amp;Mod8=147&amp;Mod24=147&amp;Pep=STSFRGGMGSGGLATGIAGGLAGMGGIQNEK&amp;Dta=/var/www/html/dta/yong/23613.13916.3.dta&amp;Global_Mod=CS57.0215", "13916")</f>
        <v>13916</v>
      </c>
      <c r="N1328" s="5">
        <v>53.09</v>
      </c>
      <c r="O1328" s="5">
        <v>57.22</v>
      </c>
      <c r="P1328" s="5">
        <v>5.64</v>
      </c>
      <c r="Q1328" s="5">
        <v>4.1260000000000003</v>
      </c>
      <c r="R1328" s="5">
        <v>1.04</v>
      </c>
      <c r="S1328" s="5">
        <v>-0.29959999999999998</v>
      </c>
      <c r="T1328" s="5">
        <v>0.37459999999999999</v>
      </c>
      <c r="U1328" s="5">
        <v>0.28189999999999998</v>
      </c>
      <c r="V1328" s="4">
        <v>1</v>
      </c>
      <c r="W1328" s="4">
        <v>1</v>
      </c>
      <c r="X1328" s="5">
        <v>3.27</v>
      </c>
      <c r="Y1328" s="5">
        <v>2.59</v>
      </c>
      <c r="Z1328" s="6">
        <v>1000</v>
      </c>
      <c r="AA1328" s="6">
        <v>1000</v>
      </c>
      <c r="AB1328" s="4" t="s">
        <v>13</v>
      </c>
    </row>
    <row r="1329" spans="1:28">
      <c r="A1329" s="3" t="s">
        <v>160</v>
      </c>
      <c r="B1329" s="24" t="s">
        <v>161</v>
      </c>
      <c r="C1329" t="s">
        <v>162</v>
      </c>
      <c r="D1329" s="4">
        <v>55</v>
      </c>
      <c r="E1329" s="3" t="s">
        <v>163</v>
      </c>
      <c r="F1329" s="3" t="s">
        <v>2087</v>
      </c>
      <c r="G1329" s="4">
        <v>48</v>
      </c>
      <c r="H1329" s="3" t="s">
        <v>2088</v>
      </c>
      <c r="I1329" s="3" t="s">
        <v>167</v>
      </c>
      <c r="J1329" s="4">
        <v>3</v>
      </c>
      <c r="K1329" s="4">
        <v>962.46749999999997</v>
      </c>
      <c r="L1329" s="4" t="str">
        <f>HYPERLINK("http://ms.phosphosite.org:5080/cgi-bin/plot-msms.cgi?MassType=1&amp;NumAxis=1&amp;Mod5=170&amp;Mod8=147&amp;Mod24=147&amp;Pep=STSFRGGMGSGGLATGIAGGLAGMGGIQNEK&amp;Dta=/var/www/html/dta/yong/23612.13756.3.dta&amp;Global_Mod=CS57.0215", "13756")</f>
        <v>13756</v>
      </c>
      <c r="M1329" s="4" t="str">
        <f>HYPERLINK("http://ms.phosphosite.org:5080/cgi-bin/plot-msms.cgi?MassType=1&amp;NumAxis=1&amp;Mod5=170&amp;Mod8=147&amp;Mod24=147&amp;Pep=STSFRGGMGSGGLATGIAGGLAGMGGIQNEK&amp;Dta=/var/www/html/dta/yong/23613.12517.3.dta&amp;Global_Mod=CS57.0215", "12517")</f>
        <v>12517</v>
      </c>
      <c r="N1329" s="5">
        <v>56.99</v>
      </c>
      <c r="O1329" s="5">
        <v>52.25</v>
      </c>
      <c r="P1329" s="5">
        <v>5.6050000000000004</v>
      </c>
      <c r="Q1329" s="5">
        <v>5.7329999999999997</v>
      </c>
      <c r="R1329" s="5">
        <v>2.0402999999999998</v>
      </c>
      <c r="S1329" s="5">
        <v>1.4301999999999999</v>
      </c>
      <c r="T1329" s="5">
        <v>0.4461</v>
      </c>
      <c r="U1329" s="5">
        <v>0.38450000000000001</v>
      </c>
      <c r="V1329" s="4">
        <v>1</v>
      </c>
      <c r="W1329" s="4">
        <v>1</v>
      </c>
      <c r="X1329" s="5">
        <v>3.56</v>
      </c>
      <c r="Y1329" s="5">
        <v>3.41</v>
      </c>
      <c r="Z1329" s="6">
        <v>1000</v>
      </c>
      <c r="AA1329" s="6">
        <v>1000</v>
      </c>
      <c r="AB1329" s="4" t="s">
        <v>13</v>
      </c>
    </row>
    <row r="1330" spans="1:28">
      <c r="A1330" s="3" t="s">
        <v>160</v>
      </c>
      <c r="B1330" s="24" t="s">
        <v>161</v>
      </c>
      <c r="C1330" t="s">
        <v>162</v>
      </c>
      <c r="D1330" s="4">
        <v>55</v>
      </c>
      <c r="E1330" s="3" t="s">
        <v>163</v>
      </c>
      <c r="F1330" s="3" t="s">
        <v>2087</v>
      </c>
      <c r="G1330" s="4">
        <v>48</v>
      </c>
      <c r="H1330" s="3" t="s">
        <v>2088</v>
      </c>
      <c r="I1330" s="3" t="s">
        <v>167</v>
      </c>
      <c r="J1330" s="4">
        <v>3</v>
      </c>
      <c r="K1330" s="4">
        <v>962.46749999999997</v>
      </c>
      <c r="L1330" s="4" t="str">
        <f>HYPERLINK("http://ms.phosphosite.org:5080/cgi-bin/plot-msms.cgi?MassType=1&amp;NumAxis=1&amp;Mod5=170&amp;Mod8=147&amp;Mod24=147&amp;Pep=STSFRGGMGSGGLATGIAGGLAGMGGIQNEK&amp;Dta=/var/www/html/dta/yong/23612.12452.3.dta&amp;Global_Mod=CS57.0215", "12452")</f>
        <v>12452</v>
      </c>
      <c r="M1330" s="4" t="str">
        <f>HYPERLINK("http://ms.phosphosite.org:5080/cgi-bin/plot-msms.cgi?MassType=1&amp;NumAxis=1&amp;Mod5=170&amp;Mod8=147&amp;Mod24=147&amp;Pep=STSFRGGMGSGGLATGIAGGLAGMGGIQNEK&amp;Dta=/var/www/html/dta/yong/23613.14043.3.dta&amp;Global_Mod=CS57.0215", "14043")</f>
        <v>14043</v>
      </c>
      <c r="N1330" s="5">
        <v>52.36</v>
      </c>
      <c r="O1330" s="5">
        <v>57.69</v>
      </c>
      <c r="P1330" s="5">
        <v>6.806</v>
      </c>
      <c r="Q1330" s="5">
        <v>4.843</v>
      </c>
      <c r="R1330" s="5">
        <v>0.97919999999999996</v>
      </c>
      <c r="S1330" s="5">
        <v>1.7155</v>
      </c>
      <c r="T1330" s="5">
        <v>0.46710000000000002</v>
      </c>
      <c r="U1330" s="5">
        <v>0.42530000000000001</v>
      </c>
      <c r="V1330" s="4">
        <v>1</v>
      </c>
      <c r="W1330" s="4">
        <v>1</v>
      </c>
      <c r="X1330" s="5">
        <v>3.95</v>
      </c>
      <c r="Y1330" s="5">
        <v>3.41</v>
      </c>
      <c r="Z1330" s="6">
        <v>1000</v>
      </c>
      <c r="AA1330" s="6">
        <v>1000</v>
      </c>
      <c r="AB1330" s="4" t="s">
        <v>13</v>
      </c>
    </row>
    <row r="1331" spans="1:28">
      <c r="A1331" s="3" t="s">
        <v>160</v>
      </c>
      <c r="B1331" s="24" t="s">
        <v>161</v>
      </c>
      <c r="C1331" t="s">
        <v>162</v>
      </c>
      <c r="D1331" s="4">
        <v>55</v>
      </c>
      <c r="E1331" s="3" t="s">
        <v>163</v>
      </c>
      <c r="F1331" s="3" t="s">
        <v>2087</v>
      </c>
      <c r="G1331" s="4">
        <v>48</v>
      </c>
      <c r="H1331" s="3" t="s">
        <v>2088</v>
      </c>
      <c r="I1331" s="3" t="s">
        <v>167</v>
      </c>
      <c r="J1331" s="4">
        <v>3</v>
      </c>
      <c r="K1331" s="4">
        <v>962.46749999999997</v>
      </c>
      <c r="L1331" s="4" t="str">
        <f>HYPERLINK("http://ms.phosphosite.org:5080/cgi-bin/plot-msms.cgi?MassType=1&amp;NumAxis=1&amp;Mod5=170&amp;Mod8=147&amp;Mod24=147&amp;Pep=STSFRGGMGSGGLATGIAGGLAGMGGIQNEK&amp;Dta=/var/www/html/dta/yong/23612.12869.3.dta&amp;Global_Mod=CS57.0215", "12869")</f>
        <v>12869</v>
      </c>
      <c r="M1331" s="4" t="str">
        <f>HYPERLINK("http://ms.phosphosite.org:5080/cgi-bin/plot-msms.cgi?MassType=1&amp;NumAxis=1&amp;Mod5=170&amp;Mod8=147&amp;Mod24=147&amp;Pep=STSFRGGMGSGGLATGIAGGLAGMGGIQNEK&amp;Dta=/var/www/html/dta/yong/23613.11890.3.dta&amp;Global_Mod=CS57.0215", "11890")</f>
        <v>11890</v>
      </c>
      <c r="N1331" s="5">
        <v>53.78</v>
      </c>
      <c r="O1331" s="5">
        <v>50.14</v>
      </c>
      <c r="P1331" s="5">
        <v>5.7809999999999997</v>
      </c>
      <c r="Q1331" s="5">
        <v>5.4029999999999996</v>
      </c>
      <c r="R1331" s="5">
        <v>1.1383000000000001</v>
      </c>
      <c r="S1331" s="5">
        <v>0.4788</v>
      </c>
      <c r="T1331" s="5">
        <v>0.46160000000000001</v>
      </c>
      <c r="U1331" s="5">
        <v>0.4677</v>
      </c>
      <c r="V1331" s="4">
        <v>1</v>
      </c>
      <c r="W1331" s="4">
        <v>1</v>
      </c>
      <c r="X1331" s="5">
        <v>3.72</v>
      </c>
      <c r="Y1331" s="5">
        <v>3.8</v>
      </c>
      <c r="Z1331" s="6">
        <v>1000</v>
      </c>
      <c r="AA1331" s="6">
        <v>1000</v>
      </c>
      <c r="AB1331" s="4" t="s">
        <v>13</v>
      </c>
    </row>
    <row r="1332" spans="1:28">
      <c r="A1332" s="3" t="s">
        <v>160</v>
      </c>
      <c r="B1332" s="24" t="s">
        <v>161</v>
      </c>
      <c r="C1332" t="s">
        <v>162</v>
      </c>
      <c r="D1332" s="4">
        <v>55</v>
      </c>
      <c r="E1332" s="3" t="s">
        <v>163</v>
      </c>
      <c r="F1332" s="3" t="s">
        <v>2087</v>
      </c>
      <c r="G1332" s="4">
        <v>48</v>
      </c>
      <c r="H1332" s="3" t="s">
        <v>2088</v>
      </c>
      <c r="I1332" s="3" t="s">
        <v>167</v>
      </c>
      <c r="J1332" s="4">
        <v>3</v>
      </c>
      <c r="K1332" s="4">
        <v>962.46749999999997</v>
      </c>
      <c r="L1332" s="4"/>
      <c r="M1332" s="4" t="str">
        <f>HYPERLINK("http://ms.phosphosite.org:5080/cgi-bin/plot-msms.cgi?MassType=1&amp;NumAxis=1&amp;Mod5=170&amp;Mod8=147&amp;Mod24=147&amp;Pep=STSFRGGMGSGGLATGIAGGLAGMGGIQNEK&amp;Dta=/var/www/html/dta/yong/23613.13474.3.dta&amp;Global_Mod=CS57.0215", "13474")</f>
        <v>13474</v>
      </c>
      <c r="N1332" s="5"/>
      <c r="O1332" s="5">
        <v>55.67</v>
      </c>
      <c r="P1332" s="5"/>
      <c r="Q1332" s="5">
        <v>4.1609999999999996</v>
      </c>
      <c r="R1332" s="5"/>
      <c r="S1332" s="5">
        <v>1.6681999999999999</v>
      </c>
      <c r="T1332" s="5"/>
      <c r="U1332" s="5">
        <v>0.31009999999999999</v>
      </c>
      <c r="V1332" s="4"/>
      <c r="W1332" s="4">
        <v>1</v>
      </c>
      <c r="X1332" s="5"/>
      <c r="Y1332" s="5">
        <v>2.71</v>
      </c>
      <c r="Z1332" s="6"/>
      <c r="AA1332" s="6">
        <v>1000</v>
      </c>
      <c r="AB1332" s="4" t="s">
        <v>13</v>
      </c>
    </row>
    <row r="1333" spans="1:28">
      <c r="A1333" s="3" t="s">
        <v>160</v>
      </c>
      <c r="B1333" s="24" t="s">
        <v>161</v>
      </c>
      <c r="C1333" t="s">
        <v>162</v>
      </c>
      <c r="D1333" s="4">
        <v>55</v>
      </c>
      <c r="E1333" s="3" t="s">
        <v>163</v>
      </c>
      <c r="F1333" s="3" t="s">
        <v>2087</v>
      </c>
      <c r="G1333" s="4">
        <v>48</v>
      </c>
      <c r="H1333" s="3" t="s">
        <v>2088</v>
      </c>
      <c r="I1333" s="3" t="s">
        <v>167</v>
      </c>
      <c r="J1333" s="4">
        <v>4</v>
      </c>
      <c r="K1333" s="4">
        <v>722.10249999999996</v>
      </c>
      <c r="L1333" s="4" t="str">
        <f>HYPERLINK("http://ms.phosphosite.org:5080/cgi-bin/plot-msms.cgi?MassType=1&amp;NumAxis=1&amp;Mod5=170&amp;Mod8=147&amp;Mod24=147&amp;Pep=STSFRGGMGSGGLATGIAGGLAGMGGIQNEK&amp;Dta=/var/www/html/dta/yong/23612.11606.4.dta&amp;Global_Mod=CS57.0215", "11606")</f>
        <v>11606</v>
      </c>
      <c r="M1333" s="4" t="str">
        <f>HYPERLINK("http://ms.phosphosite.org:5080/cgi-bin/plot-msms.cgi?MassType=1&amp;NumAxis=1&amp;Mod5=170&amp;Mod8=147&amp;Mod24=147&amp;Pep=STSFRGGMGSGGLATGIAGGLAGMGGIQNEK&amp;Dta=/var/www/html/dta/yong/23613.11679.4.dta&amp;Global_Mod=CS57.0215", "11679")</f>
        <v>11679</v>
      </c>
      <c r="N1333" s="5">
        <v>49.51</v>
      </c>
      <c r="O1333" s="5">
        <v>49.45</v>
      </c>
      <c r="P1333" s="5">
        <v>4.9059999999999997</v>
      </c>
      <c r="Q1333" s="5">
        <v>5.2279999999999998</v>
      </c>
      <c r="R1333" s="5">
        <v>0.80200000000000005</v>
      </c>
      <c r="S1333" s="5">
        <v>0.71099999999999997</v>
      </c>
      <c r="T1333" s="5">
        <v>0.35659999999999997</v>
      </c>
      <c r="U1333" s="5">
        <v>0.23710000000000001</v>
      </c>
      <c r="V1333" s="4">
        <v>1</v>
      </c>
      <c r="W1333" s="4">
        <v>1</v>
      </c>
      <c r="X1333" s="5">
        <v>3.11</v>
      </c>
      <c r="Y1333" s="5">
        <v>2.66</v>
      </c>
      <c r="Z1333" s="6">
        <v>1000</v>
      </c>
      <c r="AA1333" s="6">
        <v>1000</v>
      </c>
      <c r="AB1333" s="4" t="s">
        <v>13</v>
      </c>
    </row>
    <row r="1334" spans="1:28">
      <c r="A1334" s="3" t="s">
        <v>160</v>
      </c>
      <c r="B1334" s="24" t="s">
        <v>161</v>
      </c>
      <c r="C1334" t="s">
        <v>162</v>
      </c>
      <c r="D1334" s="4">
        <v>55</v>
      </c>
      <c r="E1334" s="3" t="s">
        <v>163</v>
      </c>
      <c r="F1334" s="3" t="s">
        <v>2087</v>
      </c>
      <c r="G1334" s="4">
        <v>48</v>
      </c>
      <c r="H1334" s="3" t="s">
        <v>2088</v>
      </c>
      <c r="I1334" s="3" t="s">
        <v>167</v>
      </c>
      <c r="J1334" s="4">
        <v>4</v>
      </c>
      <c r="K1334" s="4">
        <v>722.10249999999996</v>
      </c>
      <c r="L1334" s="4"/>
      <c r="M1334" s="4" t="str">
        <f>HYPERLINK("http://ms.phosphosite.org:5080/cgi-bin/plot-msms.cgi?MassType=1&amp;NumAxis=1&amp;Mod5=170&amp;Mod8=147&amp;Mod24=147&amp;Pep=STSFRGGMGSGGLATGIAGGLAGMGGIQNEK&amp;Dta=/var/www/html/dta/yong/23613.11989.4.dta&amp;Global_Mod=CS57.0215", "11989")</f>
        <v>11989</v>
      </c>
      <c r="N1334" s="5"/>
      <c r="O1334" s="5">
        <v>50.45</v>
      </c>
      <c r="P1334" s="5"/>
      <c r="Q1334" s="5">
        <v>4.0339999999999998</v>
      </c>
      <c r="R1334" s="5"/>
      <c r="S1334" s="5">
        <v>-8.2400000000000001E-2</v>
      </c>
      <c r="T1334" s="5"/>
      <c r="U1334" s="5">
        <v>0.1701</v>
      </c>
      <c r="V1334" s="4"/>
      <c r="W1334" s="4">
        <v>1</v>
      </c>
      <c r="X1334" s="5"/>
      <c r="Y1334" s="5">
        <v>2.0699999999999998</v>
      </c>
      <c r="Z1334" s="6"/>
      <c r="AA1334" s="6">
        <v>1000</v>
      </c>
      <c r="AB1334" s="4" t="s">
        <v>13</v>
      </c>
    </row>
    <row r="1335" spans="1:28">
      <c r="A1335" s="3" t="s">
        <v>160</v>
      </c>
      <c r="B1335" s="24" t="s">
        <v>161</v>
      </c>
      <c r="C1335" t="s">
        <v>162</v>
      </c>
      <c r="D1335" s="4">
        <v>55</v>
      </c>
      <c r="E1335" s="3" t="s">
        <v>163</v>
      </c>
      <c r="F1335" s="3" t="s">
        <v>2087</v>
      </c>
      <c r="G1335" s="4">
        <v>48</v>
      </c>
      <c r="H1335" s="3" t="s">
        <v>2088</v>
      </c>
      <c r="I1335" s="3" t="s">
        <v>2102</v>
      </c>
      <c r="J1335" s="4">
        <v>4</v>
      </c>
      <c r="K1335" s="4">
        <v>994.72029999999995</v>
      </c>
      <c r="L1335" s="4" t="str">
        <f>HYPERLINK("http://ms.phosphosite.org:5080/cgi-bin/plot-msms.cgi?MassType=1&amp;NumAxis=1&amp;Mod5=170&amp;Mod8=147&amp;Mod24=147&amp;Mod34=147&amp;Pep=STSFRGGMGSGGLATGIAGGLAGMGGIQNEKETMQSLNDR&amp;Dta=/var/www/html/dta/yong/23612.11653.4.dta&amp;Global_Mod=CS57.0215", "11653")</f>
        <v>11653</v>
      </c>
      <c r="M1335" s="4" t="str">
        <f>HYPERLINK("http://ms.phosphosite.org:5080/cgi-bin/plot-msms.cgi?MassType=1&amp;NumAxis=1&amp;Mod5=170&amp;Mod8=147&amp;Mod24=147&amp;Mod34=147&amp;Pep=STSFRGGMGSGGLATGIAGGLAGMGGIQNEKETMQSLNDR&amp;Dta=/var/www/html/dta/yong/23613.11497.4.dta&amp;Global_Mod=CS57.0215", "11497")</f>
        <v>11497</v>
      </c>
      <c r="N1335" s="5">
        <v>49.67</v>
      </c>
      <c r="O1335" s="5">
        <v>48.85</v>
      </c>
      <c r="P1335" s="5">
        <v>3.206</v>
      </c>
      <c r="Q1335" s="5">
        <v>3.89</v>
      </c>
      <c r="R1335" s="5">
        <v>0.64400000000000002</v>
      </c>
      <c r="S1335" s="5">
        <v>1.1032999999999999</v>
      </c>
      <c r="T1335" s="5">
        <v>0.1545</v>
      </c>
      <c r="U1335" s="5">
        <v>0.26429999999999998</v>
      </c>
      <c r="V1335" s="4">
        <v>1</v>
      </c>
      <c r="W1335" s="4">
        <v>1</v>
      </c>
      <c r="X1335" s="5">
        <v>1.5</v>
      </c>
      <c r="Y1335" s="5">
        <v>2.2000000000000002</v>
      </c>
      <c r="Z1335" s="6">
        <v>1000</v>
      </c>
      <c r="AA1335" s="6">
        <v>1000</v>
      </c>
      <c r="AB1335" s="4" t="s">
        <v>13</v>
      </c>
    </row>
    <row r="1336" spans="1:28">
      <c r="A1336" s="3" t="s">
        <v>160</v>
      </c>
      <c r="B1336" s="24" t="s">
        <v>161</v>
      </c>
      <c r="C1336" t="s">
        <v>162</v>
      </c>
      <c r="D1336" s="4">
        <v>55</v>
      </c>
      <c r="E1336" s="3" t="s">
        <v>163</v>
      </c>
      <c r="F1336" s="3" t="s">
        <v>2087</v>
      </c>
      <c r="G1336" s="4">
        <v>48</v>
      </c>
      <c r="H1336" s="3" t="s">
        <v>2088</v>
      </c>
      <c r="I1336" s="3" t="s">
        <v>2102</v>
      </c>
      <c r="J1336" s="4">
        <v>4</v>
      </c>
      <c r="K1336" s="4">
        <v>994.72029999999995</v>
      </c>
      <c r="L1336" s="4" t="str">
        <f>HYPERLINK("http://ms.phosphosite.org:5080/cgi-bin/plot-msms.cgi?MassType=1&amp;NumAxis=1&amp;Mod5=170&amp;Mod8=147&amp;Mod24=147&amp;Mod34=147&amp;Pep=STSFRGGMGSGGLATGIAGGLAGMGGIQNEKETMQSLNDR&amp;Dta=/var/www/html/dta/yong/23612.11440.4.dta&amp;Global_Mod=CS57.0215", "11440")</f>
        <v>11440</v>
      </c>
      <c r="M1336" s="4" t="str">
        <f>HYPERLINK("http://ms.phosphosite.org:5080/cgi-bin/plot-msms.cgi?MassType=1&amp;NumAxis=1&amp;Mod5=170&amp;Mod8=147&amp;Mod24=147&amp;Mod34=147&amp;Pep=STSFRGGMGSGGLATGIAGGLAGMGGIQNEKETMQSLNDR&amp;Dta=/var/www/html/dta/yong/23613.11508.4.dta&amp;Global_Mod=CS57.0215", "11508")</f>
        <v>11508</v>
      </c>
      <c r="N1336" s="5">
        <v>48.95</v>
      </c>
      <c r="O1336" s="5">
        <v>48.89</v>
      </c>
      <c r="P1336" s="5">
        <v>3.8839999999999999</v>
      </c>
      <c r="Q1336" s="5">
        <v>4.0540000000000003</v>
      </c>
      <c r="R1336" s="5">
        <v>1.1335</v>
      </c>
      <c r="S1336" s="5">
        <v>1.091</v>
      </c>
      <c r="T1336" s="5">
        <v>0.25290000000000001</v>
      </c>
      <c r="U1336" s="5">
        <v>0.23769999999999999</v>
      </c>
      <c r="V1336" s="4">
        <v>1</v>
      </c>
      <c r="W1336" s="4">
        <v>1</v>
      </c>
      <c r="X1336" s="5">
        <v>2.09</v>
      </c>
      <c r="Y1336" s="5">
        <v>2.1</v>
      </c>
      <c r="Z1336" s="6">
        <v>1000</v>
      </c>
      <c r="AA1336" s="6">
        <v>1000</v>
      </c>
      <c r="AB1336" s="4" t="s">
        <v>13</v>
      </c>
    </row>
    <row r="1337" spans="1:28">
      <c r="A1337" s="3" t="s">
        <v>160</v>
      </c>
      <c r="B1337" s="24" t="s">
        <v>161</v>
      </c>
      <c r="C1337" t="s">
        <v>162</v>
      </c>
      <c r="D1337" s="4">
        <v>55</v>
      </c>
      <c r="E1337" s="3" t="s">
        <v>163</v>
      </c>
      <c r="F1337" s="3" t="s">
        <v>2087</v>
      </c>
      <c r="G1337" s="4">
        <v>48</v>
      </c>
      <c r="H1337" s="3" t="s">
        <v>2088</v>
      </c>
      <c r="I1337" s="3" t="s">
        <v>2102</v>
      </c>
      <c r="J1337" s="4">
        <v>4</v>
      </c>
      <c r="K1337" s="4">
        <v>994.72029999999995</v>
      </c>
      <c r="L1337" s="4"/>
      <c r="M1337" s="4" t="str">
        <f>HYPERLINK("http://ms.phosphosite.org:5080/cgi-bin/plot-msms.cgi?MassType=1&amp;NumAxis=1&amp;Mod5=170&amp;Mod8=147&amp;Mod24=147&amp;Mod34=147&amp;Pep=STSFRGGMGSGGLATGIAGGLAGMGGIQNEKETMQSLNDR&amp;Dta=/var/www/html/dta/yong/23613.11721.4.dta&amp;Global_Mod=CS57.0215", "11721")</f>
        <v>11721</v>
      </c>
      <c r="N1337" s="5"/>
      <c r="O1337" s="5">
        <v>49.59</v>
      </c>
      <c r="P1337" s="5"/>
      <c r="Q1337" s="5">
        <v>3.1320000000000001</v>
      </c>
      <c r="R1337" s="5"/>
      <c r="S1337" s="5">
        <v>0.47670000000000001</v>
      </c>
      <c r="T1337" s="5"/>
      <c r="U1337" s="5">
        <v>2.8E-3</v>
      </c>
      <c r="V1337" s="4"/>
      <c r="W1337" s="4">
        <v>1</v>
      </c>
      <c r="X1337" s="5"/>
      <c r="Y1337" s="5">
        <v>0.79</v>
      </c>
      <c r="Z1337" s="6"/>
      <c r="AA1337" s="6">
        <v>1000</v>
      </c>
      <c r="AB1337" s="4" t="s">
        <v>13</v>
      </c>
    </row>
    <row r="1338" spans="1:28">
      <c r="A1338" s="3" t="s">
        <v>160</v>
      </c>
      <c r="B1338" s="24" t="s">
        <v>161</v>
      </c>
      <c r="C1338" t="s">
        <v>162</v>
      </c>
      <c r="D1338" s="4">
        <v>55</v>
      </c>
      <c r="E1338" s="3" t="s">
        <v>163</v>
      </c>
      <c r="F1338" s="3" t="s">
        <v>2087</v>
      </c>
      <c r="G1338" s="4">
        <v>48</v>
      </c>
      <c r="H1338" s="3" t="s">
        <v>2088</v>
      </c>
      <c r="I1338" s="3" t="s">
        <v>2102</v>
      </c>
      <c r="J1338" s="4">
        <v>4</v>
      </c>
      <c r="K1338" s="4">
        <v>994.72029999999995</v>
      </c>
      <c r="L1338" s="4"/>
      <c r="M1338" s="4" t="str">
        <f>HYPERLINK("http://ms.phosphosite.org:5080/cgi-bin/plot-msms.cgi?MassType=1&amp;NumAxis=1&amp;Mod5=170&amp;Mod8=147&amp;Mod24=147&amp;Mod34=147&amp;Pep=STSFRGGMGSGGLATGIAGGLAGMGGIQNEKETMQSLNDR&amp;Dta=/var/www/html/dta/yong/23613.11798.4.dta&amp;Global_Mod=CS57.0215", "11798")</f>
        <v>11798</v>
      </c>
      <c r="N1338" s="5"/>
      <c r="O1338" s="5">
        <v>49.84</v>
      </c>
      <c r="P1338" s="5"/>
      <c r="Q1338" s="5">
        <v>3.1859999999999999</v>
      </c>
      <c r="R1338" s="5"/>
      <c r="S1338" s="5">
        <v>0.2072</v>
      </c>
      <c r="T1338" s="5"/>
      <c r="U1338" s="5">
        <v>5.5500000000000001E-2</v>
      </c>
      <c r="V1338" s="4"/>
      <c r="W1338" s="4">
        <v>1</v>
      </c>
      <c r="X1338" s="5"/>
      <c r="Y1338" s="5">
        <v>1.05</v>
      </c>
      <c r="Z1338" s="6"/>
      <c r="AA1338" s="6">
        <v>1000</v>
      </c>
      <c r="AB1338" s="4" t="s">
        <v>13</v>
      </c>
    </row>
    <row r="1339" spans="1:28">
      <c r="A1339" s="3" t="s">
        <v>160</v>
      </c>
      <c r="B1339" s="24" t="s">
        <v>161</v>
      </c>
      <c r="C1339" t="s">
        <v>162</v>
      </c>
      <c r="D1339" s="4">
        <v>55</v>
      </c>
      <c r="E1339" s="3" t="s">
        <v>163</v>
      </c>
      <c r="F1339" s="3" t="s">
        <v>2087</v>
      </c>
      <c r="G1339" s="4">
        <v>48</v>
      </c>
      <c r="H1339" s="3" t="s">
        <v>2088</v>
      </c>
      <c r="I1339" s="3" t="s">
        <v>2103</v>
      </c>
      <c r="J1339" s="4">
        <v>4</v>
      </c>
      <c r="K1339" s="4">
        <v>990.72159999999997</v>
      </c>
      <c r="L1339" s="4" t="str">
        <f>HYPERLINK("http://ms.phosphosite.org:5080/cgi-bin/plot-msms.cgi?MassType=1&amp;NumAxis=1&amp;Mod5=170&amp;Mod8=147&amp;Mod24=147&amp;Pep=STSFRGGMGSGGLATGIAGGLAGMGGIQNEKETMQSLNDR&amp;Dta=/var/www/html/dta/yong/23612.13035.4.dta&amp;Global_Mod=CS57.0215", "13035")</f>
        <v>13035</v>
      </c>
      <c r="M1339" s="4" t="str">
        <f>HYPERLINK("http://ms.phosphosite.org:5080/cgi-bin/plot-msms.cgi?MassType=1&amp;NumAxis=1&amp;Mod5=170&amp;Mod8=147&amp;Mod24=147&amp;Pep=STSFRGGMGSGGLATGIAGGLAGMGGIQNEKETMQSLNDR&amp;Dta=/var/www/html/dta/yong/23613.13144.4.dta&amp;Global_Mod=CS57.0215", "13144")</f>
        <v>13144</v>
      </c>
      <c r="N1339" s="5">
        <v>54.38</v>
      </c>
      <c r="O1339" s="5">
        <v>54.43</v>
      </c>
      <c r="P1339" s="5">
        <v>3.093</v>
      </c>
      <c r="Q1339" s="5">
        <v>3.044</v>
      </c>
      <c r="R1339" s="5">
        <v>1.0019</v>
      </c>
      <c r="S1339" s="5">
        <v>0.74160000000000004</v>
      </c>
      <c r="T1339" s="5">
        <v>0.1087</v>
      </c>
      <c r="U1339" s="5">
        <v>6.0900000000000003E-2</v>
      </c>
      <c r="V1339" s="4">
        <v>2</v>
      </c>
      <c r="W1339" s="4">
        <v>1</v>
      </c>
      <c r="X1339" s="5">
        <v>1.23</v>
      </c>
      <c r="Y1339" s="5">
        <v>1.04</v>
      </c>
      <c r="Z1339" s="6">
        <v>1000</v>
      </c>
      <c r="AA1339" s="6">
        <v>1000</v>
      </c>
      <c r="AB1339" s="4" t="s">
        <v>13</v>
      </c>
    </row>
    <row r="1340" spans="1:28">
      <c r="A1340" s="3" t="s">
        <v>160</v>
      </c>
      <c r="B1340" s="24" t="s">
        <v>161</v>
      </c>
      <c r="C1340" t="s">
        <v>162</v>
      </c>
      <c r="D1340" s="4">
        <v>55</v>
      </c>
      <c r="E1340" s="3" t="s">
        <v>163</v>
      </c>
      <c r="F1340" s="3" t="s">
        <v>2087</v>
      </c>
      <c r="G1340" s="4">
        <v>48</v>
      </c>
      <c r="H1340" s="3" t="s">
        <v>2088</v>
      </c>
      <c r="I1340" s="3" t="s">
        <v>2103</v>
      </c>
      <c r="J1340" s="4">
        <v>5</v>
      </c>
      <c r="K1340" s="4">
        <v>792.77869999999996</v>
      </c>
      <c r="L1340" s="4"/>
      <c r="M1340" s="4" t="str">
        <f>HYPERLINK("http://ms.phosphosite.org:5080/cgi-bin/plot-msms.cgi?MassType=1&amp;NumAxis=1&amp;Mod5=170&amp;Mod8=147&amp;Mod24=147&amp;Pep=STSFRGGMGSGGLATGIAGGLAGMGGIQNEKETMQSLNDR&amp;Dta=/var/www/html/dta/yong/23613.13154.5.dta&amp;Global_Mod=CS57.0215", "13154")</f>
        <v>13154</v>
      </c>
      <c r="N1340" s="5"/>
      <c r="O1340" s="5">
        <v>54.46</v>
      </c>
      <c r="P1340" s="5"/>
      <c r="Q1340" s="5">
        <v>3.3530000000000002</v>
      </c>
      <c r="R1340" s="5"/>
      <c r="S1340" s="5">
        <v>0.8458</v>
      </c>
      <c r="T1340" s="5"/>
      <c r="U1340" s="5">
        <v>5.2600000000000001E-2</v>
      </c>
      <c r="V1340" s="4"/>
      <c r="W1340" s="4">
        <v>4</v>
      </c>
      <c r="X1340" s="5"/>
      <c r="Y1340" s="5">
        <v>1.1000000000000001</v>
      </c>
      <c r="Z1340" s="6"/>
      <c r="AA1340" s="6">
        <v>1000</v>
      </c>
      <c r="AB1340" s="4" t="s">
        <v>13</v>
      </c>
    </row>
    <row r="1341" spans="1:28">
      <c r="A1341" s="3" t="s">
        <v>160</v>
      </c>
      <c r="B1341" s="24" t="s">
        <v>161</v>
      </c>
      <c r="C1341" t="s">
        <v>162</v>
      </c>
      <c r="D1341" s="4">
        <v>55</v>
      </c>
      <c r="E1341" s="3" t="s">
        <v>163</v>
      </c>
      <c r="F1341" s="3" t="s">
        <v>2087</v>
      </c>
      <c r="G1341" s="4">
        <v>48</v>
      </c>
      <c r="H1341" s="3" t="s">
        <v>2088</v>
      </c>
      <c r="I1341" s="3" t="s">
        <v>2104</v>
      </c>
      <c r="J1341" s="4">
        <v>3</v>
      </c>
      <c r="K1341" s="4">
        <v>957.13589999999999</v>
      </c>
      <c r="L1341" s="4" t="str">
        <f>HYPERLINK("http://ms.phosphosite.org:5080/cgi-bin/plot-msms.cgi?MassType=1&amp;NumAxis=1&amp;Mod5=170&amp;Mod8=147&amp;Pep=STSFRGGMGSGGLATGIAGGLAGMGGIQNEK&amp;Dta=/var/www/html/dta/yong/23612.14102.3.dta&amp;Global_Mod=CS57.0215", "14102")</f>
        <v>14102</v>
      </c>
      <c r="M1341" s="4" t="str">
        <f>HYPERLINK("http://ms.phosphosite.org:5080/cgi-bin/plot-msms.cgi?MassType=1&amp;NumAxis=1&amp;Mod5=170&amp;Mod8=147&amp;Pep=STSFRGGMGSGGLATGIAGGLAGMGGIQNEK&amp;Dta=/var/www/html/dta/yong/23613.14197.3.dta&amp;Global_Mod=CS57.0215", "14197")</f>
        <v>14197</v>
      </c>
      <c r="N1341" s="5">
        <v>58.27</v>
      </c>
      <c r="O1341" s="5">
        <v>58.27</v>
      </c>
      <c r="P1341" s="5">
        <v>5.8179999999999996</v>
      </c>
      <c r="Q1341" s="5">
        <v>5.4249999999999998</v>
      </c>
      <c r="R1341" s="5">
        <v>0.78910000000000002</v>
      </c>
      <c r="S1341" s="5">
        <v>0.87990000000000002</v>
      </c>
      <c r="T1341" s="5">
        <v>0.4914</v>
      </c>
      <c r="U1341" s="5">
        <v>0.41420000000000001</v>
      </c>
      <c r="V1341" s="4">
        <v>1</v>
      </c>
      <c r="W1341" s="4">
        <v>1</v>
      </c>
      <c r="X1341" s="5">
        <v>3.89</v>
      </c>
      <c r="Y1341" s="5">
        <v>3.52</v>
      </c>
      <c r="Z1341" s="6">
        <v>1000</v>
      </c>
      <c r="AA1341" s="6">
        <v>1000</v>
      </c>
      <c r="AB1341" s="4" t="s">
        <v>13</v>
      </c>
    </row>
    <row r="1342" spans="1:28">
      <c r="A1342" s="3" t="s">
        <v>160</v>
      </c>
      <c r="B1342" s="24" t="s">
        <v>161</v>
      </c>
      <c r="C1342" t="s">
        <v>162</v>
      </c>
      <c r="D1342" s="4">
        <v>55</v>
      </c>
      <c r="E1342" s="3" t="s">
        <v>163</v>
      </c>
      <c r="F1342" s="3" t="s">
        <v>2087</v>
      </c>
      <c r="G1342" s="4">
        <v>48</v>
      </c>
      <c r="H1342" s="3" t="s">
        <v>2088</v>
      </c>
      <c r="I1342" s="3" t="s">
        <v>2104</v>
      </c>
      <c r="J1342" s="4">
        <v>3</v>
      </c>
      <c r="K1342" s="4">
        <v>957.13589999999999</v>
      </c>
      <c r="L1342" s="4" t="str">
        <f>HYPERLINK("http://ms.phosphosite.org:5080/cgi-bin/plot-msms.cgi?MassType=1&amp;NumAxis=1&amp;Mod5=170&amp;Mod8=147&amp;Pep=STSFRGGMGSGGLATGIAGGLAGMGGIQNEK&amp;Dta=/var/www/html/dta/yong/23612.14329.3.dta&amp;Global_Mod=CS57.0215", "14329")</f>
        <v>14329</v>
      </c>
      <c r="M1342" s="4" t="str">
        <f>HYPERLINK("http://ms.phosphosite.org:5080/cgi-bin/plot-msms.cgi?MassType=1&amp;NumAxis=1&amp;Mod5=170&amp;Mod8=147&amp;Pep=STSFRGGMGSGGLATGIAGGLAGMGGIQNEK&amp;Dta=/var/www/html/dta/yong/23613.14214.3.dta&amp;Global_Mod=CS57.0215", "14214")</f>
        <v>14214</v>
      </c>
      <c r="N1342" s="5">
        <v>59.05</v>
      </c>
      <c r="O1342" s="5">
        <v>58.34</v>
      </c>
      <c r="P1342" s="5">
        <v>4.96</v>
      </c>
      <c r="Q1342" s="5">
        <v>6.2990000000000004</v>
      </c>
      <c r="R1342" s="5">
        <v>0.82569999999999999</v>
      </c>
      <c r="S1342" s="5">
        <v>0.87639999999999996</v>
      </c>
      <c r="T1342" s="5">
        <v>0.43049999999999999</v>
      </c>
      <c r="U1342" s="5">
        <v>0.44529999999999997</v>
      </c>
      <c r="V1342" s="4">
        <v>1</v>
      </c>
      <c r="W1342" s="4">
        <v>1</v>
      </c>
      <c r="X1342" s="5">
        <v>3.42</v>
      </c>
      <c r="Y1342" s="5">
        <v>3.85</v>
      </c>
      <c r="Z1342" s="6">
        <v>1000</v>
      </c>
      <c r="AA1342" s="6">
        <v>1000</v>
      </c>
      <c r="AB1342" s="4" t="s">
        <v>13</v>
      </c>
    </row>
    <row r="1343" spans="1:28">
      <c r="A1343" s="3" t="s">
        <v>160</v>
      </c>
      <c r="B1343" s="24" t="s">
        <v>161</v>
      </c>
      <c r="C1343" t="s">
        <v>162</v>
      </c>
      <c r="D1343" s="4">
        <v>55</v>
      </c>
      <c r="E1343" s="3" t="s">
        <v>163</v>
      </c>
      <c r="F1343" s="3" t="s">
        <v>2087</v>
      </c>
      <c r="G1343" s="4">
        <v>48</v>
      </c>
      <c r="H1343" s="3" t="s">
        <v>2088</v>
      </c>
      <c r="I1343" s="3" t="s">
        <v>2104</v>
      </c>
      <c r="J1343" s="4">
        <v>3</v>
      </c>
      <c r="K1343" s="4">
        <v>957.13589999999999</v>
      </c>
      <c r="L1343" s="4"/>
      <c r="M1343" s="4" t="str">
        <f>HYPERLINK("http://ms.phosphosite.org:5080/cgi-bin/plot-msms.cgi?MassType=1&amp;NumAxis=1&amp;Mod5=170&amp;Mod8=147&amp;Pep=STSFRGGMGSGGLATGIAGGLAGMGGIQNEK&amp;Dta=/var/www/html/dta/yong/23613.14585.3.dta&amp;Global_Mod=CS57.0215", "14585")</f>
        <v>14585</v>
      </c>
      <c r="N1343" s="5"/>
      <c r="O1343" s="5">
        <v>59.72</v>
      </c>
      <c r="P1343" s="5"/>
      <c r="Q1343" s="5">
        <v>3.1930000000000001</v>
      </c>
      <c r="R1343" s="5"/>
      <c r="S1343" s="5">
        <v>1.5780000000000001</v>
      </c>
      <c r="T1343" s="5"/>
      <c r="U1343" s="5">
        <v>0.20319999999999999</v>
      </c>
      <c r="V1343" s="4"/>
      <c r="W1343" s="4">
        <v>1</v>
      </c>
      <c r="X1343" s="5"/>
      <c r="Y1343" s="5">
        <v>1.99</v>
      </c>
      <c r="Z1343" s="6"/>
      <c r="AA1343" s="6">
        <v>1000</v>
      </c>
      <c r="AB1343" s="4" t="s">
        <v>13</v>
      </c>
    </row>
    <row r="1344" spans="1:28">
      <c r="A1344" s="3" t="s">
        <v>160</v>
      </c>
      <c r="B1344" s="24" t="s">
        <v>161</v>
      </c>
      <c r="C1344" t="s">
        <v>162</v>
      </c>
      <c r="D1344" s="4">
        <v>55</v>
      </c>
      <c r="E1344" s="3" t="s">
        <v>163</v>
      </c>
      <c r="F1344" s="3" t="s">
        <v>2087</v>
      </c>
      <c r="G1344" s="4">
        <v>48</v>
      </c>
      <c r="H1344" s="3" t="s">
        <v>2088</v>
      </c>
      <c r="I1344" s="3" t="s">
        <v>2104</v>
      </c>
      <c r="J1344" s="4">
        <v>3</v>
      </c>
      <c r="K1344" s="4">
        <v>957.13589999999999</v>
      </c>
      <c r="L1344" s="4"/>
      <c r="M1344" s="4" t="str">
        <f>HYPERLINK("http://ms.phosphosite.org:5080/cgi-bin/plot-msms.cgi?MassType=1&amp;NumAxis=1&amp;Mod5=170&amp;Mod8=147&amp;Pep=STSFRGGMGSGGLATGIAGGLAGMGGIQNEK&amp;Dta=/var/www/html/dta/yong/23613.14485.3.dta&amp;Global_Mod=CS57.0215", "14485")</f>
        <v>14485</v>
      </c>
      <c r="N1344" s="5"/>
      <c r="O1344" s="5">
        <v>59.33</v>
      </c>
      <c r="P1344" s="5"/>
      <c r="Q1344" s="5">
        <v>3.4849999999999999</v>
      </c>
      <c r="R1344" s="5"/>
      <c r="S1344" s="5">
        <v>1.5359</v>
      </c>
      <c r="T1344" s="5"/>
      <c r="U1344" s="5">
        <v>0.2873</v>
      </c>
      <c r="V1344" s="4"/>
      <c r="W1344" s="4">
        <v>1</v>
      </c>
      <c r="X1344" s="5"/>
      <c r="Y1344" s="5">
        <v>2.46</v>
      </c>
      <c r="Z1344" s="6"/>
      <c r="AA1344" s="6">
        <v>1000</v>
      </c>
      <c r="AB1344" s="4" t="s">
        <v>13</v>
      </c>
    </row>
    <row r="1345" spans="1:28">
      <c r="A1345" s="3" t="s">
        <v>160</v>
      </c>
      <c r="B1345" s="24" t="s">
        <v>161</v>
      </c>
      <c r="C1345" t="s">
        <v>162</v>
      </c>
      <c r="D1345" s="4">
        <v>55</v>
      </c>
      <c r="E1345" s="3" t="s">
        <v>163</v>
      </c>
      <c r="F1345" s="3" t="s">
        <v>2087</v>
      </c>
      <c r="G1345" s="4">
        <v>48</v>
      </c>
      <c r="H1345" s="3" t="s">
        <v>2088</v>
      </c>
      <c r="I1345" s="3" t="s">
        <v>2104</v>
      </c>
      <c r="J1345" s="4">
        <v>4</v>
      </c>
      <c r="K1345" s="4">
        <v>718.1037</v>
      </c>
      <c r="L1345" s="4" t="str">
        <f>HYPERLINK("http://ms.phosphosite.org:5080/cgi-bin/plot-msms.cgi?MassType=1&amp;NumAxis=1&amp;Mod5=170&amp;Mod8=147&amp;Pep=STSFRGGMGSGGLATGIAGGLAGMGGIQNEK&amp;Dta=/var/www/html/dta/yong/23612.14122.4.dta&amp;Global_Mod=CS57.0215", "14122")</f>
        <v>14122</v>
      </c>
      <c r="M1345" s="4" t="str">
        <f>HYPERLINK("http://ms.phosphosite.org:5080/cgi-bin/plot-msms.cgi?MassType=1&amp;NumAxis=1&amp;Mod5=170&amp;Mod8=147&amp;Pep=STSFRGGMGSGGLATGIAGGLAGMGGIQNEK&amp;Dta=/var/www/html/dta/yong/23613.14221.4.dta&amp;Global_Mod=CS57.0215", "14221")</f>
        <v>14221</v>
      </c>
      <c r="N1345" s="5">
        <v>58.34</v>
      </c>
      <c r="O1345" s="5">
        <v>58.36</v>
      </c>
      <c r="P1345" s="5">
        <v>4.2430000000000003</v>
      </c>
      <c r="Q1345" s="5">
        <v>4.649</v>
      </c>
      <c r="R1345" s="5">
        <v>0.8286</v>
      </c>
      <c r="S1345" s="5">
        <v>0.76570000000000005</v>
      </c>
      <c r="T1345" s="5">
        <v>0.25209999999999999</v>
      </c>
      <c r="U1345" s="5">
        <v>0.31540000000000001</v>
      </c>
      <c r="V1345" s="4">
        <v>1</v>
      </c>
      <c r="W1345" s="4">
        <v>1</v>
      </c>
      <c r="X1345" s="5">
        <v>2.46</v>
      </c>
      <c r="Y1345" s="5">
        <v>2.92</v>
      </c>
      <c r="Z1345" s="6">
        <v>1000</v>
      </c>
      <c r="AA1345" s="6">
        <v>1000</v>
      </c>
      <c r="AB1345" s="4" t="s">
        <v>13</v>
      </c>
    </row>
    <row r="1346" spans="1:28">
      <c r="A1346" s="3" t="s">
        <v>160</v>
      </c>
      <c r="B1346" s="24" t="s">
        <v>161</v>
      </c>
      <c r="C1346" t="s">
        <v>162</v>
      </c>
      <c r="D1346" s="4">
        <v>55</v>
      </c>
      <c r="E1346" s="3" t="s">
        <v>163</v>
      </c>
      <c r="F1346" s="3" t="s">
        <v>2087</v>
      </c>
      <c r="G1346" s="4">
        <v>48</v>
      </c>
      <c r="H1346" s="3" t="s">
        <v>2088</v>
      </c>
      <c r="I1346" s="3" t="s">
        <v>2105</v>
      </c>
      <c r="J1346" s="4">
        <v>4</v>
      </c>
      <c r="K1346" s="4">
        <v>990.72159999999997</v>
      </c>
      <c r="L1346" s="4"/>
      <c r="M1346" s="4" t="str">
        <f>HYPERLINK("http://ms.phosphosite.org:5080/cgi-bin/plot-msms.cgi?MassType=1&amp;NumAxis=1&amp;Mod5=170&amp;Mod8=147&amp;Mod34=147&amp;Pep=STSFRGGMGSGGLATGIAGGLAGMGGIQNEKETMQSLNDR&amp;Dta=/var/www/html/dta/yong/23613.13678.4.dta&amp;Global_Mod=CS57.0215", "13678")</f>
        <v>13678</v>
      </c>
      <c r="N1346" s="5"/>
      <c r="O1346" s="5">
        <v>56.37</v>
      </c>
      <c r="P1346" s="5"/>
      <c r="Q1346" s="5">
        <v>3.855</v>
      </c>
      <c r="R1346" s="5"/>
      <c r="S1346" s="5">
        <v>1.1174999999999999</v>
      </c>
      <c r="T1346" s="5"/>
      <c r="U1346" s="5">
        <v>0.1358</v>
      </c>
      <c r="V1346" s="4"/>
      <c r="W1346" s="4">
        <v>1</v>
      </c>
      <c r="X1346" s="5"/>
      <c r="Y1346" s="5">
        <v>1.56</v>
      </c>
      <c r="Z1346" s="6"/>
      <c r="AA1346" s="6">
        <v>1000</v>
      </c>
      <c r="AB1346" s="4" t="s">
        <v>13</v>
      </c>
    </row>
    <row r="1347" spans="1:28">
      <c r="A1347" s="3" t="s">
        <v>160</v>
      </c>
      <c r="B1347" s="24" t="s">
        <v>161</v>
      </c>
      <c r="C1347" t="s">
        <v>162</v>
      </c>
      <c r="D1347" s="4">
        <v>55</v>
      </c>
      <c r="E1347" s="3" t="s">
        <v>163</v>
      </c>
      <c r="F1347" s="3" t="s">
        <v>2087</v>
      </c>
      <c r="G1347" s="4">
        <v>48</v>
      </c>
      <c r="H1347" s="3" t="s">
        <v>2088</v>
      </c>
      <c r="I1347" s="3" t="s">
        <v>2106</v>
      </c>
      <c r="J1347" s="4">
        <v>4</v>
      </c>
      <c r="K1347" s="4">
        <v>986.72280000000001</v>
      </c>
      <c r="L1347" s="4"/>
      <c r="M1347" s="4" t="str">
        <f>HYPERLINK("http://ms.phosphosite.org:5080/cgi-bin/plot-msms.cgi?MassType=1&amp;NumAxis=1&amp;Mod5=170&amp;Mod8=147&amp;Pep=STSFRGGMGSGGLATGIAGGLAGMGGIQNEKETMQSLNDR&amp;Dta=/var/www/html/dta/yong/23613.15012.4.dta&amp;Global_Mod=CS57.0215", "15012")</f>
        <v>15012</v>
      </c>
      <c r="N1347" s="5"/>
      <c r="O1347" s="5">
        <v>61.46</v>
      </c>
      <c r="P1347" s="5"/>
      <c r="Q1347" s="5">
        <v>3.254</v>
      </c>
      <c r="R1347" s="5"/>
      <c r="S1347" s="5">
        <v>2.06</v>
      </c>
      <c r="T1347" s="5"/>
      <c r="U1347" s="5">
        <v>0.13769999999999999</v>
      </c>
      <c r="V1347" s="4"/>
      <c r="W1347" s="4">
        <v>1</v>
      </c>
      <c r="X1347" s="5"/>
      <c r="Y1347" s="5">
        <v>1.4</v>
      </c>
      <c r="Z1347" s="6"/>
      <c r="AA1347" s="6">
        <v>1000</v>
      </c>
      <c r="AB1347" s="4" t="s">
        <v>13</v>
      </c>
    </row>
    <row r="1348" spans="1:28">
      <c r="A1348" s="3" t="s">
        <v>160</v>
      </c>
      <c r="B1348" s="24" t="s">
        <v>161</v>
      </c>
      <c r="C1348" t="s">
        <v>162</v>
      </c>
      <c r="D1348" s="4">
        <v>55</v>
      </c>
      <c r="E1348" s="3" t="s">
        <v>163</v>
      </c>
      <c r="F1348" s="3" t="s">
        <v>2087</v>
      </c>
      <c r="G1348" s="4">
        <v>48</v>
      </c>
      <c r="H1348" s="3" t="s">
        <v>2088</v>
      </c>
      <c r="I1348" s="3" t="s">
        <v>2107</v>
      </c>
      <c r="J1348" s="4">
        <v>2</v>
      </c>
      <c r="K1348" s="4">
        <v>700.33540000000005</v>
      </c>
      <c r="L1348" s="4" t="str">
        <f>HYPERLINK("http://ms.phosphosite.org:5080/cgi-bin/plot-msms.cgi?MassType=1&amp;NumAxis=1&amp;Mod5=170&amp;Pep=STSFRGGMGSGGLAT&amp;Dta=/var/www/html/dta/yong/23612.8275.2.dta&amp;Global_Mod=CS57.0215", "8275")</f>
        <v>8275</v>
      </c>
      <c r="M1348" s="4" t="str">
        <f>HYPERLINK("http://ms.phosphosite.org:5080/cgi-bin/plot-msms.cgi?MassType=1&amp;NumAxis=1&amp;Mod5=170&amp;Pep=STSFRGGMGSGGLAT&amp;Dta=/var/www/html/dta/yong/23613.8313.2.dta&amp;Global_Mod=CS57.0215", "8313")</f>
        <v>8313</v>
      </c>
      <c r="N1348" s="5">
        <v>37.82</v>
      </c>
      <c r="O1348" s="5">
        <v>37.880000000000003</v>
      </c>
      <c r="P1348" s="5">
        <v>2.4790000000000001</v>
      </c>
      <c r="Q1348" s="5">
        <v>2.7519999999999998</v>
      </c>
      <c r="R1348" s="5">
        <v>1.0061</v>
      </c>
      <c r="S1348" s="5">
        <v>0.70169999999999999</v>
      </c>
      <c r="T1348" s="5">
        <v>7.6999999999999999E-2</v>
      </c>
      <c r="U1348" s="5">
        <v>0.29699999999999999</v>
      </c>
      <c r="V1348" s="4">
        <v>1</v>
      </c>
      <c r="W1348" s="4">
        <v>1</v>
      </c>
      <c r="X1348" s="5">
        <v>1.31</v>
      </c>
      <c r="Y1348" s="5">
        <v>2.56</v>
      </c>
      <c r="Z1348" s="6">
        <v>1000</v>
      </c>
      <c r="AA1348" s="6">
        <v>1000</v>
      </c>
      <c r="AB1348" s="4" t="s">
        <v>13</v>
      </c>
    </row>
    <row r="1349" spans="1:28">
      <c r="A1349" s="3" t="s">
        <v>160</v>
      </c>
      <c r="B1349" s="24" t="s">
        <v>161</v>
      </c>
      <c r="C1349" t="s">
        <v>162</v>
      </c>
      <c r="D1349" s="4">
        <v>55</v>
      </c>
      <c r="E1349" s="3" t="s">
        <v>163</v>
      </c>
      <c r="F1349" s="3" t="s">
        <v>2087</v>
      </c>
      <c r="G1349" s="4">
        <v>48</v>
      </c>
      <c r="H1349" s="3" t="s">
        <v>2088</v>
      </c>
      <c r="I1349" s="3" t="s">
        <v>2108</v>
      </c>
      <c r="J1349" s="4">
        <v>3</v>
      </c>
      <c r="K1349" s="4">
        <v>957.13589999999999</v>
      </c>
      <c r="L1349" s="4" t="str">
        <f>HYPERLINK("http://ms.phosphosite.org:5080/cgi-bin/plot-msms.cgi?MassType=1&amp;NumAxis=1&amp;Mod5=170&amp;Mod24=147&amp;Pep=STSFRGGMGSGGLATGIAGGLAGMGGIQNEK&amp;Dta=/var/www/html/dta/yong/23612.13233.3.dta&amp;Global_Mod=CS57.0215", "13233")</f>
        <v>13233</v>
      </c>
      <c r="M1349" s="4" t="str">
        <f>HYPERLINK("http://ms.phosphosite.org:5080/cgi-bin/plot-msms.cgi?MassType=1&amp;NumAxis=1&amp;Mod5=170&amp;Mod24=147&amp;Pep=STSFRGGMGSGGLATGIAGGLAGMGGIQNEK&amp;Dta=/var/www/html/dta/yong/23613.13104.3.dta&amp;Global_Mod=CS57.0215", "13104")</f>
        <v>13104</v>
      </c>
      <c r="N1349" s="5">
        <v>55.13</v>
      </c>
      <c r="O1349" s="5">
        <v>54.28</v>
      </c>
      <c r="P1349" s="5">
        <v>3.6680000000000001</v>
      </c>
      <c r="Q1349" s="5">
        <v>6.0410000000000004</v>
      </c>
      <c r="R1349" s="5">
        <v>1.546</v>
      </c>
      <c r="S1349" s="5">
        <v>0.93159999999999998</v>
      </c>
      <c r="T1349" s="5">
        <v>0.28820000000000001</v>
      </c>
      <c r="U1349" s="5">
        <v>0.3634</v>
      </c>
      <c r="V1349" s="4">
        <v>1</v>
      </c>
      <c r="W1349" s="4">
        <v>1</v>
      </c>
      <c r="X1349" s="5">
        <v>2.4300000000000002</v>
      </c>
      <c r="Y1349" s="5">
        <v>3.39</v>
      </c>
      <c r="Z1349" s="6">
        <v>1000</v>
      </c>
      <c r="AA1349" s="6">
        <v>1000</v>
      </c>
      <c r="AB1349" s="4" t="s">
        <v>13</v>
      </c>
    </row>
    <row r="1350" spans="1:28">
      <c r="A1350" s="3" t="s">
        <v>160</v>
      </c>
      <c r="B1350" s="24" t="s">
        <v>161</v>
      </c>
      <c r="C1350" t="s">
        <v>162</v>
      </c>
      <c r="D1350" s="4">
        <v>55</v>
      </c>
      <c r="E1350" s="3" t="s">
        <v>163</v>
      </c>
      <c r="F1350" s="3" t="s">
        <v>2087</v>
      </c>
      <c r="G1350" s="4">
        <v>48</v>
      </c>
      <c r="H1350" s="3" t="s">
        <v>2088</v>
      </c>
      <c r="I1350" s="3" t="s">
        <v>2108</v>
      </c>
      <c r="J1350" s="4">
        <v>3</v>
      </c>
      <c r="K1350" s="4">
        <v>957.13589999999999</v>
      </c>
      <c r="L1350" s="4" t="str">
        <f>HYPERLINK("http://ms.phosphosite.org:5080/cgi-bin/plot-msms.cgi?MassType=1&amp;NumAxis=1&amp;Mod5=170&amp;Mod24=147&amp;Pep=STSFRGGMGSGGLATGIAGGLAGMGGIQNEK&amp;Dta=/var/www/html/dta/yong/23612.12994.3.dta&amp;Global_Mod=CS57.0215", "12994")</f>
        <v>12994</v>
      </c>
      <c r="M1350" s="4" t="str">
        <f>HYPERLINK("http://ms.phosphosite.org:5080/cgi-bin/plot-msms.cgi?MassType=1&amp;NumAxis=1&amp;Mod5=170&amp;Mod24=147&amp;Pep=STSFRGGMGSGGLATGIAGGLAGMGGIQNEK&amp;Dta=/var/www/html/dta/yong/23613.13329.3.dta&amp;Global_Mod=CS57.0215", "13329")</f>
        <v>13329</v>
      </c>
      <c r="N1350" s="5">
        <v>54.23</v>
      </c>
      <c r="O1350" s="5">
        <v>55.15</v>
      </c>
      <c r="P1350" s="5">
        <v>6.3540000000000001</v>
      </c>
      <c r="Q1350" s="5">
        <v>3.3180000000000001</v>
      </c>
      <c r="R1350" s="5">
        <v>0.97909999999999997</v>
      </c>
      <c r="S1350" s="5">
        <v>1.5529999999999999</v>
      </c>
      <c r="T1350" s="5">
        <v>0.48980000000000001</v>
      </c>
      <c r="U1350" s="5">
        <v>0.28660000000000002</v>
      </c>
      <c r="V1350" s="4">
        <v>1</v>
      </c>
      <c r="W1350" s="4">
        <v>1</v>
      </c>
      <c r="X1350" s="5">
        <v>3.98</v>
      </c>
      <c r="Y1350" s="5">
        <v>2.42</v>
      </c>
      <c r="Z1350" s="6">
        <v>1000</v>
      </c>
      <c r="AA1350" s="6">
        <v>1000</v>
      </c>
      <c r="AB1350" s="4" t="s">
        <v>13</v>
      </c>
    </row>
    <row r="1351" spans="1:28">
      <c r="A1351" s="3" t="s">
        <v>160</v>
      </c>
      <c r="B1351" s="24" t="s">
        <v>161</v>
      </c>
      <c r="C1351" t="s">
        <v>162</v>
      </c>
      <c r="D1351" s="4">
        <v>55</v>
      </c>
      <c r="E1351" s="3" t="s">
        <v>163</v>
      </c>
      <c r="F1351" s="3" t="s">
        <v>2087</v>
      </c>
      <c r="G1351" s="4">
        <v>48</v>
      </c>
      <c r="H1351" s="3" t="s">
        <v>2088</v>
      </c>
      <c r="I1351" s="3" t="s">
        <v>2108</v>
      </c>
      <c r="J1351" s="4">
        <v>4</v>
      </c>
      <c r="K1351" s="4">
        <v>718.1037</v>
      </c>
      <c r="L1351" s="4" t="str">
        <f>HYPERLINK("http://ms.phosphosite.org:5080/cgi-bin/plot-msms.cgi?MassType=1&amp;NumAxis=1&amp;Mod5=170&amp;Mod24=147&amp;Pep=STSFRGGMGSGGLATGIAGGLAGMGGIQNEK&amp;Dta=/var/www/html/dta/yong/23612.13016.4.dta&amp;Global_Mod=CS57.0215", "13016")</f>
        <v>13016</v>
      </c>
      <c r="M1351" s="4" t="str">
        <f>HYPERLINK("http://ms.phosphosite.org:5080/cgi-bin/plot-msms.cgi?MassType=1&amp;NumAxis=1&amp;Mod5=170&amp;Mod24=147&amp;Pep=STSFRGGMGSGGLATGIAGGLAGMGGIQNEK&amp;Dta=/var/www/html/dta/yong/23613.13123.4.dta&amp;Global_Mod=CS57.0215", "13123")</f>
        <v>13123</v>
      </c>
      <c r="N1351" s="5">
        <v>54.32</v>
      </c>
      <c r="O1351" s="5">
        <v>54.35</v>
      </c>
      <c r="P1351" s="5">
        <v>3.96</v>
      </c>
      <c r="Q1351" s="5">
        <v>4.9109999999999996</v>
      </c>
      <c r="R1351" s="5">
        <v>1.0176000000000001</v>
      </c>
      <c r="S1351" s="5">
        <v>0.71330000000000005</v>
      </c>
      <c r="T1351" s="5">
        <v>0.18410000000000001</v>
      </c>
      <c r="U1351" s="5">
        <v>0.3725</v>
      </c>
      <c r="V1351" s="4">
        <v>1</v>
      </c>
      <c r="W1351" s="4">
        <v>1</v>
      </c>
      <c r="X1351" s="5">
        <v>2.06</v>
      </c>
      <c r="Y1351" s="5">
        <v>3.26</v>
      </c>
      <c r="Z1351" s="6">
        <v>1000</v>
      </c>
      <c r="AA1351" s="6">
        <v>1000</v>
      </c>
      <c r="AB1351" s="4" t="s">
        <v>13</v>
      </c>
    </row>
    <row r="1352" spans="1:28">
      <c r="A1352" s="3" t="s">
        <v>160</v>
      </c>
      <c r="B1352" s="24" t="s">
        <v>161</v>
      </c>
      <c r="C1352" t="s">
        <v>162</v>
      </c>
      <c r="D1352" s="4">
        <v>55</v>
      </c>
      <c r="E1352" s="3" t="s">
        <v>163</v>
      </c>
      <c r="F1352" s="3" t="s">
        <v>2087</v>
      </c>
      <c r="G1352" s="4">
        <v>48</v>
      </c>
      <c r="H1352" s="3" t="s">
        <v>2088</v>
      </c>
      <c r="I1352" s="3" t="s">
        <v>2109</v>
      </c>
      <c r="J1352" s="4">
        <v>4</v>
      </c>
      <c r="K1352" s="4">
        <v>990.72159999999997</v>
      </c>
      <c r="L1352" s="4" t="str">
        <f>HYPERLINK("http://ms.phosphosite.org:5080/cgi-bin/plot-msms.cgi?MassType=1&amp;NumAxis=1&amp;Mod5=170&amp;Mod24=147&amp;Mod34=147&amp;Pep=STSFRGGMGSGGLATGIAGGLAGMGGIQNEKETMQSLNDR&amp;Dta=/var/www/html/dta/yong/23612.12666.4.dta&amp;Global_Mod=CS57.0215", "12666")</f>
        <v>12666</v>
      </c>
      <c r="M1352" s="4" t="str">
        <f>HYPERLINK("http://ms.phosphosite.org:5080/cgi-bin/plot-msms.cgi?MassType=1&amp;NumAxis=1&amp;Mod5=170&amp;Mod24=147&amp;Mod34=147&amp;Pep=STSFRGGMGSGGLATGIAGGLAGMGGIQNEKETMQSLNDR&amp;Dta=/var/www/html/dta/yong/23613.12778.4.dta&amp;Global_Mod=CS57.0215", "12778")</f>
        <v>12778</v>
      </c>
      <c r="N1352" s="5">
        <v>53.1</v>
      </c>
      <c r="O1352" s="5">
        <v>53.17</v>
      </c>
      <c r="P1352" s="5">
        <v>5.0659999999999998</v>
      </c>
      <c r="Q1352" s="5">
        <v>3.931</v>
      </c>
      <c r="R1352" s="5">
        <v>1.2553000000000001</v>
      </c>
      <c r="S1352" s="5">
        <v>1.0165999999999999</v>
      </c>
      <c r="T1352" s="5">
        <v>0.18459999999999999</v>
      </c>
      <c r="U1352" s="5">
        <v>0.16900000000000001</v>
      </c>
      <c r="V1352" s="4">
        <v>1</v>
      </c>
      <c r="W1352" s="4">
        <v>1</v>
      </c>
      <c r="X1352" s="5">
        <v>1.97</v>
      </c>
      <c r="Y1352" s="5">
        <v>1.74</v>
      </c>
      <c r="Z1352" s="6">
        <v>1000</v>
      </c>
      <c r="AA1352" s="6">
        <v>1000</v>
      </c>
      <c r="AB1352" s="4" t="s">
        <v>13</v>
      </c>
    </row>
    <row r="1353" spans="1:28">
      <c r="A1353" s="3" t="s">
        <v>160</v>
      </c>
      <c r="B1353" s="24" t="s">
        <v>161</v>
      </c>
      <c r="C1353" t="s">
        <v>162</v>
      </c>
      <c r="D1353" s="4">
        <v>55</v>
      </c>
      <c r="E1353" s="3" t="s">
        <v>163</v>
      </c>
      <c r="F1353" s="3" t="s">
        <v>2087</v>
      </c>
      <c r="G1353" s="4">
        <v>48</v>
      </c>
      <c r="H1353" s="3" t="s">
        <v>2088</v>
      </c>
      <c r="I1353" s="3" t="s">
        <v>2109</v>
      </c>
      <c r="J1353" s="4">
        <v>4</v>
      </c>
      <c r="K1353" s="4">
        <v>990.72159999999997</v>
      </c>
      <c r="L1353" s="4"/>
      <c r="M1353" s="4" t="str">
        <f>HYPERLINK("http://ms.phosphosite.org:5080/cgi-bin/plot-msms.cgi?MassType=1&amp;NumAxis=1&amp;Mod5=170&amp;Mod24=147&amp;Mod34=147&amp;Pep=STSFRGGMGSGGLATGIAGGLAGMGGIQNEKETMQSLNDR&amp;Dta=/var/www/html/dta/yong/23613.12705.4.dta&amp;Global_Mod=CS57.0215", "12705")</f>
        <v>12705</v>
      </c>
      <c r="N1353" s="5"/>
      <c r="O1353" s="5">
        <v>52.92</v>
      </c>
      <c r="P1353" s="5"/>
      <c r="Q1353" s="5">
        <v>3.2970000000000002</v>
      </c>
      <c r="R1353" s="5"/>
      <c r="S1353" s="5">
        <v>1.0165999999999999</v>
      </c>
      <c r="T1353" s="5"/>
      <c r="U1353" s="5">
        <v>7.5399999999999995E-2</v>
      </c>
      <c r="V1353" s="4"/>
      <c r="W1353" s="4">
        <v>2</v>
      </c>
      <c r="X1353" s="5"/>
      <c r="Y1353" s="5">
        <v>1.1499999999999999</v>
      </c>
      <c r="Z1353" s="6"/>
      <c r="AA1353" s="6">
        <v>1000</v>
      </c>
      <c r="AB1353" s="4" t="s">
        <v>13</v>
      </c>
    </row>
    <row r="1354" spans="1:28">
      <c r="A1354" s="3" t="s">
        <v>160</v>
      </c>
      <c r="B1354" s="24" t="s">
        <v>161</v>
      </c>
      <c r="C1354" t="s">
        <v>162</v>
      </c>
      <c r="D1354" s="4">
        <v>55</v>
      </c>
      <c r="E1354" s="3" t="s">
        <v>163</v>
      </c>
      <c r="F1354" s="3" t="s">
        <v>2087</v>
      </c>
      <c r="G1354" s="4">
        <v>48</v>
      </c>
      <c r="H1354" s="3" t="s">
        <v>2088</v>
      </c>
      <c r="I1354" s="3" t="s">
        <v>2110</v>
      </c>
      <c r="J1354" s="4">
        <v>4</v>
      </c>
      <c r="K1354" s="4">
        <v>986.72280000000001</v>
      </c>
      <c r="L1354" s="4" t="str">
        <f>HYPERLINK("http://ms.phosphosite.org:5080/cgi-bin/plot-msms.cgi?MassType=1&amp;NumAxis=1&amp;Mod5=170&amp;Mod24=147&amp;Pep=STSFRGGMGSGGLATGIAGGLAGMGGIQNEKETMQSLNDR&amp;Dta=/var/www/html/dta/yong/23612.13962.4.dta&amp;Global_Mod=CS57.0215", "13962")</f>
        <v>13962</v>
      </c>
      <c r="M1354" s="4" t="str">
        <f>HYPERLINK("http://ms.phosphosite.org:5080/cgi-bin/plot-msms.cgi?MassType=1&amp;NumAxis=1&amp;Mod5=170&amp;Mod24=147&amp;Pep=STSFRGGMGSGGLATGIAGGLAGMGGIQNEKETMQSLNDR&amp;Dta=/var/www/html/dta/yong/23613.14075.4.dta&amp;Global_Mod=CS57.0215", "14075")</f>
        <v>14075</v>
      </c>
      <c r="N1354" s="5">
        <v>57.77</v>
      </c>
      <c r="O1354" s="5">
        <v>57.81</v>
      </c>
      <c r="P1354" s="5">
        <v>4.016</v>
      </c>
      <c r="Q1354" s="5">
        <v>3.7040000000000002</v>
      </c>
      <c r="R1354" s="5">
        <v>0.4461</v>
      </c>
      <c r="S1354" s="5">
        <v>1.8205</v>
      </c>
      <c r="T1354" s="5">
        <v>6.9900000000000004E-2</v>
      </c>
      <c r="U1354" s="5">
        <v>0.1278</v>
      </c>
      <c r="V1354" s="4">
        <v>1</v>
      </c>
      <c r="W1354" s="4">
        <v>11</v>
      </c>
      <c r="X1354" s="5">
        <v>1.24</v>
      </c>
      <c r="Y1354" s="5">
        <v>1.45</v>
      </c>
      <c r="Z1354" s="6">
        <v>1000</v>
      </c>
      <c r="AA1354" s="6">
        <v>1000</v>
      </c>
      <c r="AB1354" s="4" t="s">
        <v>13</v>
      </c>
    </row>
    <row r="1355" spans="1:28">
      <c r="A1355" s="3" t="s">
        <v>160</v>
      </c>
      <c r="B1355" s="24" t="s">
        <v>168</v>
      </c>
      <c r="C1355" t="s">
        <v>169</v>
      </c>
      <c r="D1355" s="4">
        <v>24</v>
      </c>
      <c r="E1355" s="3" t="s">
        <v>2111</v>
      </c>
      <c r="F1355" s="3" t="s">
        <v>2112</v>
      </c>
      <c r="G1355" s="4">
        <v>44.1</v>
      </c>
      <c r="H1355" s="3" t="s">
        <v>2113</v>
      </c>
      <c r="I1355" s="3" t="s">
        <v>2114</v>
      </c>
      <c r="J1355" s="4">
        <v>2</v>
      </c>
      <c r="K1355" s="4">
        <v>633.82550000000003</v>
      </c>
      <c r="L1355" s="4" t="str">
        <f>HYPERLINK("http://ms.phosphosite.org:5080/cgi-bin/plot-msms.cgi?MassType=1&amp;NumAxis=1&amp;Mod14=170&amp;Pep=ATSSFGGLGGGSVR&amp;Dta=/var/www/html/dta/yong/23612.8551.2.dta&amp;Global_Mod=CS57.0215", "8551")</f>
        <v>8551</v>
      </c>
      <c r="M1355" s="4" t="str">
        <f>HYPERLINK("http://ms.phosphosite.org:5080/cgi-bin/plot-msms.cgi?MassType=1&amp;NumAxis=1&amp;Mod14=170&amp;Pep=ATSSFGGLGGGSVR&amp;Dta=/var/www/html/dta/yong/23613.8596.2.dta&amp;Global_Mod=CS57.0215", "8596")</f>
        <v>8596</v>
      </c>
      <c r="N1355" s="5">
        <v>38.82</v>
      </c>
      <c r="O1355" s="5">
        <v>38.89</v>
      </c>
      <c r="P1355" s="5">
        <v>3.8559999999999999</v>
      </c>
      <c r="Q1355" s="5">
        <v>3.5830000000000002</v>
      </c>
      <c r="R1355" s="5">
        <v>0.42070000000000002</v>
      </c>
      <c r="S1355" s="5">
        <v>0.48039999999999999</v>
      </c>
      <c r="T1355" s="5">
        <v>0.43859999999999999</v>
      </c>
      <c r="U1355" s="5">
        <v>0.36969999999999997</v>
      </c>
      <c r="V1355" s="4">
        <v>1</v>
      </c>
      <c r="W1355" s="4">
        <v>1</v>
      </c>
      <c r="X1355" s="5">
        <v>3.42</v>
      </c>
      <c r="Y1355" s="5">
        <v>3.09</v>
      </c>
      <c r="Z1355" s="6">
        <v>1000</v>
      </c>
      <c r="AA1355" s="6">
        <v>1000</v>
      </c>
      <c r="AB1355" s="4" t="s">
        <v>13</v>
      </c>
    </row>
    <row r="1356" spans="1:28">
      <c r="A1356" s="3" t="s">
        <v>160</v>
      </c>
      <c r="B1356" s="24" t="s">
        <v>168</v>
      </c>
      <c r="C1356" t="s">
        <v>169</v>
      </c>
      <c r="D1356" s="4">
        <v>24</v>
      </c>
      <c r="E1356" s="3" t="s">
        <v>170</v>
      </c>
      <c r="F1356" s="3" t="s">
        <v>2112</v>
      </c>
      <c r="G1356" s="4">
        <v>44.1</v>
      </c>
      <c r="H1356" s="3" t="s">
        <v>2113</v>
      </c>
      <c r="I1356" s="3" t="s">
        <v>2115</v>
      </c>
      <c r="J1356" s="4">
        <v>2</v>
      </c>
      <c r="K1356" s="4">
        <v>387.21690000000001</v>
      </c>
      <c r="L1356" s="4" t="str">
        <f>HYPERLINK("http://ms.phosphosite.org:5080/cgi-bin/plot-msms.cgi?MassType=1&amp;NumAxis=1&amp;Mod9=170&amp;Pep=GGLGGGSVR&amp;Dta=/var/www/html/dta/yong/23612.3157.2.dta&amp;Global_Mod=CS57.0215", "3157")</f>
        <v>3157</v>
      </c>
      <c r="M1356" s="4" t="str">
        <f>HYPERLINK("http://ms.phosphosite.org:5080/cgi-bin/plot-msms.cgi?MassType=1&amp;NumAxis=1&amp;Mod9=170&amp;Pep=GGLGGGSVR&amp;Dta=/var/www/html/dta/yong/23613.3177.2.dta&amp;Global_Mod=CS57.0215", "3177")</f>
        <v>3177</v>
      </c>
      <c r="N1356" s="5">
        <v>18.78</v>
      </c>
      <c r="O1356" s="5">
        <v>18.68</v>
      </c>
      <c r="P1356" s="5">
        <v>1.879</v>
      </c>
      <c r="Q1356" s="5">
        <v>2.0840000000000001</v>
      </c>
      <c r="R1356" s="5">
        <v>0.11899999999999999</v>
      </c>
      <c r="S1356" s="5">
        <v>0.1086</v>
      </c>
      <c r="T1356" s="5">
        <v>7.2300000000000003E-2</v>
      </c>
      <c r="U1356" s="5">
        <v>0.1047</v>
      </c>
      <c r="V1356" s="4">
        <v>6</v>
      </c>
      <c r="W1356" s="4">
        <v>2</v>
      </c>
      <c r="X1356" s="5">
        <v>1.27</v>
      </c>
      <c r="Y1356" s="5">
        <v>1.53</v>
      </c>
      <c r="Z1356" s="6">
        <v>1000</v>
      </c>
      <c r="AA1356" s="6">
        <v>1000</v>
      </c>
      <c r="AB1356" s="4" t="s">
        <v>13</v>
      </c>
    </row>
    <row r="1357" spans="1:28">
      <c r="A1357" s="3" t="s">
        <v>160</v>
      </c>
      <c r="B1357" s="24" t="s">
        <v>168</v>
      </c>
      <c r="C1357" t="s">
        <v>169</v>
      </c>
      <c r="D1357" s="4">
        <v>24</v>
      </c>
      <c r="E1357" s="3" t="s">
        <v>170</v>
      </c>
      <c r="F1357" s="3" t="s">
        <v>2112</v>
      </c>
      <c r="G1357" s="4">
        <v>44.1</v>
      </c>
      <c r="H1357" s="3" t="s">
        <v>2113</v>
      </c>
      <c r="I1357" s="3" t="s">
        <v>171</v>
      </c>
      <c r="J1357" s="4">
        <v>2</v>
      </c>
      <c r="K1357" s="4">
        <v>784.88679999999999</v>
      </c>
      <c r="L1357" s="4" t="str">
        <f>HYPERLINK("http://ms.phosphosite.org:5080/cgi-bin/plot-msms.cgi?MassType=1&amp;NumAxis=1&amp;Mod17=170&amp;Pep=QSSATSSFGGLGGGSVR&amp;Dta=/var/www/html/dta/yong/23612.9035.2.dta&amp;Global_Mod=CS57.0215", "9035")</f>
        <v>9035</v>
      </c>
      <c r="M1357" s="4" t="str">
        <f>HYPERLINK("http://ms.phosphosite.org:5080/cgi-bin/plot-msms.cgi?MassType=1&amp;NumAxis=1&amp;Mod17=170&amp;Pep=QSSATSSFGGLGGGSVR&amp;Dta=/var/www/html/dta/yong/23613.9079.2.dta&amp;Global_Mod=CS57.0215", "9079")</f>
        <v>9079</v>
      </c>
      <c r="N1357" s="5">
        <v>40.549999999999997</v>
      </c>
      <c r="O1357" s="5">
        <v>40.6</v>
      </c>
      <c r="P1357" s="5">
        <v>4.6180000000000003</v>
      </c>
      <c r="Q1357" s="5">
        <v>4.7149999999999999</v>
      </c>
      <c r="R1357" s="5">
        <v>0.57979999999999998</v>
      </c>
      <c r="S1357" s="5">
        <v>0.58550000000000002</v>
      </c>
      <c r="T1357" s="5">
        <v>0.55189999999999995</v>
      </c>
      <c r="U1357" s="5">
        <v>0.53510000000000002</v>
      </c>
      <c r="V1357" s="4">
        <v>1</v>
      </c>
      <c r="W1357" s="4">
        <v>1</v>
      </c>
      <c r="X1357" s="5">
        <v>4.09</v>
      </c>
      <c r="Y1357" s="5">
        <v>4.0999999999999996</v>
      </c>
      <c r="Z1357" s="6">
        <v>1000</v>
      </c>
      <c r="AA1357" s="6">
        <v>1000</v>
      </c>
      <c r="AB1357" s="4" t="s">
        <v>13</v>
      </c>
    </row>
    <row r="1358" spans="1:28">
      <c r="A1358" s="3" t="s">
        <v>160</v>
      </c>
      <c r="B1358" s="24" t="s">
        <v>168</v>
      </c>
      <c r="C1358" t="s">
        <v>169</v>
      </c>
      <c r="D1358" s="4">
        <v>24</v>
      </c>
      <c r="E1358" s="3" t="s">
        <v>170</v>
      </c>
      <c r="F1358" s="3" t="s">
        <v>2112</v>
      </c>
      <c r="G1358" s="4">
        <v>44.1</v>
      </c>
      <c r="H1358" s="3" t="s">
        <v>2113</v>
      </c>
      <c r="I1358" s="3" t="s">
        <v>171</v>
      </c>
      <c r="J1358" s="4">
        <v>3</v>
      </c>
      <c r="K1358" s="4">
        <v>523.59360000000004</v>
      </c>
      <c r="L1358" s="4" t="str">
        <f>HYPERLINK("http://ms.phosphosite.org:5080/cgi-bin/plot-msms.cgi?MassType=1&amp;NumAxis=1&amp;Mod17=170&amp;Pep=QSSATSSFGGLGGGSVR&amp;Dta=/var/www/html/dta/yong/23612.9054.3.dta&amp;Global_Mod=CS57.0215", "9054")</f>
        <v>9054</v>
      </c>
      <c r="M1358" s="4" t="str">
        <f>HYPERLINK("http://ms.phosphosite.org:5080/cgi-bin/plot-msms.cgi?MassType=1&amp;NumAxis=1&amp;Mod17=170&amp;Pep=QSSATSSFGGLGGGSVR&amp;Dta=/var/www/html/dta/yong/23613.9100.3.dta&amp;Global_Mod=CS57.0215", "9100")</f>
        <v>9100</v>
      </c>
      <c r="N1358" s="5">
        <v>40.619999999999997</v>
      </c>
      <c r="O1358" s="5">
        <v>40.68</v>
      </c>
      <c r="P1358" s="5">
        <v>4.2679999999999998</v>
      </c>
      <c r="Q1358" s="5">
        <v>3.992</v>
      </c>
      <c r="R1358" s="5">
        <v>0.31769999999999998</v>
      </c>
      <c r="S1358" s="5">
        <v>0.17080000000000001</v>
      </c>
      <c r="T1358" s="5">
        <v>0.32329999999999998</v>
      </c>
      <c r="U1358" s="5">
        <v>0.36159999999999998</v>
      </c>
      <c r="V1358" s="4">
        <v>1</v>
      </c>
      <c r="W1358" s="4">
        <v>1</v>
      </c>
      <c r="X1358" s="5">
        <v>2.95</v>
      </c>
      <c r="Y1358" s="5">
        <v>3.13</v>
      </c>
      <c r="Z1358" s="6">
        <v>1000</v>
      </c>
      <c r="AA1358" s="6">
        <v>1000</v>
      </c>
      <c r="AB1358" s="4" t="s">
        <v>13</v>
      </c>
    </row>
    <row r="1359" spans="1:28">
      <c r="A1359" s="3" t="s">
        <v>160</v>
      </c>
      <c r="B1359" s="24" t="s">
        <v>168</v>
      </c>
      <c r="C1359" t="s">
        <v>169</v>
      </c>
      <c r="D1359" s="4">
        <v>24</v>
      </c>
      <c r="E1359" s="3" t="s">
        <v>170</v>
      </c>
      <c r="F1359" s="3" t="s">
        <v>2112</v>
      </c>
      <c r="G1359" s="4">
        <v>44.1</v>
      </c>
      <c r="H1359" s="3" t="s">
        <v>2113</v>
      </c>
      <c r="I1359" s="3" t="s">
        <v>2116</v>
      </c>
      <c r="J1359" s="4">
        <v>3</v>
      </c>
      <c r="K1359" s="4">
        <v>800.74</v>
      </c>
      <c r="L1359" s="4" t="str">
        <f>HYPERLINK("http://ms.phosphosite.org:5080/cgi-bin/plot-msms.cgi?MassType=1&amp;NumAxis=1&amp;Mod17=170&amp;Pep=QSSATSSFGGLGGGSVRFGPGVAFR&amp;Dta=/var/www/html/dta/yong/23612.14875.3.dta&amp;Global_Mod=CS57.0215", "14875")</f>
        <v>14875</v>
      </c>
      <c r="M1359" s="4" t="str">
        <f>HYPERLINK("http://ms.phosphosite.org:5080/cgi-bin/plot-msms.cgi?MassType=1&amp;NumAxis=1&amp;Mod17=170&amp;Pep=QSSATSSFGGLGGGSVRFGPGVAFR&amp;Dta=/var/www/html/dta/yong/23613.14961.3.dta&amp;Global_Mod=CS57.0215", "14961")</f>
        <v>14961</v>
      </c>
      <c r="N1359" s="5">
        <v>61.22</v>
      </c>
      <c r="O1359" s="5">
        <v>61.26</v>
      </c>
      <c r="P1359" s="5">
        <v>2.8149999999999999</v>
      </c>
      <c r="Q1359" s="5">
        <v>3.1619999999999999</v>
      </c>
      <c r="R1359" s="5">
        <v>0.4209</v>
      </c>
      <c r="S1359" s="5">
        <v>1.0971</v>
      </c>
      <c r="T1359" s="5">
        <v>0.16489999999999999</v>
      </c>
      <c r="U1359" s="5">
        <v>0.40639999999999998</v>
      </c>
      <c r="V1359" s="4">
        <v>1</v>
      </c>
      <c r="W1359" s="4">
        <v>1</v>
      </c>
      <c r="X1359" s="5">
        <v>1.61</v>
      </c>
      <c r="Y1359" s="5">
        <v>2.88</v>
      </c>
      <c r="Z1359" s="6">
        <v>1000</v>
      </c>
      <c r="AA1359" s="6">
        <v>1000</v>
      </c>
      <c r="AB1359" s="4" t="s">
        <v>13</v>
      </c>
    </row>
    <row r="1360" spans="1:28">
      <c r="A1360" s="3" t="s">
        <v>160</v>
      </c>
      <c r="B1360" s="24" t="s">
        <v>168</v>
      </c>
      <c r="C1360" t="s">
        <v>169</v>
      </c>
      <c r="D1360" s="4">
        <v>24</v>
      </c>
      <c r="E1360" s="3" t="s">
        <v>170</v>
      </c>
      <c r="F1360" s="3" t="s">
        <v>2112</v>
      </c>
      <c r="G1360" s="4">
        <v>44.1</v>
      </c>
      <c r="H1360" s="3" t="s">
        <v>2113</v>
      </c>
      <c r="I1360" s="3" t="s">
        <v>2117</v>
      </c>
      <c r="J1360" s="4">
        <v>2</v>
      </c>
      <c r="K1360" s="4">
        <v>677.3415</v>
      </c>
      <c r="L1360" s="4" t="str">
        <f>HYPERLINK("http://ms.phosphosite.org:5080/cgi-bin/plot-msms.cgi?MassType=1&amp;NumAxis=1&amp;Mod15=170&amp;Pep=SATSSFGGLGGGSVR&amp;Dta=/var/www/html/dta/yong/23612.8997.2.dta&amp;Global_Mod=CS57.0215", "8997")</f>
        <v>8997</v>
      </c>
      <c r="M1360" s="4" t="str">
        <f>HYPERLINK("http://ms.phosphosite.org:5080/cgi-bin/plot-msms.cgi?MassType=1&amp;NumAxis=1&amp;Mod15=170&amp;Pep=SATSSFGGLGGGSVR&amp;Dta=/var/www/html/dta/yong/23613.9046.2.dta&amp;Global_Mod=CS57.0215", "9046")</f>
        <v>9046</v>
      </c>
      <c r="N1360" s="5">
        <v>40.42</v>
      </c>
      <c r="O1360" s="5">
        <v>40.49</v>
      </c>
      <c r="P1360" s="5">
        <v>3.5710000000000002</v>
      </c>
      <c r="Q1360" s="5">
        <v>4.1189999999999998</v>
      </c>
      <c r="R1360" s="5">
        <v>0.9254</v>
      </c>
      <c r="S1360" s="5">
        <v>0.7167</v>
      </c>
      <c r="T1360" s="5">
        <v>0.35099999999999998</v>
      </c>
      <c r="U1360" s="5">
        <v>0.3841</v>
      </c>
      <c r="V1360" s="4">
        <v>1</v>
      </c>
      <c r="W1360" s="4">
        <v>1</v>
      </c>
      <c r="X1360" s="5">
        <v>2.9</v>
      </c>
      <c r="Y1360" s="5">
        <v>3.25</v>
      </c>
      <c r="Z1360" s="6">
        <v>1000</v>
      </c>
      <c r="AA1360" s="6">
        <v>1000</v>
      </c>
      <c r="AB1360" s="4" t="s">
        <v>13</v>
      </c>
    </row>
    <row r="1361" spans="1:28">
      <c r="A1361" s="3" t="s">
        <v>160</v>
      </c>
      <c r="B1361" s="24" t="s">
        <v>168</v>
      </c>
      <c r="C1361" t="s">
        <v>169</v>
      </c>
      <c r="D1361" s="4">
        <v>24</v>
      </c>
      <c r="E1361" s="3" t="s">
        <v>170</v>
      </c>
      <c r="F1361" s="3" t="s">
        <v>2112</v>
      </c>
      <c r="G1361" s="4">
        <v>44.1</v>
      </c>
      <c r="H1361" s="3" t="s">
        <v>2113</v>
      </c>
      <c r="I1361" s="3" t="s">
        <v>2118</v>
      </c>
      <c r="J1361" s="4">
        <v>2</v>
      </c>
      <c r="K1361" s="4">
        <v>504.26710000000003</v>
      </c>
      <c r="L1361" s="4" t="str">
        <f>HYPERLINK("http://ms.phosphosite.org:5080/cgi-bin/plot-msms.cgi?MassType=1&amp;NumAxis=1&amp;Mod11=170&amp;Pep=SFGGLGGGSVR&amp;Dta=/var/www/html/dta/yong/23612.8038.2.dta&amp;Global_Mod=CS57.0215", "8038")</f>
        <v>8038</v>
      </c>
      <c r="M1361" s="4" t="str">
        <f>HYPERLINK("http://ms.phosphosite.org:5080/cgi-bin/plot-msms.cgi?MassType=1&amp;NumAxis=1&amp;Mod11=170&amp;Pep=SFGGLGGGSVR&amp;Dta=/var/www/html/dta/yong/23613.8073.2.dta&amp;Global_Mod=CS57.0215", "8073")</f>
        <v>8073</v>
      </c>
      <c r="N1361" s="5">
        <v>36.94</v>
      </c>
      <c r="O1361" s="5">
        <v>36.97</v>
      </c>
      <c r="P1361" s="5">
        <v>3.0539999999999998</v>
      </c>
      <c r="Q1361" s="5">
        <v>2.9540000000000002</v>
      </c>
      <c r="R1361" s="5">
        <v>-0.19500000000000001</v>
      </c>
      <c r="S1361" s="5">
        <v>-0.57950000000000002</v>
      </c>
      <c r="T1361" s="5">
        <v>0.25640000000000002</v>
      </c>
      <c r="U1361" s="5">
        <v>0.2908</v>
      </c>
      <c r="V1361" s="4">
        <v>1</v>
      </c>
      <c r="W1361" s="4">
        <v>1</v>
      </c>
      <c r="X1361" s="5">
        <v>2.37</v>
      </c>
      <c r="Y1361" s="5">
        <v>2.56</v>
      </c>
      <c r="Z1361" s="6">
        <v>1000</v>
      </c>
      <c r="AA1361" s="6">
        <v>1000</v>
      </c>
      <c r="AB1361" s="4" t="s">
        <v>13</v>
      </c>
    </row>
    <row r="1362" spans="1:28">
      <c r="A1362" s="3" t="s">
        <v>160</v>
      </c>
      <c r="B1362" s="24" t="s">
        <v>168</v>
      </c>
      <c r="C1362" t="s">
        <v>169</v>
      </c>
      <c r="D1362" s="4">
        <v>24</v>
      </c>
      <c r="E1362" s="3" t="s">
        <v>170</v>
      </c>
      <c r="F1362" s="3" t="s">
        <v>2112</v>
      </c>
      <c r="G1362" s="4">
        <v>44.1</v>
      </c>
      <c r="H1362" s="3" t="s">
        <v>2113</v>
      </c>
      <c r="I1362" s="3" t="s">
        <v>2119</v>
      </c>
      <c r="J1362" s="4">
        <v>2</v>
      </c>
      <c r="K1362" s="4">
        <v>720.85749999999996</v>
      </c>
      <c r="L1362" s="4" t="str">
        <f>HYPERLINK("http://ms.phosphosite.org:5080/cgi-bin/plot-msms.cgi?MassType=1&amp;NumAxis=1&amp;Mod16=170&amp;Pep=SSATSSFGGLGGGSVR&amp;Dta=/var/www/html/dta/yong/23612.9064.2.dta&amp;Global_Mod=CS57.0215", "9064")</f>
        <v>9064</v>
      </c>
      <c r="M1362" s="4" t="str">
        <f>HYPERLINK("http://ms.phosphosite.org:5080/cgi-bin/plot-msms.cgi?MassType=1&amp;NumAxis=1&amp;Mod16=170&amp;Pep=SSATSSFGGLGGGSVR&amp;Dta=/var/www/html/dta/yong/23613.9105.2.dta&amp;Global_Mod=CS57.0215", "9105")</f>
        <v>9105</v>
      </c>
      <c r="N1362" s="5">
        <v>40.659999999999997</v>
      </c>
      <c r="O1362" s="5">
        <v>40.69</v>
      </c>
      <c r="P1362" s="5">
        <v>3.7480000000000002</v>
      </c>
      <c r="Q1362" s="5">
        <v>3.383</v>
      </c>
      <c r="R1362" s="5">
        <v>0.59889999999999999</v>
      </c>
      <c r="S1362" s="5">
        <v>0.61729999999999996</v>
      </c>
      <c r="T1362" s="5">
        <v>0.50190000000000001</v>
      </c>
      <c r="U1362" s="5">
        <v>0.4803</v>
      </c>
      <c r="V1362" s="4">
        <v>1</v>
      </c>
      <c r="W1362" s="4">
        <v>1</v>
      </c>
      <c r="X1362" s="5">
        <v>3.68</v>
      </c>
      <c r="Y1362" s="5">
        <v>3.56</v>
      </c>
      <c r="Z1362" s="6">
        <v>1000</v>
      </c>
      <c r="AA1362" s="6">
        <v>1000</v>
      </c>
      <c r="AB1362" s="4" t="s">
        <v>13</v>
      </c>
    </row>
    <row r="1363" spans="1:28">
      <c r="A1363" s="3" t="s">
        <v>160</v>
      </c>
      <c r="B1363" s="24" t="s">
        <v>168</v>
      </c>
      <c r="C1363" t="s">
        <v>169</v>
      </c>
      <c r="D1363" s="4">
        <v>24</v>
      </c>
      <c r="E1363" s="3" t="s">
        <v>170</v>
      </c>
      <c r="F1363" s="3" t="s">
        <v>2112</v>
      </c>
      <c r="G1363" s="4">
        <v>44.1</v>
      </c>
      <c r="H1363" s="3" t="s">
        <v>2113</v>
      </c>
      <c r="I1363" s="3" t="s">
        <v>2120</v>
      </c>
      <c r="J1363" s="4">
        <v>2</v>
      </c>
      <c r="K1363" s="4">
        <v>547.78309999999999</v>
      </c>
      <c r="L1363" s="4" t="str">
        <f>HYPERLINK("http://ms.phosphosite.org:5080/cgi-bin/plot-msms.cgi?MassType=1&amp;NumAxis=1&amp;Mod12=170&amp;Pep=SSFGGLGGGSVR&amp;Dta=/var/www/html/dta/yong/23612.8132.2.dta&amp;Global_Mod=CS57.0215", "8132")</f>
        <v>8132</v>
      </c>
      <c r="M1363" s="4" t="str">
        <f>HYPERLINK("http://ms.phosphosite.org:5080/cgi-bin/plot-msms.cgi?MassType=1&amp;NumAxis=1&amp;Mod12=170&amp;Pep=SSFGGLGGGSVR&amp;Dta=/var/www/html/dta/yong/23613.8160.2.dta&amp;Global_Mod=CS57.0215", "8160")</f>
        <v>8160</v>
      </c>
      <c r="N1363" s="5">
        <v>37.299999999999997</v>
      </c>
      <c r="O1363" s="5">
        <v>37.33</v>
      </c>
      <c r="P1363" s="5">
        <v>2.6669999999999998</v>
      </c>
      <c r="Q1363" s="5">
        <v>3.069</v>
      </c>
      <c r="R1363" s="5">
        <v>0.19020000000000001</v>
      </c>
      <c r="S1363" s="5">
        <v>0.1671</v>
      </c>
      <c r="T1363" s="5">
        <v>0.20899999999999999</v>
      </c>
      <c r="U1363" s="5">
        <v>0.1168</v>
      </c>
      <c r="V1363" s="4">
        <v>1</v>
      </c>
      <c r="W1363" s="4">
        <v>1</v>
      </c>
      <c r="X1363" s="5">
        <v>2.0699999999999998</v>
      </c>
      <c r="Y1363" s="5">
        <v>1.75</v>
      </c>
      <c r="Z1363" s="6">
        <v>1000</v>
      </c>
      <c r="AA1363" s="6">
        <v>1000</v>
      </c>
      <c r="AB1363" s="4" t="s">
        <v>13</v>
      </c>
    </row>
    <row r="1364" spans="1:28">
      <c r="A1364" s="3" t="s">
        <v>160</v>
      </c>
      <c r="B1364" s="24" t="s">
        <v>168</v>
      </c>
      <c r="C1364" t="s">
        <v>169</v>
      </c>
      <c r="D1364" s="4">
        <v>24</v>
      </c>
      <c r="E1364" s="3" t="s">
        <v>170</v>
      </c>
      <c r="F1364" s="3" t="s">
        <v>2112</v>
      </c>
      <c r="G1364" s="4">
        <v>44.1</v>
      </c>
      <c r="H1364" s="3" t="s">
        <v>2113</v>
      </c>
      <c r="I1364" s="3" t="s">
        <v>2121</v>
      </c>
      <c r="J1364" s="4">
        <v>2</v>
      </c>
      <c r="K1364" s="4">
        <v>598.30690000000004</v>
      </c>
      <c r="L1364" s="4" t="str">
        <f>HYPERLINK("http://ms.phosphosite.org:5080/cgi-bin/plot-msms.cgi?MassType=1&amp;NumAxis=1&amp;Mod13=170&amp;Pep=TSSFGGLGGGSVR&amp;Dta=/var/www/html/dta/yong/23612.8420.2.dta&amp;Global_Mod=CS57.0215", "8420")</f>
        <v>8420</v>
      </c>
      <c r="M1364" s="4" t="str">
        <f>HYPERLINK("http://ms.phosphosite.org:5080/cgi-bin/plot-msms.cgi?MassType=1&amp;NumAxis=1&amp;Mod13=170&amp;Pep=TSSFGGLGGGSVR&amp;Dta=/var/www/html/dta/yong/23613.8462.2.dta&amp;Global_Mod=CS57.0215", "8462")</f>
        <v>8462</v>
      </c>
      <c r="N1364" s="5">
        <v>38.369999999999997</v>
      </c>
      <c r="O1364" s="5">
        <v>38.44</v>
      </c>
      <c r="P1364" s="5">
        <v>3.0089999999999999</v>
      </c>
      <c r="Q1364" s="5">
        <v>3.4550000000000001</v>
      </c>
      <c r="R1364" s="5">
        <v>-0.18429999999999999</v>
      </c>
      <c r="S1364" s="5">
        <v>0.61109999999999998</v>
      </c>
      <c r="T1364" s="5">
        <v>0.28770000000000001</v>
      </c>
      <c r="U1364" s="5">
        <v>0.37559999999999999</v>
      </c>
      <c r="V1364" s="4">
        <v>1</v>
      </c>
      <c r="W1364" s="4">
        <v>1</v>
      </c>
      <c r="X1364" s="5">
        <v>2.4900000000000002</v>
      </c>
      <c r="Y1364" s="5">
        <v>3.1</v>
      </c>
      <c r="Z1364" s="6">
        <v>1000</v>
      </c>
      <c r="AA1364" s="6">
        <v>1000</v>
      </c>
      <c r="AB1364" s="4" t="s">
        <v>13</v>
      </c>
    </row>
    <row r="1365" spans="1:28">
      <c r="A1365" s="3" t="s">
        <v>160</v>
      </c>
      <c r="B1365" s="24" t="s">
        <v>168</v>
      </c>
      <c r="C1365" t="s">
        <v>169</v>
      </c>
      <c r="D1365" s="4" t="s">
        <v>2122</v>
      </c>
      <c r="E1365" s="3" t="s">
        <v>170</v>
      </c>
      <c r="F1365" s="3" t="s">
        <v>2112</v>
      </c>
      <c r="G1365" s="4">
        <v>44.1</v>
      </c>
      <c r="H1365" s="3" t="s">
        <v>2123</v>
      </c>
      <c r="I1365" s="3" t="s">
        <v>2124</v>
      </c>
      <c r="J1365" s="4">
        <v>3</v>
      </c>
      <c r="K1365" s="4">
        <v>345.53469999999999</v>
      </c>
      <c r="L1365" s="4"/>
      <c r="M1365" s="4" t="str">
        <f>HYPERLINK("http://ms.phosphosite.org:5080/cgi-bin/plot-msms.cgi?MassType=1&amp;NumAxis=1&amp;Mod1=170&amp;Mod9=170&amp;Pep=RFGPGVAFR&amp;Dta=/var/www/html/dta/yong/23613.8616.3.dta&amp;Global_Mod=CS57.0215", "8616")</f>
        <v>8616</v>
      </c>
      <c r="N1365" s="5"/>
      <c r="O1365" s="5">
        <v>38.97</v>
      </c>
      <c r="P1365" s="5"/>
      <c r="Q1365" s="5">
        <v>2.3279999999999998</v>
      </c>
      <c r="R1365" s="5"/>
      <c r="S1365" s="5">
        <v>0.24079999999999999</v>
      </c>
      <c r="T1365" s="5"/>
      <c r="U1365" s="5">
        <v>7.9699999999999993E-2</v>
      </c>
      <c r="V1365" s="4"/>
      <c r="W1365" s="4">
        <v>3</v>
      </c>
      <c r="X1365" s="5"/>
      <c r="Y1365" s="5">
        <v>1.32</v>
      </c>
      <c r="Z1365" s="6"/>
      <c r="AA1365" s="6" t="s">
        <v>1306</v>
      </c>
      <c r="AB1365" s="4" t="s">
        <v>13</v>
      </c>
    </row>
    <row r="1366" spans="1:28">
      <c r="A1366" s="3" t="s">
        <v>160</v>
      </c>
      <c r="B1366" s="24" t="s">
        <v>168</v>
      </c>
      <c r="C1366" t="s">
        <v>169</v>
      </c>
      <c r="D1366" s="4">
        <v>32</v>
      </c>
      <c r="E1366" s="3" t="s">
        <v>170</v>
      </c>
      <c r="F1366" s="3" t="s">
        <v>2112</v>
      </c>
      <c r="G1366" s="4">
        <v>44.1</v>
      </c>
      <c r="H1366" s="3" t="s">
        <v>2125</v>
      </c>
      <c r="I1366" s="3" t="s">
        <v>2126</v>
      </c>
      <c r="J1366" s="4">
        <v>2</v>
      </c>
      <c r="K1366" s="4">
        <v>432.74</v>
      </c>
      <c r="L1366" s="4" t="str">
        <f>HYPERLINK("http://ms.phosphosite.org:5080/cgi-bin/plot-msms.cgi?MassType=1&amp;NumAxis=1&amp;Mod8=170&amp;Pep=FGPGVAFR&amp;Dta=/var/www/html/dta/yong/23612.10305.2.dta&amp;Global_Mod=CS57.0215", "10305")</f>
        <v>10305</v>
      </c>
      <c r="M1366" s="4" t="str">
        <f>HYPERLINK("http://ms.phosphosite.org:5080/cgi-bin/plot-msms.cgi?MassType=1&amp;NumAxis=1&amp;Mod8=170&amp;Pep=FGPGVAFR&amp;Dta=/var/www/html/dta/yong/23613.10373.2.dta&amp;Global_Mod=CS57.0215", "10373")</f>
        <v>10373</v>
      </c>
      <c r="N1366" s="5">
        <v>45.04</v>
      </c>
      <c r="O1366" s="5">
        <v>45.05</v>
      </c>
      <c r="P1366" s="5">
        <v>2.34</v>
      </c>
      <c r="Q1366" s="5">
        <v>2.7709999999999999</v>
      </c>
      <c r="R1366" s="5">
        <v>8.3299999999999999E-2</v>
      </c>
      <c r="S1366" s="5">
        <v>0.1348</v>
      </c>
      <c r="T1366" s="5">
        <v>0.2001</v>
      </c>
      <c r="U1366" s="5">
        <v>0.29330000000000001</v>
      </c>
      <c r="V1366" s="4">
        <v>1</v>
      </c>
      <c r="W1366" s="4">
        <v>1</v>
      </c>
      <c r="X1366" s="5">
        <v>2</v>
      </c>
      <c r="Y1366" s="5">
        <v>2.61</v>
      </c>
      <c r="Z1366" s="6">
        <v>1000</v>
      </c>
      <c r="AA1366" s="6">
        <v>1000</v>
      </c>
      <c r="AB1366" s="4" t="s">
        <v>13</v>
      </c>
    </row>
    <row r="1367" spans="1:28">
      <c r="A1367" s="3" t="s">
        <v>160</v>
      </c>
      <c r="B1367" s="24" t="s">
        <v>168</v>
      </c>
      <c r="C1367" t="s">
        <v>169</v>
      </c>
      <c r="D1367" s="4">
        <v>32</v>
      </c>
      <c r="E1367" s="3" t="s">
        <v>170</v>
      </c>
      <c r="F1367" s="3" t="s">
        <v>2112</v>
      </c>
      <c r="G1367" s="4">
        <v>44.1</v>
      </c>
      <c r="H1367" s="3" t="s">
        <v>2125</v>
      </c>
      <c r="I1367" s="3" t="s">
        <v>2127</v>
      </c>
      <c r="J1367" s="4">
        <v>2</v>
      </c>
      <c r="K1367" s="4">
        <v>560.30089999999996</v>
      </c>
      <c r="L1367" s="4" t="str">
        <f>HYPERLINK("http://ms.phosphosite.org:5080/cgi-bin/plot-msms.cgi?MassType=1&amp;NumAxis=1&amp;Mod8=170&amp;Pep=FGPGVAFRAPS&amp;Dta=/var/www/html/dta/yong/23612.11351.2.dta&amp;Global_Mod=CS57.0215", "11351")</f>
        <v>11351</v>
      </c>
      <c r="M1367" s="4" t="str">
        <f>HYPERLINK("http://ms.phosphosite.org:5080/cgi-bin/plot-msms.cgi?MassType=1&amp;NumAxis=1&amp;Mod8=170&amp;Pep=FGPGVAFRAPS&amp;Dta=/var/www/html/dta/yong/23613.11423.2.dta&amp;Global_Mod=CS57.0215", "11423")</f>
        <v>11423</v>
      </c>
      <c r="N1367" s="5">
        <v>48.65</v>
      </c>
      <c r="O1367" s="5">
        <v>48.61</v>
      </c>
      <c r="P1367" s="5">
        <v>3.23</v>
      </c>
      <c r="Q1367" s="5">
        <v>3.1560000000000001</v>
      </c>
      <c r="R1367" s="5">
        <v>0.4572</v>
      </c>
      <c r="S1367" s="5">
        <v>0.44040000000000001</v>
      </c>
      <c r="T1367" s="5">
        <v>0.30549999999999999</v>
      </c>
      <c r="U1367" s="5">
        <v>0.23050000000000001</v>
      </c>
      <c r="V1367" s="4">
        <v>1</v>
      </c>
      <c r="W1367" s="4">
        <v>1</v>
      </c>
      <c r="X1367" s="5">
        <v>2.48</v>
      </c>
      <c r="Y1367" s="5">
        <v>2.17</v>
      </c>
      <c r="Z1367" s="6">
        <v>1000</v>
      </c>
      <c r="AA1367" s="6">
        <v>1000</v>
      </c>
      <c r="AB1367" s="4" t="s">
        <v>13</v>
      </c>
    </row>
    <row r="1368" spans="1:28">
      <c r="A1368" s="3" t="s">
        <v>160</v>
      </c>
      <c r="B1368" s="24" t="s">
        <v>168</v>
      </c>
      <c r="C1368" t="s">
        <v>169</v>
      </c>
      <c r="D1368" s="4">
        <v>32</v>
      </c>
      <c r="E1368" s="3" t="s">
        <v>170</v>
      </c>
      <c r="F1368" s="3" t="s">
        <v>2112</v>
      </c>
      <c r="G1368" s="4">
        <v>44.1</v>
      </c>
      <c r="H1368" s="3" t="s">
        <v>2125</v>
      </c>
      <c r="I1368" s="3" t="s">
        <v>2128</v>
      </c>
      <c r="J1368" s="4">
        <v>3</v>
      </c>
      <c r="K1368" s="4">
        <v>614.32370000000003</v>
      </c>
      <c r="L1368" s="4" t="str">
        <f>HYPERLINK("http://ms.phosphosite.org:5080/cgi-bin/plot-msms.cgi?MassType=1&amp;NumAxis=1&amp;Mod8=170&amp;Pep=FGPGVAFRAPSIHGGSGGR&amp;Dta=/var/www/html/dta/yong/23612.9716.3.dta&amp;Global_Mod=CS57.0215", "9716")</f>
        <v>9716</v>
      </c>
      <c r="M1368" s="4"/>
      <c r="N1368" s="5">
        <v>42.98</v>
      </c>
      <c r="O1368" s="5"/>
      <c r="P1368" s="5">
        <v>2.6659999999999999</v>
      </c>
      <c r="Q1368" s="5"/>
      <c r="R1368" s="5">
        <v>0.23469999999999999</v>
      </c>
      <c r="S1368" s="5"/>
      <c r="T1368" s="5">
        <v>0.1885</v>
      </c>
      <c r="U1368" s="5"/>
      <c r="V1368" s="4">
        <v>5</v>
      </c>
      <c r="W1368" s="4"/>
      <c r="X1368" s="5">
        <v>1.76</v>
      </c>
      <c r="Y1368" s="5"/>
      <c r="Z1368" s="6">
        <v>1000</v>
      </c>
      <c r="AA1368" s="6"/>
      <c r="AB1368" s="4" t="s">
        <v>13</v>
      </c>
    </row>
    <row r="1369" spans="1:28">
      <c r="A1369" s="3" t="s">
        <v>160</v>
      </c>
      <c r="B1369" s="24" t="s">
        <v>168</v>
      </c>
      <c r="C1369" t="s">
        <v>169</v>
      </c>
      <c r="D1369" s="4">
        <v>32</v>
      </c>
      <c r="E1369" s="3" t="s">
        <v>170</v>
      </c>
      <c r="F1369" s="3" t="s">
        <v>2112</v>
      </c>
      <c r="G1369" s="4">
        <v>44.1</v>
      </c>
      <c r="H1369" s="3" t="s">
        <v>2125</v>
      </c>
      <c r="I1369" s="3" t="s">
        <v>2129</v>
      </c>
      <c r="J1369" s="4">
        <v>2</v>
      </c>
      <c r="K1369" s="4">
        <v>330.69499999999999</v>
      </c>
      <c r="L1369" s="4" t="str">
        <f>HYPERLINK("http://ms.phosphosite.org:5080/cgi-bin/plot-msms.cgi?MassType=1&amp;NumAxis=1&amp;Mod6=170&amp;Pep=PGVAFR&amp;Dta=/var/www/html/dta/yong/23612.10344.2.dta&amp;Global_Mod=CS57.0215", "10344")</f>
        <v>10344</v>
      </c>
      <c r="M1369" s="4" t="str">
        <f>HYPERLINK("http://ms.phosphosite.org:5080/cgi-bin/plot-msms.cgi?MassType=1&amp;NumAxis=1&amp;Mod6=170&amp;Pep=PGVAFR&amp;Dta=/var/www/html/dta/yong/23613.10428.2.dta&amp;Global_Mod=CS57.0215", "10428")</f>
        <v>10428</v>
      </c>
      <c r="N1369" s="5">
        <v>45.17</v>
      </c>
      <c r="O1369" s="5">
        <v>45.23</v>
      </c>
      <c r="P1369" s="5">
        <v>1.8660000000000001</v>
      </c>
      <c r="Q1369" s="5">
        <v>1.8360000000000001</v>
      </c>
      <c r="R1369" s="5">
        <v>-2.6800000000000001E-2</v>
      </c>
      <c r="S1369" s="5">
        <v>-0.80449999999999999</v>
      </c>
      <c r="T1369" s="5">
        <v>0.15160000000000001</v>
      </c>
      <c r="U1369" s="5">
        <v>0.10050000000000001</v>
      </c>
      <c r="V1369" s="4">
        <v>2</v>
      </c>
      <c r="W1369" s="4">
        <v>2</v>
      </c>
      <c r="X1369" s="5">
        <v>1.69</v>
      </c>
      <c r="Y1369" s="5">
        <v>1.44</v>
      </c>
      <c r="Z1369" s="6">
        <v>1000</v>
      </c>
      <c r="AA1369" s="6">
        <v>1000</v>
      </c>
      <c r="AB1369" s="4" t="s">
        <v>13</v>
      </c>
    </row>
    <row r="1370" spans="1:28">
      <c r="A1370" s="3" t="s">
        <v>160</v>
      </c>
      <c r="B1370" s="24" t="s">
        <v>168</v>
      </c>
      <c r="C1370" t="s">
        <v>169</v>
      </c>
      <c r="D1370" s="4" t="s">
        <v>2130</v>
      </c>
      <c r="E1370" s="3" t="s">
        <v>170</v>
      </c>
      <c r="F1370" s="3" t="s">
        <v>2112</v>
      </c>
      <c r="G1370" s="4">
        <v>44.1</v>
      </c>
      <c r="H1370" s="3" t="s">
        <v>2131</v>
      </c>
      <c r="I1370" s="3" t="s">
        <v>2132</v>
      </c>
      <c r="J1370" s="4">
        <v>4</v>
      </c>
      <c r="K1370" s="4">
        <v>350.19040000000001</v>
      </c>
      <c r="L1370" s="4"/>
      <c r="M1370" s="4" t="str">
        <f>HYPERLINK("http://ms.phosphosite.org:5080/cgi-bin/plot-msms.cgi?MassType=1&amp;NumAxis=1&amp;Mod3=170&amp;Mod14=170&amp;Pep=AFRAPSIHGGSGGR&amp;Dta=/var/www/html/dta/yong/23613.4938.4.dta&amp;Global_Mod=CS57.0215", "4938")</f>
        <v>4938</v>
      </c>
      <c r="N1370" s="5"/>
      <c r="O1370" s="5">
        <v>25.37</v>
      </c>
      <c r="P1370" s="5"/>
      <c r="Q1370" s="5">
        <v>2.4969999999999999</v>
      </c>
      <c r="R1370" s="5"/>
      <c r="S1370" s="5">
        <v>0.53080000000000005</v>
      </c>
      <c r="T1370" s="5"/>
      <c r="U1370" s="5">
        <v>0.1328</v>
      </c>
      <c r="V1370" s="4"/>
      <c r="W1370" s="4">
        <v>2</v>
      </c>
      <c r="X1370" s="5"/>
      <c r="Y1370" s="5">
        <v>1.6</v>
      </c>
      <c r="Z1370" s="6"/>
      <c r="AA1370" s="6" t="s">
        <v>1306</v>
      </c>
      <c r="AB1370" s="4" t="s">
        <v>13</v>
      </c>
    </row>
    <row r="1371" spans="1:28">
      <c r="A1371" s="3" t="s">
        <v>160</v>
      </c>
      <c r="B1371" s="24" t="s">
        <v>168</v>
      </c>
      <c r="C1371" t="s">
        <v>169</v>
      </c>
      <c r="D1371" s="4" t="s">
        <v>2130</v>
      </c>
      <c r="E1371" s="3" t="s">
        <v>170</v>
      </c>
      <c r="F1371" s="3" t="s">
        <v>2112</v>
      </c>
      <c r="G1371" s="4">
        <v>44.1</v>
      </c>
      <c r="H1371" s="3" t="s">
        <v>2131</v>
      </c>
      <c r="I1371" s="3" t="s">
        <v>2133</v>
      </c>
      <c r="J1371" s="4">
        <v>3</v>
      </c>
      <c r="K1371" s="4">
        <v>618.99559999999997</v>
      </c>
      <c r="L1371" s="4" t="str">
        <f>HYPERLINK("http://ms.phosphosite.org:5080/cgi-bin/plot-msms.cgi?MassType=1&amp;NumAxis=1&amp;Mod8=170&amp;Mod19=170&amp;Pep=FGPGVAFRAPSIHGGSGGR&amp;Dta=/var/www/html/dta/yong/23612.9717.3.dta&amp;Global_Mod=CS57.0215", "9717")</f>
        <v>9717</v>
      </c>
      <c r="M1371" s="4" t="str">
        <f>HYPERLINK("http://ms.phosphosite.org:5080/cgi-bin/plot-msms.cgi?MassType=1&amp;NumAxis=1&amp;Mod8=170&amp;Mod19=170&amp;Pep=FGPGVAFRAPSIHGGSGGR&amp;Dta=/var/www/html/dta/yong/23613.9782.3.dta&amp;Global_Mod=CS57.0215", "9782")</f>
        <v>9782</v>
      </c>
      <c r="N1371" s="5">
        <v>42.99</v>
      </c>
      <c r="O1371" s="5">
        <v>43.07</v>
      </c>
      <c r="P1371" s="5">
        <v>3.508</v>
      </c>
      <c r="Q1371" s="5">
        <v>4.9809999999999999</v>
      </c>
      <c r="R1371" s="5">
        <v>0.35370000000000001</v>
      </c>
      <c r="S1371" s="5">
        <v>0.2359</v>
      </c>
      <c r="T1371" s="5">
        <v>0.32740000000000002</v>
      </c>
      <c r="U1371" s="5">
        <v>0.4264</v>
      </c>
      <c r="V1371" s="4">
        <v>1</v>
      </c>
      <c r="W1371" s="4">
        <v>1</v>
      </c>
      <c r="X1371" s="5">
        <v>2.61</v>
      </c>
      <c r="Y1371" s="5">
        <v>3.44</v>
      </c>
      <c r="Z1371" s="6" t="s">
        <v>1306</v>
      </c>
      <c r="AA1371" s="6" t="s">
        <v>1306</v>
      </c>
      <c r="AB1371" s="4" t="s">
        <v>13</v>
      </c>
    </row>
    <row r="1372" spans="1:28">
      <c r="A1372" s="3" t="s">
        <v>160</v>
      </c>
      <c r="B1372" s="24" t="s">
        <v>168</v>
      </c>
      <c r="C1372" t="s">
        <v>169</v>
      </c>
      <c r="D1372" s="4" t="s">
        <v>2130</v>
      </c>
      <c r="E1372" s="3" t="s">
        <v>170</v>
      </c>
      <c r="F1372" s="3" t="s">
        <v>2112</v>
      </c>
      <c r="G1372" s="4">
        <v>44.1</v>
      </c>
      <c r="H1372" s="3" t="s">
        <v>2131</v>
      </c>
      <c r="I1372" s="3" t="s">
        <v>2134</v>
      </c>
      <c r="J1372" s="4">
        <v>3</v>
      </c>
      <c r="K1372" s="4">
        <v>671.02549999999997</v>
      </c>
      <c r="L1372" s="4" t="str">
        <f>HYPERLINK("http://ms.phosphosite.org:5080/cgi-bin/plot-msms.cgi?MassType=1&amp;NumAxis=1&amp;Mod8=170&amp;Mod19=170&amp;Pep=FGPGVAFRAPSIHGGSGGRGV&amp;Dta=/var/www/html/dta/yong/23612.10474.3.dta&amp;Global_Mod=CS57.0215", "10474")</f>
        <v>10474</v>
      </c>
      <c r="M1372" s="4" t="str">
        <f>HYPERLINK("http://ms.phosphosite.org:5080/cgi-bin/plot-msms.cgi?MassType=1&amp;NumAxis=1&amp;Mod8=170&amp;Mod19=170&amp;Pep=FGPGVAFRAPSIHGGSGGRGV&amp;Dta=/var/www/html/dta/yong/23613.10545.3.dta&amp;Global_Mod=CS57.0215", "10545")</f>
        <v>10545</v>
      </c>
      <c r="N1372" s="5">
        <v>45.62</v>
      </c>
      <c r="O1372" s="5">
        <v>45.62</v>
      </c>
      <c r="P1372" s="5">
        <v>2.7370000000000001</v>
      </c>
      <c r="Q1372" s="5">
        <v>3.27</v>
      </c>
      <c r="R1372" s="5">
        <v>0.66459999999999997</v>
      </c>
      <c r="S1372" s="5">
        <v>0.58860000000000001</v>
      </c>
      <c r="T1372" s="5">
        <v>0.2467</v>
      </c>
      <c r="U1372" s="5">
        <v>0.2697</v>
      </c>
      <c r="V1372" s="4">
        <v>1</v>
      </c>
      <c r="W1372" s="4">
        <v>1</v>
      </c>
      <c r="X1372" s="5">
        <v>1.84</v>
      </c>
      <c r="Y1372" s="5">
        <v>2.11</v>
      </c>
      <c r="Z1372" s="6" t="s">
        <v>1306</v>
      </c>
      <c r="AA1372" s="6" t="s">
        <v>1306</v>
      </c>
      <c r="AB1372" s="4" t="s">
        <v>13</v>
      </c>
    </row>
    <row r="1373" spans="1:28">
      <c r="A1373" s="3" t="s">
        <v>160</v>
      </c>
      <c r="B1373" s="24" t="s">
        <v>168</v>
      </c>
      <c r="C1373" t="s">
        <v>169</v>
      </c>
      <c r="D1373" s="4" t="s">
        <v>2130</v>
      </c>
      <c r="E1373" s="3" t="s">
        <v>170</v>
      </c>
      <c r="F1373" s="3" t="s">
        <v>2112</v>
      </c>
      <c r="G1373" s="4">
        <v>44.1</v>
      </c>
      <c r="H1373" s="3" t="s">
        <v>2131</v>
      </c>
      <c r="I1373" s="3" t="s">
        <v>2134</v>
      </c>
      <c r="J1373" s="4">
        <v>3</v>
      </c>
      <c r="K1373" s="4">
        <v>671.02549999999997</v>
      </c>
      <c r="L1373" s="4"/>
      <c r="M1373" s="4" t="str">
        <f>HYPERLINK("http://ms.phosphosite.org:5080/cgi-bin/plot-msms.cgi?MassType=1&amp;NumAxis=1&amp;Mod8=170&amp;Mod19=170&amp;Pep=FGPGVAFRAPSIHGGSGGRGV&amp;Dta=/var/www/html/dta/yong/23613.10564.3.dta&amp;Global_Mod=CS57.0215", "10564")</f>
        <v>10564</v>
      </c>
      <c r="N1373" s="5"/>
      <c r="O1373" s="5">
        <v>45.69</v>
      </c>
      <c r="P1373" s="5"/>
      <c r="Q1373" s="5">
        <v>3.2320000000000002</v>
      </c>
      <c r="R1373" s="5"/>
      <c r="S1373" s="5">
        <v>0.58289999999999997</v>
      </c>
      <c r="T1373" s="5"/>
      <c r="U1373" s="5">
        <v>0.34589999999999999</v>
      </c>
      <c r="V1373" s="4"/>
      <c r="W1373" s="4">
        <v>1</v>
      </c>
      <c r="X1373" s="5"/>
      <c r="Y1373" s="5">
        <v>2.48</v>
      </c>
      <c r="Z1373" s="6"/>
      <c r="AA1373" s="6" t="s">
        <v>1306</v>
      </c>
      <c r="AB1373" s="4" t="s">
        <v>13</v>
      </c>
    </row>
    <row r="1374" spans="1:28">
      <c r="A1374" s="3" t="s">
        <v>160</v>
      </c>
      <c r="B1374" s="24" t="s">
        <v>168</v>
      </c>
      <c r="C1374" t="s">
        <v>169</v>
      </c>
      <c r="D1374" s="4" t="s">
        <v>2130</v>
      </c>
      <c r="E1374" s="3" t="s">
        <v>170</v>
      </c>
      <c r="F1374" s="3" t="s">
        <v>2112</v>
      </c>
      <c r="G1374" s="4">
        <v>44.1</v>
      </c>
      <c r="H1374" s="3" t="s">
        <v>2131</v>
      </c>
      <c r="I1374" s="3" t="s">
        <v>2135</v>
      </c>
      <c r="J1374" s="4">
        <v>3</v>
      </c>
      <c r="K1374" s="4">
        <v>733.05899999999997</v>
      </c>
      <c r="L1374" s="4" t="str">
        <f>HYPERLINK("http://ms.phosphosite.org:5080/cgi-bin/plot-msms.cgi?MassType=1&amp;NumAxis=1&amp;Mod8=170&amp;Mod19=170&amp;Pep=FGPGVAFRAPSIHGGSGGRGVSV&amp;Dta=/var/www/html/dta/yong/23612.11506.3.dta&amp;Global_Mod=CS57.0215", "11506")</f>
        <v>11506</v>
      </c>
      <c r="M1374" s="4" t="str">
        <f>HYPERLINK("http://ms.phosphosite.org:5080/cgi-bin/plot-msms.cgi?MassType=1&amp;NumAxis=1&amp;Mod8=170&amp;Mod19=170&amp;Pep=FGPGVAFRAPSIHGGSGGRGVSV&amp;Dta=/var/www/html/dta/yong/23613.11565.3.dta&amp;Global_Mod=CS57.0215", "11565")</f>
        <v>11565</v>
      </c>
      <c r="N1374" s="5">
        <v>49.18</v>
      </c>
      <c r="O1374" s="5">
        <v>49.08</v>
      </c>
      <c r="P1374" s="5">
        <v>3.95</v>
      </c>
      <c r="Q1374" s="5">
        <v>3.331</v>
      </c>
      <c r="R1374" s="5">
        <v>0.71379999999999999</v>
      </c>
      <c r="S1374" s="5">
        <v>0.63429999999999997</v>
      </c>
      <c r="T1374" s="5">
        <v>0.28349999999999997</v>
      </c>
      <c r="U1374" s="5">
        <v>0.29470000000000002</v>
      </c>
      <c r="V1374" s="4">
        <v>1</v>
      </c>
      <c r="W1374" s="4">
        <v>1</v>
      </c>
      <c r="X1374" s="5">
        <v>2.23</v>
      </c>
      <c r="Y1374" s="5">
        <v>2.2200000000000002</v>
      </c>
      <c r="Z1374" s="6" t="s">
        <v>1306</v>
      </c>
      <c r="AA1374" s="6" t="s">
        <v>1306</v>
      </c>
      <c r="AB1374" s="4" t="s">
        <v>13</v>
      </c>
    </row>
    <row r="1375" spans="1:28">
      <c r="A1375" s="3" t="s">
        <v>160</v>
      </c>
      <c r="B1375" s="24" t="s">
        <v>168</v>
      </c>
      <c r="C1375" t="s">
        <v>169</v>
      </c>
      <c r="D1375" s="4" t="s">
        <v>2130</v>
      </c>
      <c r="E1375" s="3" t="s">
        <v>170</v>
      </c>
      <c r="F1375" s="3" t="s">
        <v>2112</v>
      </c>
      <c r="G1375" s="4">
        <v>44.1</v>
      </c>
      <c r="H1375" s="3" t="s">
        <v>2131</v>
      </c>
      <c r="I1375" s="3" t="s">
        <v>2135</v>
      </c>
      <c r="J1375" s="4">
        <v>4</v>
      </c>
      <c r="K1375" s="4">
        <v>550.04610000000002</v>
      </c>
      <c r="L1375" s="4"/>
      <c r="M1375" s="4" t="str">
        <f>HYPERLINK("http://ms.phosphosite.org:5080/cgi-bin/plot-msms.cgi?MassType=1&amp;NumAxis=1&amp;Mod8=170&amp;Mod19=170&amp;Pep=FGPGVAFRAPSIHGGSGGRGVSV&amp;Dta=/var/www/html/dta/yong/23613.11551.4.dta&amp;Global_Mod=CS57.0215", "11551")</f>
        <v>11551</v>
      </c>
      <c r="N1375" s="5"/>
      <c r="O1375" s="5">
        <v>49.04</v>
      </c>
      <c r="P1375" s="5"/>
      <c r="Q1375" s="5">
        <v>1.8859999999999999</v>
      </c>
      <c r="R1375" s="5"/>
      <c r="S1375" s="5">
        <v>0.31919999999999998</v>
      </c>
      <c r="T1375" s="5"/>
      <c r="U1375" s="5">
        <v>9.5100000000000004E-2</v>
      </c>
      <c r="V1375" s="4"/>
      <c r="W1375" s="4">
        <v>151</v>
      </c>
      <c r="X1375" s="5"/>
      <c r="Y1375" s="5">
        <v>0.91</v>
      </c>
      <c r="Z1375" s="6"/>
      <c r="AA1375" s="6" t="s">
        <v>1306</v>
      </c>
      <c r="AB1375" s="4" t="s">
        <v>13</v>
      </c>
    </row>
    <row r="1376" spans="1:28">
      <c r="A1376" s="3" t="s">
        <v>160</v>
      </c>
      <c r="B1376" s="24" t="s">
        <v>168</v>
      </c>
      <c r="C1376" t="s">
        <v>169</v>
      </c>
      <c r="D1376" s="4" t="s">
        <v>2130</v>
      </c>
      <c r="E1376" s="3" t="s">
        <v>170</v>
      </c>
      <c r="F1376" s="3" t="s">
        <v>2112</v>
      </c>
      <c r="G1376" s="4">
        <v>44.1</v>
      </c>
      <c r="H1376" s="3" t="s">
        <v>2131</v>
      </c>
      <c r="I1376" s="3" t="s">
        <v>2136</v>
      </c>
      <c r="J1376" s="4">
        <v>3</v>
      </c>
      <c r="K1376" s="4">
        <v>814.75940000000003</v>
      </c>
      <c r="L1376" s="4" t="str">
        <f>HYPERLINK("http://ms.phosphosite.org:5080/cgi-bin/plot-msms.cgi?MassType=1&amp;NumAxis=1&amp;Mod8=170&amp;Mod19=170&amp;Pep=FGPGVAFRAPSIHGGSGGRGVSVSSA&amp;Dta=/var/www/html/dta/yong/23612.11086.3.dta&amp;Global_Mod=CS57.0215", "11086")</f>
        <v>11086</v>
      </c>
      <c r="M1376" s="4" t="str">
        <f>HYPERLINK("http://ms.phosphosite.org:5080/cgi-bin/plot-msms.cgi?MassType=1&amp;NumAxis=1&amp;Mod8=170&amp;Mod19=170&amp;Pep=FGPGVAFRAPSIHGGSGGRGVSVSSA&amp;Dta=/var/www/html/dta/yong/23613.11161.3.dta&amp;Global_Mod=CS57.0215", "11161")</f>
        <v>11161</v>
      </c>
      <c r="N1376" s="5">
        <v>47.76</v>
      </c>
      <c r="O1376" s="5">
        <v>47.75</v>
      </c>
      <c r="P1376" s="5">
        <v>3.1520000000000001</v>
      </c>
      <c r="Q1376" s="5">
        <v>3.181</v>
      </c>
      <c r="R1376" s="5">
        <v>1.0182</v>
      </c>
      <c r="S1376" s="5">
        <v>1.1772</v>
      </c>
      <c r="T1376" s="5">
        <v>0.35630000000000001</v>
      </c>
      <c r="U1376" s="5">
        <v>2.8E-3</v>
      </c>
      <c r="V1376" s="4">
        <v>1</v>
      </c>
      <c r="W1376" s="4">
        <v>1</v>
      </c>
      <c r="X1376" s="5">
        <v>2.39</v>
      </c>
      <c r="Y1376" s="5">
        <v>0.69</v>
      </c>
      <c r="Z1376" s="6" t="s">
        <v>1306</v>
      </c>
      <c r="AA1376" s="6" t="s">
        <v>1306</v>
      </c>
      <c r="AB1376" s="4" t="s">
        <v>13</v>
      </c>
    </row>
    <row r="1377" spans="1:28">
      <c r="A1377" s="3" t="s">
        <v>160</v>
      </c>
      <c r="B1377" s="24" t="s">
        <v>168</v>
      </c>
      <c r="C1377" t="s">
        <v>169</v>
      </c>
      <c r="D1377" s="4" t="s">
        <v>2130</v>
      </c>
      <c r="E1377" s="3" t="s">
        <v>170</v>
      </c>
      <c r="F1377" s="3" t="s">
        <v>2112</v>
      </c>
      <c r="G1377" s="4">
        <v>44.1</v>
      </c>
      <c r="H1377" s="3" t="s">
        <v>2131</v>
      </c>
      <c r="I1377" s="3" t="s">
        <v>2137</v>
      </c>
      <c r="J1377" s="4">
        <v>3</v>
      </c>
      <c r="K1377" s="4">
        <v>569.97280000000001</v>
      </c>
      <c r="L1377" s="4" t="str">
        <f>HYPERLINK("http://ms.phosphosite.org:5080/cgi-bin/plot-msms.cgi?MassType=1&amp;NumAxis=1&amp;Mod7=170&amp;Mod18=170&amp;Pep=GPGVAFRAPSIHGGSGGR&amp;Dta=/var/www/html/dta/yong/23612.9778.3.dta&amp;Global_Mod=CS57.0215", "9778")</f>
        <v>9778</v>
      </c>
      <c r="M1377" s="4"/>
      <c r="N1377" s="5">
        <v>43.21</v>
      </c>
      <c r="O1377" s="5"/>
      <c r="P1377" s="5">
        <v>2.3199999999999998</v>
      </c>
      <c r="Q1377" s="5"/>
      <c r="R1377" s="5">
        <v>0.36749999999999999</v>
      </c>
      <c r="S1377" s="5"/>
      <c r="T1377" s="5">
        <v>5.7999999999999996E-3</v>
      </c>
      <c r="U1377" s="5"/>
      <c r="V1377" s="4">
        <v>3</v>
      </c>
      <c r="W1377" s="4"/>
      <c r="X1377" s="5">
        <v>0.8</v>
      </c>
      <c r="Y1377" s="5"/>
      <c r="Z1377" s="6" t="s">
        <v>1306</v>
      </c>
      <c r="AA1377" s="6"/>
      <c r="AB1377" s="4" t="s">
        <v>13</v>
      </c>
    </row>
    <row r="1378" spans="1:28">
      <c r="A1378" s="3" t="s">
        <v>160</v>
      </c>
      <c r="B1378" s="24" t="s">
        <v>168</v>
      </c>
      <c r="C1378" t="s">
        <v>169</v>
      </c>
      <c r="D1378" s="4" t="s">
        <v>2130</v>
      </c>
      <c r="E1378" s="3" t="s">
        <v>170</v>
      </c>
      <c r="F1378" s="3" t="s">
        <v>2112</v>
      </c>
      <c r="G1378" s="4">
        <v>44.1</v>
      </c>
      <c r="H1378" s="3" t="s">
        <v>2131</v>
      </c>
      <c r="I1378" s="3" t="s">
        <v>2138</v>
      </c>
      <c r="J1378" s="4">
        <v>2</v>
      </c>
      <c r="K1378" s="4">
        <v>590.32069999999999</v>
      </c>
      <c r="L1378" s="4"/>
      <c r="M1378" s="4" t="str">
        <f>HYPERLINK("http://ms.phosphosite.org:5080/cgi-bin/plot-msms.cgi?MassType=1&amp;NumAxis=1&amp;Mod1=170&amp;Mod12=170&amp;Pep=RAPSIHGGSGGR&amp;Dta=/var/www/html/dta/yong/23613.1356.2.dta&amp;Global_Mod=CS57.0215", "1356")</f>
        <v>1356</v>
      </c>
      <c r="N1378" s="5"/>
      <c r="O1378" s="5">
        <v>11.8</v>
      </c>
      <c r="P1378" s="5"/>
      <c r="Q1378" s="5">
        <v>3.407</v>
      </c>
      <c r="R1378" s="5"/>
      <c r="S1378" s="5">
        <v>1.4178999999999999</v>
      </c>
      <c r="T1378" s="5"/>
      <c r="U1378" s="5">
        <v>0.38240000000000002</v>
      </c>
      <c r="V1378" s="4"/>
      <c r="W1378" s="4">
        <v>1</v>
      </c>
      <c r="X1378" s="5"/>
      <c r="Y1378" s="5">
        <v>2.91</v>
      </c>
      <c r="Z1378" s="6"/>
      <c r="AA1378" s="6" t="s">
        <v>1306</v>
      </c>
      <c r="AB1378" s="4" t="s">
        <v>13</v>
      </c>
    </row>
    <row r="1379" spans="1:28">
      <c r="A1379" s="3" t="s">
        <v>160</v>
      </c>
      <c r="B1379" s="24" t="s">
        <v>168</v>
      </c>
      <c r="C1379" t="s">
        <v>169</v>
      </c>
      <c r="D1379" s="4" t="s">
        <v>2130</v>
      </c>
      <c r="E1379" s="3" t="s">
        <v>170</v>
      </c>
      <c r="F1379" s="3" t="s">
        <v>2112</v>
      </c>
      <c r="G1379" s="4">
        <v>44.1</v>
      </c>
      <c r="H1379" s="3" t="s">
        <v>2131</v>
      </c>
      <c r="I1379" s="3" t="s">
        <v>2138</v>
      </c>
      <c r="J1379" s="4">
        <v>3</v>
      </c>
      <c r="K1379" s="4">
        <v>393.88290000000001</v>
      </c>
      <c r="L1379" s="4" t="str">
        <f>HYPERLINK("http://ms.phosphosite.org:5080/cgi-bin/plot-msms.cgi?MassType=1&amp;NumAxis=1&amp;Mod1=170&amp;Mod12=170&amp;Pep=RAPSIHGGSGGR&amp;Dta=/var/www/html/dta/yong/23612.1335.3.dta&amp;Global_Mod=CS57.0215", "1335")</f>
        <v>1335</v>
      </c>
      <c r="M1379" s="4" t="str">
        <f>HYPERLINK("http://ms.phosphosite.org:5080/cgi-bin/plot-msms.cgi?MassType=1&amp;NumAxis=1&amp;Mod1=170&amp;Mod12=170&amp;Pep=RAPSIHGGSGGR&amp;Dta=/var/www/html/dta/yong/23613.1351.3.dta&amp;Global_Mod=CS57.0215", "1351")</f>
        <v>1351</v>
      </c>
      <c r="N1379" s="5">
        <v>11.89</v>
      </c>
      <c r="O1379" s="5">
        <v>11.79</v>
      </c>
      <c r="P1379" s="5">
        <v>2.331</v>
      </c>
      <c r="Q1379" s="5">
        <v>3.101</v>
      </c>
      <c r="R1379" s="5">
        <v>0.21010000000000001</v>
      </c>
      <c r="S1379" s="5">
        <v>0.17799999999999999</v>
      </c>
      <c r="T1379" s="5">
        <v>0.19989999999999999</v>
      </c>
      <c r="U1379" s="5">
        <v>0.3347</v>
      </c>
      <c r="V1379" s="4">
        <v>1</v>
      </c>
      <c r="W1379" s="4">
        <v>1</v>
      </c>
      <c r="X1379" s="5">
        <v>1.83</v>
      </c>
      <c r="Y1379" s="5">
        <v>2.69</v>
      </c>
      <c r="Z1379" s="6" t="s">
        <v>1306</v>
      </c>
      <c r="AA1379" s="6" t="s">
        <v>1306</v>
      </c>
      <c r="AB1379" s="4" t="s">
        <v>13</v>
      </c>
    </row>
    <row r="1380" spans="1:28">
      <c r="A1380" s="3" t="s">
        <v>160</v>
      </c>
      <c r="B1380" s="24" t="s">
        <v>168</v>
      </c>
      <c r="C1380" t="s">
        <v>169</v>
      </c>
      <c r="D1380" s="4" t="s">
        <v>2130</v>
      </c>
      <c r="E1380" s="3" t="s">
        <v>170</v>
      </c>
      <c r="F1380" s="3" t="s">
        <v>2112</v>
      </c>
      <c r="G1380" s="4">
        <v>44.1</v>
      </c>
      <c r="H1380" s="3" t="s">
        <v>2131</v>
      </c>
      <c r="I1380" s="3" t="s">
        <v>2139</v>
      </c>
      <c r="J1380" s="4">
        <v>3</v>
      </c>
      <c r="K1380" s="4">
        <v>641.68039999999996</v>
      </c>
      <c r="L1380" s="4" t="str">
        <f>HYPERLINK("http://ms.phosphosite.org:5080/cgi-bin/plot-msms.cgi?MassType=1&amp;NumAxis=1&amp;Mod1=170&amp;Mod12=170&amp;Pep=RAPSIHGGSGGRGVSVSSAR&amp;Dta=/var/www/html/dta/yong/23612.3228.3.dta&amp;Global_Mod=CS57.0215", "3228")</f>
        <v>3228</v>
      </c>
      <c r="M1380" s="4" t="str">
        <f>HYPERLINK("http://ms.phosphosite.org:5080/cgi-bin/plot-msms.cgi?MassType=1&amp;NumAxis=1&amp;Mod1=170&amp;Mod12=170&amp;Pep=RAPSIHGGSGGRGVSVSSAR&amp;Dta=/var/www/html/dta/yong/23613.3341.3.dta&amp;Global_Mod=CS57.0215", "3341")</f>
        <v>3341</v>
      </c>
      <c r="N1380" s="5">
        <v>19.010000000000002</v>
      </c>
      <c r="O1380" s="5">
        <v>19.27</v>
      </c>
      <c r="P1380" s="5">
        <v>2.9340000000000002</v>
      </c>
      <c r="Q1380" s="5">
        <v>2.464</v>
      </c>
      <c r="R1380" s="5">
        <v>0.39279999999999998</v>
      </c>
      <c r="S1380" s="5">
        <v>0.32040000000000002</v>
      </c>
      <c r="T1380" s="5">
        <v>0.26190000000000002</v>
      </c>
      <c r="U1380" s="5">
        <v>0.19939999999999999</v>
      </c>
      <c r="V1380" s="4">
        <v>1</v>
      </c>
      <c r="W1380" s="4">
        <v>2</v>
      </c>
      <c r="X1380" s="5">
        <v>1.98</v>
      </c>
      <c r="Y1380" s="5">
        <v>1.62</v>
      </c>
      <c r="Z1380" s="6" t="s">
        <v>1306</v>
      </c>
      <c r="AA1380" s="6" t="s">
        <v>1306</v>
      </c>
      <c r="AB1380" s="4" t="s">
        <v>13</v>
      </c>
    </row>
    <row r="1381" spans="1:28">
      <c r="A1381" s="3" t="s">
        <v>160</v>
      </c>
      <c r="B1381" s="24" t="s">
        <v>168</v>
      </c>
      <c r="C1381" t="s">
        <v>169</v>
      </c>
      <c r="D1381" s="4" t="s">
        <v>2130</v>
      </c>
      <c r="E1381" s="3" t="s">
        <v>170</v>
      </c>
      <c r="F1381" s="3" t="s">
        <v>2112</v>
      </c>
      <c r="G1381" s="4">
        <v>44.1</v>
      </c>
      <c r="H1381" s="3" t="s">
        <v>2131</v>
      </c>
      <c r="I1381" s="3" t="s">
        <v>2139</v>
      </c>
      <c r="J1381" s="4">
        <v>3</v>
      </c>
      <c r="K1381" s="4">
        <v>641.68039999999996</v>
      </c>
      <c r="L1381" s="4" t="str">
        <f>HYPERLINK("http://ms.phosphosite.org:5080/cgi-bin/plot-msms.cgi?MassType=1&amp;NumAxis=1&amp;Mod1=170&amp;Mod12=170&amp;Pep=RAPSIHGGSGGRGVSVSSAR&amp;Dta=/var/www/html/dta/yong/23612.3211.3.dta&amp;Global_Mod=CS57.0215", "3211")</f>
        <v>3211</v>
      </c>
      <c r="M1381" s="4" t="str">
        <f>HYPERLINK("http://ms.phosphosite.org:5080/cgi-bin/plot-msms.cgi?MassType=1&amp;NumAxis=1&amp;Mod1=170&amp;Mod12=170&amp;Pep=RAPSIHGGSGGRGVSVSSAR&amp;Dta=/var/www/html/dta/yong/23613.3256.3.dta&amp;Global_Mod=CS57.0215", "3256")</f>
        <v>3256</v>
      </c>
      <c r="N1381" s="5">
        <v>18.96</v>
      </c>
      <c r="O1381" s="5">
        <v>18.96</v>
      </c>
      <c r="P1381" s="5">
        <v>2.7879999999999998</v>
      </c>
      <c r="Q1381" s="5">
        <v>3.2240000000000002</v>
      </c>
      <c r="R1381" s="5">
        <v>0.36880000000000002</v>
      </c>
      <c r="S1381" s="5">
        <v>0.41170000000000001</v>
      </c>
      <c r="T1381" s="5">
        <v>0.2162</v>
      </c>
      <c r="U1381" s="5">
        <v>0.2485</v>
      </c>
      <c r="V1381" s="4">
        <v>23</v>
      </c>
      <c r="W1381" s="4">
        <v>1</v>
      </c>
      <c r="X1381" s="5">
        <v>1.71</v>
      </c>
      <c r="Y1381" s="5">
        <v>2.02</v>
      </c>
      <c r="Z1381" s="6" t="s">
        <v>1306</v>
      </c>
      <c r="AA1381" s="6" t="s">
        <v>1306</v>
      </c>
      <c r="AB1381" s="4" t="s">
        <v>13</v>
      </c>
    </row>
    <row r="1382" spans="1:28">
      <c r="A1382" s="3" t="s">
        <v>160</v>
      </c>
      <c r="B1382" s="24" t="s">
        <v>168</v>
      </c>
      <c r="C1382" t="s">
        <v>169</v>
      </c>
      <c r="D1382" s="4" t="s">
        <v>2130</v>
      </c>
      <c r="E1382" s="3" t="s">
        <v>170</v>
      </c>
      <c r="F1382" s="3" t="s">
        <v>2112</v>
      </c>
      <c r="G1382" s="4">
        <v>44.1</v>
      </c>
      <c r="H1382" s="3" t="s">
        <v>2131</v>
      </c>
      <c r="I1382" s="3" t="s">
        <v>2139</v>
      </c>
      <c r="J1382" s="4">
        <v>4</v>
      </c>
      <c r="K1382" s="4">
        <v>481.51209999999998</v>
      </c>
      <c r="L1382" s="4" t="str">
        <f>HYPERLINK("http://ms.phosphosite.org:5080/cgi-bin/plot-msms.cgi?MassType=1&amp;NumAxis=1&amp;Mod1=170&amp;Mod12=170&amp;Pep=RAPSIHGGSGGRGVSVSSAR&amp;Dta=/var/www/html/dta/yong/23612.3242.4.dta&amp;Global_Mod=CS57.0215", "3242")</f>
        <v>3242</v>
      </c>
      <c r="M1382" s="4" t="str">
        <f>HYPERLINK("http://ms.phosphosite.org:5080/cgi-bin/plot-msms.cgi?MassType=1&amp;NumAxis=1&amp;Mod1=170&amp;Mod12=170&amp;Pep=RAPSIHGGSGGRGVSVSSAR&amp;Dta=/var/www/html/dta/yong/23613.3278.4.dta&amp;Global_Mod=CS57.0215", "3278")</f>
        <v>3278</v>
      </c>
      <c r="N1382" s="5">
        <v>19.059999999999999</v>
      </c>
      <c r="O1382" s="5">
        <v>19.04</v>
      </c>
      <c r="P1382" s="5">
        <v>2.4409999999999998</v>
      </c>
      <c r="Q1382" s="5">
        <v>3.109</v>
      </c>
      <c r="R1382" s="5">
        <v>-2.3E-2</v>
      </c>
      <c r="S1382" s="5">
        <v>-0.27460000000000001</v>
      </c>
      <c r="T1382" s="5">
        <v>0.20749999999999999</v>
      </c>
      <c r="U1382" s="5">
        <v>0.31430000000000002</v>
      </c>
      <c r="V1382" s="4">
        <v>4</v>
      </c>
      <c r="W1382" s="4">
        <v>1</v>
      </c>
      <c r="X1382" s="5">
        <v>1.65</v>
      </c>
      <c r="Y1382" s="5">
        <v>2.33</v>
      </c>
      <c r="Z1382" s="6" t="s">
        <v>1306</v>
      </c>
      <c r="AA1382" s="6" t="s">
        <v>1306</v>
      </c>
      <c r="AB1382" s="4" t="s">
        <v>13</v>
      </c>
    </row>
    <row r="1383" spans="1:28">
      <c r="A1383" s="3" t="s">
        <v>160</v>
      </c>
      <c r="B1383" s="24" t="s">
        <v>168</v>
      </c>
      <c r="C1383" t="s">
        <v>169</v>
      </c>
      <c r="D1383" s="4" t="s">
        <v>2140</v>
      </c>
      <c r="E1383" s="3" t="s">
        <v>170</v>
      </c>
      <c r="F1383" s="3" t="s">
        <v>2112</v>
      </c>
      <c r="G1383" s="4">
        <v>44.1</v>
      </c>
      <c r="H1383" s="3" t="s">
        <v>2131</v>
      </c>
      <c r="I1383" s="3" t="s">
        <v>2141</v>
      </c>
      <c r="J1383" s="4">
        <v>4</v>
      </c>
      <c r="K1383" s="4">
        <v>650.34670000000006</v>
      </c>
      <c r="L1383" s="4" t="str">
        <f>HYPERLINK("http://ms.phosphosite.org:5080/cgi-bin/plot-msms.cgi?MassType=1&amp;NumAxis=1&amp;Mod8=170&amp;Mod27=170&amp;Pep=FGPGVAFRAPSIHGGSGGRGVSVSSAR&amp;Dta=/var/www/html/dta/yong/23612.9604.4.dta&amp;Global_Mod=CS57.0215", "9604")</f>
        <v>9604</v>
      </c>
      <c r="M1383" s="4"/>
      <c r="N1383" s="5">
        <v>42.61</v>
      </c>
      <c r="O1383" s="5"/>
      <c r="P1383" s="5">
        <v>2.6720000000000002</v>
      </c>
      <c r="Q1383" s="5"/>
      <c r="R1383" s="5">
        <v>0.70960000000000001</v>
      </c>
      <c r="S1383" s="5"/>
      <c r="T1383" s="5">
        <v>0.14280000000000001</v>
      </c>
      <c r="U1383" s="5"/>
      <c r="V1383" s="4">
        <v>26</v>
      </c>
      <c r="W1383" s="4"/>
      <c r="X1383" s="5">
        <v>1.29</v>
      </c>
      <c r="Y1383" s="5"/>
      <c r="Z1383" s="6" t="s">
        <v>1306</v>
      </c>
      <c r="AA1383" s="6"/>
      <c r="AB1383" s="4" t="s">
        <v>13</v>
      </c>
    </row>
    <row r="1384" spans="1:28">
      <c r="A1384" s="3" t="s">
        <v>160</v>
      </c>
      <c r="B1384" s="24" t="s">
        <v>168</v>
      </c>
      <c r="C1384" t="s">
        <v>169</v>
      </c>
      <c r="D1384" s="4">
        <v>43</v>
      </c>
      <c r="E1384" s="3" t="s">
        <v>170</v>
      </c>
      <c r="F1384" s="3" t="s">
        <v>2112</v>
      </c>
      <c r="G1384" s="4">
        <v>44.1</v>
      </c>
      <c r="H1384" s="3" t="s">
        <v>2142</v>
      </c>
      <c r="I1384" s="3" t="s">
        <v>2143</v>
      </c>
      <c r="J1384" s="4">
        <v>2</v>
      </c>
      <c r="K1384" s="4">
        <v>505.26229999999998</v>
      </c>
      <c r="L1384" s="4" t="str">
        <f>HYPERLINK("http://ms.phosphosite.org:5080/cgi-bin/plot-msms.cgi?MassType=1&amp;NumAxis=1&amp;Mod11=170&amp;Pep=APSIHGGSGGR&amp;Dta=/var/www/html/dta/yong/23612.1620.2.dta&amp;Global_Mod=CS57.0215", "1620")</f>
        <v>1620</v>
      </c>
      <c r="M1384" s="4" t="str">
        <f>HYPERLINK("http://ms.phosphosite.org:5080/cgi-bin/plot-msms.cgi?MassType=1&amp;NumAxis=1&amp;Mod11=170&amp;Pep=APSIHGGSGGR&amp;Dta=/var/www/html/dta/yong/23613.1637.2.dta&amp;Global_Mod=CS57.0215", "1637")</f>
        <v>1637</v>
      </c>
      <c r="N1384" s="5">
        <v>12.97</v>
      </c>
      <c r="O1384" s="5">
        <v>12.88</v>
      </c>
      <c r="P1384" s="5">
        <v>2.6920000000000002</v>
      </c>
      <c r="Q1384" s="5">
        <v>2.5110000000000001</v>
      </c>
      <c r="R1384" s="5">
        <v>4.41E-2</v>
      </c>
      <c r="S1384" s="5">
        <v>-6.3700000000000007E-2</v>
      </c>
      <c r="T1384" s="5">
        <v>0.1958</v>
      </c>
      <c r="U1384" s="5">
        <v>0.27239999999999998</v>
      </c>
      <c r="V1384" s="4">
        <v>1</v>
      </c>
      <c r="W1384" s="4">
        <v>1</v>
      </c>
      <c r="X1384" s="5">
        <v>2.0099999999999998</v>
      </c>
      <c r="Y1384" s="5">
        <v>2.41</v>
      </c>
      <c r="Z1384" s="6">
        <v>1000</v>
      </c>
      <c r="AA1384" s="6">
        <v>1000</v>
      </c>
      <c r="AB1384" s="4" t="s">
        <v>13</v>
      </c>
    </row>
    <row r="1385" spans="1:28">
      <c r="A1385" s="3" t="s">
        <v>160</v>
      </c>
      <c r="B1385" s="24" t="s">
        <v>168</v>
      </c>
      <c r="C1385" t="s">
        <v>169</v>
      </c>
      <c r="D1385" s="4">
        <v>43</v>
      </c>
      <c r="E1385" s="3" t="s">
        <v>170</v>
      </c>
      <c r="F1385" s="3" t="s">
        <v>2112</v>
      </c>
      <c r="G1385" s="4">
        <v>44.1</v>
      </c>
      <c r="H1385" s="3" t="s">
        <v>2142</v>
      </c>
      <c r="I1385" s="3" t="s">
        <v>2144</v>
      </c>
      <c r="J1385" s="4">
        <v>2</v>
      </c>
      <c r="K1385" s="4">
        <v>583.30730000000005</v>
      </c>
      <c r="L1385" s="4" t="str">
        <f>HYPERLINK("http://ms.phosphosite.org:5080/cgi-bin/plot-msms.cgi?MassType=1&amp;NumAxis=1&amp;Mod11=170&amp;Pep=APSIHGGSGGRGV&amp;Dta=/var/www/html/dta/yong/23612.3248.2.dta&amp;Global_Mod=CS57.0215", "3248")</f>
        <v>3248</v>
      </c>
      <c r="M1385" s="4" t="str">
        <f>HYPERLINK("http://ms.phosphosite.org:5080/cgi-bin/plot-msms.cgi?MassType=1&amp;NumAxis=1&amp;Mod11=170&amp;Pep=APSIHGGSGGRGV&amp;Dta=/var/www/html/dta/yong/23613.3285.2.dta&amp;Global_Mod=CS57.0215", "3285")</f>
        <v>3285</v>
      </c>
      <c r="N1385" s="5">
        <v>19.079999999999998</v>
      </c>
      <c r="O1385" s="5">
        <v>19.059999999999999</v>
      </c>
      <c r="P1385" s="5">
        <v>2.6789999999999998</v>
      </c>
      <c r="Q1385" s="5">
        <v>1.978</v>
      </c>
      <c r="R1385" s="5">
        <v>0.24110000000000001</v>
      </c>
      <c r="S1385" s="5">
        <v>0.6</v>
      </c>
      <c r="T1385" s="5">
        <v>0.31459999999999999</v>
      </c>
      <c r="U1385" s="5">
        <v>0.22040000000000001</v>
      </c>
      <c r="V1385" s="4">
        <v>1</v>
      </c>
      <c r="W1385" s="4">
        <v>1</v>
      </c>
      <c r="X1385" s="5">
        <v>2.39</v>
      </c>
      <c r="Y1385" s="5">
        <v>1.85</v>
      </c>
      <c r="Z1385" s="6">
        <v>1000</v>
      </c>
      <c r="AA1385" s="6">
        <v>1000</v>
      </c>
      <c r="AB1385" s="4" t="s">
        <v>13</v>
      </c>
    </row>
    <row r="1386" spans="1:28">
      <c r="A1386" s="3" t="s">
        <v>160</v>
      </c>
      <c r="B1386" s="24" t="s">
        <v>168</v>
      </c>
      <c r="C1386" t="s">
        <v>169</v>
      </c>
      <c r="D1386" s="4">
        <v>43</v>
      </c>
      <c r="E1386" s="3" t="s">
        <v>170</v>
      </c>
      <c r="F1386" s="3" t="s">
        <v>2112</v>
      </c>
      <c r="G1386" s="4">
        <v>44.1</v>
      </c>
      <c r="H1386" s="3" t="s">
        <v>2142</v>
      </c>
      <c r="I1386" s="3" t="s">
        <v>2145</v>
      </c>
      <c r="J1386" s="4">
        <v>2</v>
      </c>
      <c r="K1386" s="4">
        <v>676.35749999999996</v>
      </c>
      <c r="L1386" s="4" t="str">
        <f>HYPERLINK("http://ms.phosphosite.org:5080/cgi-bin/plot-msms.cgi?MassType=1&amp;NumAxis=1&amp;Mod11=170&amp;Pep=APSIHGGSGGRGVSV&amp;Dta=/var/www/html/dta/yong/23612.5282.2.dta&amp;Global_Mod=CS57.0215", "5282")</f>
        <v>5282</v>
      </c>
      <c r="M1386" s="4" t="str">
        <f>HYPERLINK("http://ms.phosphosite.org:5080/cgi-bin/plot-msms.cgi?MassType=1&amp;NumAxis=1&amp;Mod11=170&amp;Pep=APSIHGGSGGRGVSV&amp;Dta=/var/www/html/dta/yong/23613.5292.2.dta&amp;Global_Mod=CS57.0215", "5292")</f>
        <v>5292</v>
      </c>
      <c r="N1386" s="5">
        <v>26.89</v>
      </c>
      <c r="O1386" s="5">
        <v>26.72</v>
      </c>
      <c r="P1386" s="5">
        <v>2.4319999999999999</v>
      </c>
      <c r="Q1386" s="5">
        <v>2.7850000000000001</v>
      </c>
      <c r="R1386" s="5">
        <v>0.80910000000000004</v>
      </c>
      <c r="S1386" s="5">
        <v>0.61509999999999998</v>
      </c>
      <c r="T1386" s="5">
        <v>0.20610000000000001</v>
      </c>
      <c r="U1386" s="5">
        <v>0.29680000000000001</v>
      </c>
      <c r="V1386" s="4">
        <v>1</v>
      </c>
      <c r="W1386" s="4">
        <v>1</v>
      </c>
      <c r="X1386" s="5">
        <v>1.77</v>
      </c>
      <c r="Y1386" s="5">
        <v>2.36</v>
      </c>
      <c r="Z1386" s="6">
        <v>1000</v>
      </c>
      <c r="AA1386" s="6">
        <v>1000</v>
      </c>
      <c r="AB1386" s="4" t="s">
        <v>13</v>
      </c>
    </row>
    <row r="1387" spans="1:28">
      <c r="A1387" s="3" t="s">
        <v>160</v>
      </c>
      <c r="B1387" s="24" t="s">
        <v>168</v>
      </c>
      <c r="C1387" t="s">
        <v>169</v>
      </c>
      <c r="D1387" s="4">
        <v>43</v>
      </c>
      <c r="E1387" s="3" t="s">
        <v>170</v>
      </c>
      <c r="F1387" s="3" t="s">
        <v>2112</v>
      </c>
      <c r="G1387" s="4">
        <v>44.1</v>
      </c>
      <c r="H1387" s="3" t="s">
        <v>2142</v>
      </c>
      <c r="I1387" s="3" t="s">
        <v>2145</v>
      </c>
      <c r="J1387" s="4">
        <v>3</v>
      </c>
      <c r="K1387" s="4">
        <v>451.24079999999998</v>
      </c>
      <c r="L1387" s="4" t="str">
        <f>HYPERLINK("http://ms.phosphosite.org:5080/cgi-bin/plot-msms.cgi?MassType=1&amp;NumAxis=1&amp;Mod11=170&amp;Pep=APSIHGGSGGRGVSV&amp;Dta=/var/www/html/dta/yong/23612.5237.3.dta&amp;Global_Mod=CS57.0215", "5237")</f>
        <v>5237</v>
      </c>
      <c r="M1387" s="4"/>
      <c r="N1387" s="5">
        <v>26.72</v>
      </c>
      <c r="O1387" s="5"/>
      <c r="P1387" s="5">
        <v>2.2839999999999998</v>
      </c>
      <c r="Q1387" s="5"/>
      <c r="R1387" s="5">
        <v>4.8099999999999997E-2</v>
      </c>
      <c r="S1387" s="5"/>
      <c r="T1387" s="5">
        <v>0.35020000000000001</v>
      </c>
      <c r="U1387" s="5"/>
      <c r="V1387" s="4">
        <v>8</v>
      </c>
      <c r="W1387" s="4"/>
      <c r="X1387" s="5">
        <v>2.52</v>
      </c>
      <c r="Y1387" s="5"/>
      <c r="Z1387" s="6">
        <v>1000</v>
      </c>
      <c r="AA1387" s="6"/>
      <c r="AB1387" s="4" t="s">
        <v>13</v>
      </c>
    </row>
    <row r="1388" spans="1:28">
      <c r="A1388" s="3" t="s">
        <v>160</v>
      </c>
      <c r="B1388" s="24" t="s">
        <v>168</v>
      </c>
      <c r="C1388" t="s">
        <v>169</v>
      </c>
      <c r="D1388" s="4">
        <v>43</v>
      </c>
      <c r="E1388" s="3" t="s">
        <v>170</v>
      </c>
      <c r="F1388" s="3" t="s">
        <v>2112</v>
      </c>
      <c r="G1388" s="4">
        <v>44.1</v>
      </c>
      <c r="H1388" s="3" t="s">
        <v>2142</v>
      </c>
      <c r="I1388" s="3" t="s">
        <v>2146</v>
      </c>
      <c r="J1388" s="4">
        <v>2</v>
      </c>
      <c r="K1388" s="4">
        <v>719.87350000000004</v>
      </c>
      <c r="L1388" s="4" t="str">
        <f>HYPERLINK("http://ms.phosphosite.org:5080/cgi-bin/plot-msms.cgi?MassType=1&amp;NumAxis=1&amp;Mod11=170&amp;Pep=APSIHGGSGGRGVSVS&amp;Dta=/var/www/html/dta/yong/23612.4736.2.dta&amp;Global_Mod=CS57.0215", "4736")</f>
        <v>4736</v>
      </c>
      <c r="M1388" s="4" t="str">
        <f>HYPERLINK("http://ms.phosphosite.org:5080/cgi-bin/plot-msms.cgi?MassType=1&amp;NumAxis=1&amp;Mod11=170&amp;Pep=APSIHGGSGGRGVSVS&amp;Dta=/var/www/html/dta/yong/23613.4795.2.dta&amp;Global_Mod=CS57.0215", "4795")</f>
        <v>4795</v>
      </c>
      <c r="N1388" s="5">
        <v>24.83</v>
      </c>
      <c r="O1388" s="5">
        <v>24.85</v>
      </c>
      <c r="P1388" s="5">
        <v>2.9569999999999999</v>
      </c>
      <c r="Q1388" s="5">
        <v>2.84</v>
      </c>
      <c r="R1388" s="5">
        <v>0.85219999999999996</v>
      </c>
      <c r="S1388" s="5">
        <v>0.92369999999999997</v>
      </c>
      <c r="T1388" s="5">
        <v>0.33689999999999998</v>
      </c>
      <c r="U1388" s="5">
        <v>0.27139999999999997</v>
      </c>
      <c r="V1388" s="4">
        <v>1</v>
      </c>
      <c r="W1388" s="4">
        <v>1</v>
      </c>
      <c r="X1388" s="5">
        <v>2.5099999999999998</v>
      </c>
      <c r="Y1388" s="5">
        <v>2.2200000000000002</v>
      </c>
      <c r="Z1388" s="6">
        <v>1000</v>
      </c>
      <c r="AA1388" s="6">
        <v>1000</v>
      </c>
      <c r="AB1388" s="4" t="s">
        <v>13</v>
      </c>
    </row>
    <row r="1389" spans="1:28">
      <c r="A1389" s="3" t="s">
        <v>160</v>
      </c>
      <c r="B1389" s="24" t="s">
        <v>168</v>
      </c>
      <c r="C1389" t="s">
        <v>169</v>
      </c>
      <c r="D1389" s="4">
        <v>43</v>
      </c>
      <c r="E1389" s="3" t="s">
        <v>170</v>
      </c>
      <c r="F1389" s="3" t="s">
        <v>2112</v>
      </c>
      <c r="G1389" s="4">
        <v>44.1</v>
      </c>
      <c r="H1389" s="3" t="s">
        <v>2142</v>
      </c>
      <c r="I1389" s="3" t="s">
        <v>2146</v>
      </c>
      <c r="J1389" s="4">
        <v>3</v>
      </c>
      <c r="K1389" s="4">
        <v>480.25139999999999</v>
      </c>
      <c r="L1389" s="4" t="str">
        <f>HYPERLINK("http://ms.phosphosite.org:5080/cgi-bin/plot-msms.cgi?MassType=1&amp;NumAxis=1&amp;Mod11=170&amp;Pep=APSIHGGSGGRGVSVS&amp;Dta=/var/www/html/dta/yong/23612.4718.3.dta&amp;Global_Mod=CS57.0215", "4718")</f>
        <v>4718</v>
      </c>
      <c r="M1389" s="4" t="str">
        <f>HYPERLINK("http://ms.phosphosite.org:5080/cgi-bin/plot-msms.cgi?MassType=1&amp;NumAxis=1&amp;Mod11=170&amp;Pep=APSIHGGSGGRGVSVS&amp;Dta=/var/www/html/dta/yong/23613.4766.3.dta&amp;Global_Mod=CS57.0215", "4766")</f>
        <v>4766</v>
      </c>
      <c r="N1389" s="5">
        <v>24.76</v>
      </c>
      <c r="O1389" s="5">
        <v>24.73</v>
      </c>
      <c r="P1389" s="5">
        <v>1.9330000000000001</v>
      </c>
      <c r="Q1389" s="5">
        <v>2.1240000000000001</v>
      </c>
      <c r="R1389" s="5">
        <v>9.6199999999999994E-2</v>
      </c>
      <c r="S1389" s="5">
        <v>3.2500000000000001E-2</v>
      </c>
      <c r="T1389" s="5">
        <v>0.1045</v>
      </c>
      <c r="U1389" s="5">
        <v>0.2132</v>
      </c>
      <c r="V1389" s="4">
        <v>1</v>
      </c>
      <c r="W1389" s="4">
        <v>1</v>
      </c>
      <c r="X1389" s="5">
        <v>1.23</v>
      </c>
      <c r="Y1389" s="5">
        <v>1.84</v>
      </c>
      <c r="Z1389" s="6">
        <v>1000</v>
      </c>
      <c r="AA1389" s="6">
        <v>1000</v>
      </c>
      <c r="AB1389" s="4" t="s">
        <v>13</v>
      </c>
    </row>
    <row r="1390" spans="1:28">
      <c r="A1390" s="3" t="s">
        <v>160</v>
      </c>
      <c r="B1390" s="24" t="s">
        <v>168</v>
      </c>
      <c r="C1390" t="s">
        <v>169</v>
      </c>
      <c r="D1390" s="4">
        <v>43</v>
      </c>
      <c r="E1390" s="3" t="s">
        <v>170</v>
      </c>
      <c r="F1390" s="3" t="s">
        <v>2112</v>
      </c>
      <c r="G1390" s="4">
        <v>44.1</v>
      </c>
      <c r="H1390" s="3" t="s">
        <v>2142</v>
      </c>
      <c r="I1390" s="3" t="s">
        <v>2147</v>
      </c>
      <c r="J1390" s="4">
        <v>3</v>
      </c>
      <c r="K1390" s="4">
        <v>532.94110000000001</v>
      </c>
      <c r="L1390" s="4"/>
      <c r="M1390" s="4" t="str">
        <f>HYPERLINK("http://ms.phosphosite.org:5080/cgi-bin/plot-msms.cgi?MassType=1&amp;NumAxis=1&amp;Mod11=170&amp;Pep=APSIHGGSGGRGVSVSSA&amp;Dta=/var/www/html/dta/yong/23613.5165.3.dta&amp;Global_Mod=CS57.0215", "5165")</f>
        <v>5165</v>
      </c>
      <c r="N1390" s="5"/>
      <c r="O1390" s="5">
        <v>26.25</v>
      </c>
      <c r="P1390" s="5"/>
      <c r="Q1390" s="5">
        <v>1.5820000000000001</v>
      </c>
      <c r="R1390" s="5"/>
      <c r="S1390" s="5">
        <v>0.21440000000000001</v>
      </c>
      <c r="T1390" s="5"/>
      <c r="U1390" s="5">
        <v>3.2899999999999999E-2</v>
      </c>
      <c r="V1390" s="4"/>
      <c r="W1390" s="4">
        <v>11</v>
      </c>
      <c r="X1390" s="5"/>
      <c r="Y1390" s="5">
        <v>0.82</v>
      </c>
      <c r="Z1390" s="6"/>
      <c r="AA1390" s="6">
        <v>1000</v>
      </c>
      <c r="AB1390" s="4" t="s">
        <v>13</v>
      </c>
    </row>
    <row r="1391" spans="1:28">
      <c r="A1391" s="3" t="s">
        <v>160</v>
      </c>
      <c r="B1391" s="24" t="s">
        <v>168</v>
      </c>
      <c r="C1391" t="s">
        <v>169</v>
      </c>
      <c r="D1391" s="4">
        <v>43</v>
      </c>
      <c r="E1391" s="3" t="s">
        <v>170</v>
      </c>
      <c r="F1391" s="3" t="s">
        <v>2112</v>
      </c>
      <c r="G1391" s="4">
        <v>44.1</v>
      </c>
      <c r="H1391" s="3" t="s">
        <v>2142</v>
      </c>
      <c r="I1391" s="3" t="s">
        <v>2148</v>
      </c>
      <c r="J1391" s="4">
        <v>2</v>
      </c>
      <c r="K1391" s="4">
        <v>876.95860000000005</v>
      </c>
      <c r="L1391" s="4" t="str">
        <f>HYPERLINK("http://ms.phosphosite.org:5080/cgi-bin/plot-msms.cgi?MassType=1&amp;NumAxis=1&amp;Mod11=170&amp;Pep=APSIHGGSGGRGVSVSSAR&amp;Dta=/var/www/html/dta/yong/23612.3857.2.dta&amp;Global_Mod=CS57.0215", "3857")</f>
        <v>3857</v>
      </c>
      <c r="M1391" s="4" t="str">
        <f>HYPERLINK("http://ms.phosphosite.org:5080/cgi-bin/plot-msms.cgi?MassType=1&amp;NumAxis=1&amp;Mod11=170&amp;Pep=APSIHGGSGGRGVSVSSAR&amp;Dta=/var/www/html/dta/yong/23613.3891.2.dta&amp;Global_Mod=CS57.0215", "3891")</f>
        <v>3891</v>
      </c>
      <c r="N1391" s="5">
        <v>21.43</v>
      </c>
      <c r="O1391" s="5">
        <v>21.36</v>
      </c>
      <c r="P1391" s="5">
        <v>2.5680000000000001</v>
      </c>
      <c r="Q1391" s="5">
        <v>2.669</v>
      </c>
      <c r="R1391" s="5">
        <v>0.79300000000000004</v>
      </c>
      <c r="S1391" s="5">
        <v>1.4147000000000001</v>
      </c>
      <c r="T1391" s="5">
        <v>0.25659999999999999</v>
      </c>
      <c r="U1391" s="5">
        <v>0.2336</v>
      </c>
      <c r="V1391" s="4">
        <v>46</v>
      </c>
      <c r="W1391" s="4">
        <v>115</v>
      </c>
      <c r="X1391" s="5">
        <v>1.98</v>
      </c>
      <c r="Y1391" s="5">
        <v>1.88</v>
      </c>
      <c r="Z1391" s="6">
        <v>1000</v>
      </c>
      <c r="AA1391" s="6">
        <v>1000</v>
      </c>
      <c r="AB1391" s="4" t="s">
        <v>13</v>
      </c>
    </row>
    <row r="1392" spans="1:28">
      <c r="A1392" s="3" t="s">
        <v>160</v>
      </c>
      <c r="B1392" s="24" t="s">
        <v>168</v>
      </c>
      <c r="C1392" t="s">
        <v>169</v>
      </c>
      <c r="D1392" s="4">
        <v>43</v>
      </c>
      <c r="E1392" s="3" t="s">
        <v>170</v>
      </c>
      <c r="F1392" s="3" t="s">
        <v>2112</v>
      </c>
      <c r="G1392" s="4">
        <v>44.1</v>
      </c>
      <c r="H1392" s="3" t="s">
        <v>2142</v>
      </c>
      <c r="I1392" s="3" t="s">
        <v>2148</v>
      </c>
      <c r="J1392" s="4">
        <v>3</v>
      </c>
      <c r="K1392" s="4">
        <v>584.97479999999996</v>
      </c>
      <c r="L1392" s="4" t="str">
        <f>HYPERLINK("http://ms.phosphosite.org:5080/cgi-bin/plot-msms.cgi?MassType=1&amp;NumAxis=1&amp;Mod11=170&amp;Pep=APSIHGGSGGRGVSVSSAR&amp;Dta=/var/www/html/dta/yong/23612.3833.3.dta&amp;Global_Mod=CS57.0215", "3833")</f>
        <v>3833</v>
      </c>
      <c r="M1392" s="4" t="str">
        <f>HYPERLINK("http://ms.phosphosite.org:5080/cgi-bin/plot-msms.cgi?MassType=1&amp;NumAxis=1&amp;Mod11=170&amp;Pep=APSIHGGSGGRGVSVSSAR&amp;Dta=/var/www/html/dta/yong/23613.3865.3.dta&amp;Global_Mod=CS57.0215", "3865")</f>
        <v>3865</v>
      </c>
      <c r="N1392" s="5">
        <v>21.34</v>
      </c>
      <c r="O1392" s="5">
        <v>21.26</v>
      </c>
      <c r="P1392" s="5">
        <v>2.0750000000000002</v>
      </c>
      <c r="Q1392" s="5">
        <v>2.419</v>
      </c>
      <c r="R1392" s="5">
        <v>0.3221</v>
      </c>
      <c r="S1392" s="5">
        <v>0.3095</v>
      </c>
      <c r="T1392" s="5">
        <v>0.222</v>
      </c>
      <c r="U1392" s="5">
        <v>5.9299999999999999E-2</v>
      </c>
      <c r="V1392" s="4">
        <v>1</v>
      </c>
      <c r="W1392" s="4">
        <v>37</v>
      </c>
      <c r="X1392" s="5">
        <v>1.81</v>
      </c>
      <c r="Y1392" s="5">
        <v>1.1000000000000001</v>
      </c>
      <c r="Z1392" s="6">
        <v>1000</v>
      </c>
      <c r="AA1392" s="6">
        <v>1000</v>
      </c>
      <c r="AB1392" s="4" t="s">
        <v>13</v>
      </c>
    </row>
    <row r="1393" spans="1:28">
      <c r="A1393" s="3" t="s">
        <v>160</v>
      </c>
      <c r="B1393" s="24" t="s">
        <v>168</v>
      </c>
      <c r="C1393" t="s">
        <v>169</v>
      </c>
      <c r="D1393" s="4">
        <v>43</v>
      </c>
      <c r="E1393" s="3" t="s">
        <v>170</v>
      </c>
      <c r="F1393" s="3" t="s">
        <v>2112</v>
      </c>
      <c r="G1393" s="4">
        <v>44.1</v>
      </c>
      <c r="H1393" s="3" t="s">
        <v>2142</v>
      </c>
      <c r="I1393" s="3" t="s">
        <v>2148</v>
      </c>
      <c r="J1393" s="4">
        <v>4</v>
      </c>
      <c r="K1393" s="4">
        <v>438.983</v>
      </c>
      <c r="L1393" s="4" t="str">
        <f>HYPERLINK("http://ms.phosphosite.org:5080/cgi-bin/plot-msms.cgi?MassType=1&amp;NumAxis=1&amp;Mod11=170&amp;Pep=APSIHGGSGGRGVSVSSAR&amp;Dta=/var/www/html/dta/yong/23612.3832.4.dta&amp;Global_Mod=CS57.0215", "3832")</f>
        <v>3832</v>
      </c>
      <c r="M1393" s="4"/>
      <c r="N1393" s="5">
        <v>21.34</v>
      </c>
      <c r="O1393" s="5"/>
      <c r="P1393" s="5">
        <v>2.383</v>
      </c>
      <c r="Q1393" s="5"/>
      <c r="R1393" s="5">
        <v>-4.9000000000000002E-2</v>
      </c>
      <c r="S1393" s="5"/>
      <c r="T1393" s="5">
        <v>0.12809999999999999</v>
      </c>
      <c r="U1393" s="5"/>
      <c r="V1393" s="4">
        <v>15</v>
      </c>
      <c r="W1393" s="4"/>
      <c r="X1393" s="5">
        <v>1.44</v>
      </c>
      <c r="Y1393" s="5"/>
      <c r="Z1393" s="6">
        <v>1000</v>
      </c>
      <c r="AA1393" s="6"/>
      <c r="AB1393" s="4" t="s">
        <v>13</v>
      </c>
    </row>
    <row r="1394" spans="1:28">
      <c r="A1394" s="3" t="s">
        <v>160</v>
      </c>
      <c r="B1394" s="24" t="s">
        <v>168</v>
      </c>
      <c r="C1394" t="s">
        <v>169</v>
      </c>
      <c r="D1394" s="4">
        <v>43</v>
      </c>
      <c r="E1394" s="3" t="s">
        <v>170</v>
      </c>
      <c r="F1394" s="3" t="s">
        <v>2112</v>
      </c>
      <c r="G1394" s="4">
        <v>44.1</v>
      </c>
      <c r="H1394" s="3" t="s">
        <v>2142</v>
      </c>
      <c r="I1394" s="3" t="s">
        <v>2149</v>
      </c>
      <c r="J1394" s="4">
        <v>3</v>
      </c>
      <c r="K1394" s="4">
        <v>416.5532</v>
      </c>
      <c r="L1394" s="4" t="str">
        <f>HYPERLINK("http://ms.phosphosite.org:5080/cgi-bin/plot-msms.cgi?MassType=1&amp;NumAxis=1&amp;Mod6=170&amp;Pep=GGSGGRGVSVSSAR&amp;Dta=/var/www/html/dta/yong/23612.2205.3.dta&amp;Global_Mod=CS57.0215", "2205")</f>
        <v>2205</v>
      </c>
      <c r="M1394" s="4" t="str">
        <f>HYPERLINK("http://ms.phosphosite.org:5080/cgi-bin/plot-msms.cgi?MassType=1&amp;NumAxis=1&amp;Mod6=170&amp;Pep=GGSGGRGVSVSSAR&amp;Dta=/var/www/html/dta/yong/23613.2231.3.dta&amp;Global_Mod=CS57.0215", "2231")</f>
        <v>2231</v>
      </c>
      <c r="N1394" s="5">
        <v>15.17</v>
      </c>
      <c r="O1394" s="5">
        <v>15.1</v>
      </c>
      <c r="P1394" s="5">
        <v>2.7930000000000001</v>
      </c>
      <c r="Q1394" s="5">
        <v>3.2149999999999999</v>
      </c>
      <c r="R1394" s="5">
        <v>0.11269999999999999</v>
      </c>
      <c r="S1394" s="5">
        <v>0.501</v>
      </c>
      <c r="T1394" s="5">
        <v>0.32179999999999997</v>
      </c>
      <c r="U1394" s="5">
        <v>0.29060000000000002</v>
      </c>
      <c r="V1394" s="4">
        <v>1</v>
      </c>
      <c r="W1394" s="4">
        <v>2</v>
      </c>
      <c r="X1394" s="5">
        <v>2.4900000000000002</v>
      </c>
      <c r="Y1394" s="5">
        <v>2.48</v>
      </c>
      <c r="Z1394" s="6">
        <v>1000</v>
      </c>
      <c r="AA1394" s="6">
        <v>1000</v>
      </c>
      <c r="AB1394" s="4" t="s">
        <v>13</v>
      </c>
    </row>
    <row r="1395" spans="1:28">
      <c r="A1395" s="3" t="s">
        <v>160</v>
      </c>
      <c r="B1395" s="24" t="s">
        <v>168</v>
      </c>
      <c r="C1395" t="s">
        <v>169</v>
      </c>
      <c r="D1395" s="4">
        <v>43</v>
      </c>
      <c r="E1395" s="3" t="s">
        <v>170</v>
      </c>
      <c r="F1395" s="3" t="s">
        <v>2112</v>
      </c>
      <c r="G1395" s="4">
        <v>44.1</v>
      </c>
      <c r="H1395" s="3" t="s">
        <v>2142</v>
      </c>
      <c r="I1395" s="3" t="s">
        <v>2150</v>
      </c>
      <c r="J1395" s="4">
        <v>2</v>
      </c>
      <c r="K1395" s="4">
        <v>469.74380000000002</v>
      </c>
      <c r="L1395" s="4" t="str">
        <f>HYPERLINK("http://ms.phosphosite.org:5080/cgi-bin/plot-msms.cgi?MassType=1&amp;NumAxis=1&amp;Mod10=170&amp;Pep=PSIHGGSGGR&amp;Dta=/var/www/html/dta/yong/23612.1626.2.dta&amp;Global_Mod=CS57.0215", "1626")</f>
        <v>1626</v>
      </c>
      <c r="M1395" s="4" t="str">
        <f>HYPERLINK("http://ms.phosphosite.org:5080/cgi-bin/plot-msms.cgi?MassType=1&amp;NumAxis=1&amp;Mod10=170&amp;Pep=PSIHGGSGGR&amp;Dta=/var/www/html/dta/yong/23613.1652.2.dta&amp;Global_Mod=CS57.0215", "1652")</f>
        <v>1652</v>
      </c>
      <c r="N1395" s="5">
        <v>12.99</v>
      </c>
      <c r="O1395" s="5">
        <v>12.94</v>
      </c>
      <c r="P1395" s="5">
        <v>1.363</v>
      </c>
      <c r="Q1395" s="5">
        <v>1.881</v>
      </c>
      <c r="R1395" s="5">
        <v>-0.34360000000000002</v>
      </c>
      <c r="S1395" s="5">
        <v>-0.59019999999999995</v>
      </c>
      <c r="T1395" s="5">
        <v>1.8599999999999998E-2</v>
      </c>
      <c r="U1395" s="5">
        <v>0.248</v>
      </c>
      <c r="V1395" s="4">
        <v>135</v>
      </c>
      <c r="W1395" s="4">
        <v>6</v>
      </c>
      <c r="X1395" s="5">
        <v>0.79</v>
      </c>
      <c r="Y1395" s="5">
        <v>2.14</v>
      </c>
      <c r="Z1395" s="6">
        <v>1000</v>
      </c>
      <c r="AA1395" s="6">
        <v>1000</v>
      </c>
      <c r="AB1395" s="4" t="s">
        <v>13</v>
      </c>
    </row>
    <row r="1396" spans="1:28">
      <c r="A1396" s="3" t="s">
        <v>160</v>
      </c>
      <c r="B1396" s="24" t="s">
        <v>168</v>
      </c>
      <c r="C1396" t="s">
        <v>169</v>
      </c>
      <c r="D1396" s="4">
        <v>43</v>
      </c>
      <c r="E1396" s="3" t="s">
        <v>170</v>
      </c>
      <c r="F1396" s="3" t="s">
        <v>2112</v>
      </c>
      <c r="G1396" s="4">
        <v>44.1</v>
      </c>
      <c r="H1396" s="3" t="s">
        <v>2142</v>
      </c>
      <c r="I1396" s="3" t="s">
        <v>2151</v>
      </c>
      <c r="J1396" s="4">
        <v>3</v>
      </c>
      <c r="K1396" s="4">
        <v>561.29579999999999</v>
      </c>
      <c r="L1396" s="4"/>
      <c r="M1396" s="4" t="str">
        <f>HYPERLINK("http://ms.phosphosite.org:5080/cgi-bin/plot-msms.cgi?MassType=1&amp;NumAxis=1&amp;Mod10=170&amp;Pep=PSIHGGSGGRGVSVSSAR&amp;Dta=/var/www/html/dta/yong/23613.3890.3.dta&amp;Global_Mod=CS57.0215", "3890")</f>
        <v>3890</v>
      </c>
      <c r="N1396" s="5"/>
      <c r="O1396" s="5">
        <v>21.36</v>
      </c>
      <c r="P1396" s="5"/>
      <c r="Q1396" s="5">
        <v>2.3029999999999999</v>
      </c>
      <c r="R1396" s="5"/>
      <c r="S1396" s="5">
        <v>0.64639999999999997</v>
      </c>
      <c r="T1396" s="5"/>
      <c r="U1396" s="5">
        <v>0.17419999999999999</v>
      </c>
      <c r="V1396" s="4"/>
      <c r="W1396" s="4">
        <v>1</v>
      </c>
      <c r="X1396" s="5"/>
      <c r="Y1396" s="5">
        <v>1.66</v>
      </c>
      <c r="Z1396" s="6"/>
      <c r="AA1396" s="6">
        <v>1000</v>
      </c>
      <c r="AB1396" s="4" t="s">
        <v>13</v>
      </c>
    </row>
    <row r="1397" spans="1:28">
      <c r="A1397" s="3" t="s">
        <v>160</v>
      </c>
      <c r="B1397" s="24" t="s">
        <v>168</v>
      </c>
      <c r="C1397" t="s">
        <v>169</v>
      </c>
      <c r="D1397" s="4">
        <v>43</v>
      </c>
      <c r="E1397" s="3" t="s">
        <v>170</v>
      </c>
      <c r="F1397" s="3" t="s">
        <v>2112</v>
      </c>
      <c r="G1397" s="4">
        <v>44.1</v>
      </c>
      <c r="H1397" s="3" t="s">
        <v>2142</v>
      </c>
      <c r="I1397" s="3" t="s">
        <v>2151</v>
      </c>
      <c r="J1397" s="4">
        <v>4</v>
      </c>
      <c r="K1397" s="4">
        <v>421.22370000000001</v>
      </c>
      <c r="L1397" s="4"/>
      <c r="M1397" s="4" t="str">
        <f>HYPERLINK("http://ms.phosphosite.org:5080/cgi-bin/plot-msms.cgi?MassType=1&amp;NumAxis=1&amp;Mod10=170&amp;Pep=PSIHGGSGGRGVSVSSAR&amp;Dta=/var/www/html/dta/yong/23613.3892.4.dta&amp;Global_Mod=CS57.0215", "3892")</f>
        <v>3892</v>
      </c>
      <c r="N1397" s="5"/>
      <c r="O1397" s="5">
        <v>21.36</v>
      </c>
      <c r="P1397" s="5"/>
      <c r="Q1397" s="5">
        <v>2.919</v>
      </c>
      <c r="R1397" s="5"/>
      <c r="S1397" s="5">
        <v>0.51119999999999999</v>
      </c>
      <c r="T1397" s="5"/>
      <c r="U1397" s="5">
        <v>0.33529999999999999</v>
      </c>
      <c r="V1397" s="4"/>
      <c r="W1397" s="4">
        <v>1</v>
      </c>
      <c r="X1397" s="5"/>
      <c r="Y1397" s="5">
        <v>2.64</v>
      </c>
      <c r="Z1397" s="6"/>
      <c r="AA1397" s="6">
        <v>1000</v>
      </c>
      <c r="AB1397" s="4" t="s">
        <v>13</v>
      </c>
    </row>
    <row r="1398" spans="1:28">
      <c r="A1398" s="3" t="s">
        <v>160</v>
      </c>
      <c r="B1398" s="24" t="s">
        <v>168</v>
      </c>
      <c r="C1398" t="s">
        <v>169</v>
      </c>
      <c r="D1398" s="4">
        <v>43</v>
      </c>
      <c r="E1398" s="3" t="s">
        <v>170</v>
      </c>
      <c r="F1398" s="3" t="s">
        <v>2112</v>
      </c>
      <c r="G1398" s="4">
        <v>44.1</v>
      </c>
      <c r="H1398" s="3" t="s">
        <v>2142</v>
      </c>
      <c r="I1398" s="3" t="s">
        <v>2152</v>
      </c>
      <c r="J1398" s="4">
        <v>2</v>
      </c>
      <c r="K1398" s="4">
        <v>421.2174</v>
      </c>
      <c r="L1398" s="4" t="str">
        <f>HYPERLINK("http://ms.phosphosite.org:5080/cgi-bin/plot-msms.cgi?MassType=1&amp;NumAxis=1&amp;Mod9=170&amp;Pep=SIHGGSGGR&amp;Dta=/var/www/html/dta/yong/23612.316.2.dta&amp;Global_Mod=CS57.0215", "316")</f>
        <v>316</v>
      </c>
      <c r="M1398" s="4" t="str">
        <f>HYPERLINK("http://ms.phosphosite.org:5080/cgi-bin/plot-msms.cgi?MassType=1&amp;NumAxis=1&amp;Mod9=170&amp;Pep=SIHGGSGGR&amp;Dta=/var/www/html/dta/yong/23613.280.2.dta&amp;Global_Mod=CS57.0215", "280")</f>
        <v>280</v>
      </c>
      <c r="N1398" s="5">
        <v>4.2300000000000004</v>
      </c>
      <c r="O1398" s="5">
        <v>3.52</v>
      </c>
      <c r="P1398" s="5">
        <v>1.3740000000000001</v>
      </c>
      <c r="Q1398" s="5">
        <v>1.9359999999999999</v>
      </c>
      <c r="R1398" s="5">
        <v>0.36070000000000002</v>
      </c>
      <c r="S1398" s="5">
        <v>0.2288</v>
      </c>
      <c r="T1398" s="5">
        <v>0.1033</v>
      </c>
      <c r="U1398" s="5">
        <v>0.17480000000000001</v>
      </c>
      <c r="V1398" s="4">
        <v>1</v>
      </c>
      <c r="W1398" s="4">
        <v>1</v>
      </c>
      <c r="X1398" s="5">
        <v>1.34</v>
      </c>
      <c r="Y1398" s="5">
        <v>1.85</v>
      </c>
      <c r="Z1398" s="6">
        <v>1000</v>
      </c>
      <c r="AA1398" s="6">
        <v>1000</v>
      </c>
      <c r="AB1398" s="4" t="s">
        <v>13</v>
      </c>
    </row>
    <row r="1399" spans="1:28">
      <c r="A1399" s="3" t="s">
        <v>160</v>
      </c>
      <c r="B1399" s="24" t="s">
        <v>168</v>
      </c>
      <c r="C1399" t="s">
        <v>169</v>
      </c>
      <c r="D1399" s="4">
        <v>43</v>
      </c>
      <c r="E1399" s="3" t="s">
        <v>170</v>
      </c>
      <c r="F1399" s="3" t="s">
        <v>2112</v>
      </c>
      <c r="G1399" s="4">
        <v>44.1</v>
      </c>
      <c r="H1399" s="3" t="s">
        <v>2142</v>
      </c>
      <c r="I1399" s="3" t="s">
        <v>2153</v>
      </c>
      <c r="J1399" s="4">
        <v>2</v>
      </c>
      <c r="K1399" s="4">
        <v>792.91369999999995</v>
      </c>
      <c r="L1399" s="4" t="str">
        <f>HYPERLINK("http://ms.phosphosite.org:5080/cgi-bin/plot-msms.cgi?MassType=1&amp;NumAxis=1&amp;Mod9=170&amp;Pep=SIHGGSGGRGVSVSSAR&amp;Dta=/var/www/html/dta/yong/23612.2530.2.dta&amp;Global_Mod=CS57.0215", "2530")</f>
        <v>2530</v>
      </c>
      <c r="M1399" s="4" t="str">
        <f>HYPERLINK("http://ms.phosphosite.org:5080/cgi-bin/plot-msms.cgi?MassType=1&amp;NumAxis=1&amp;Mod9=170&amp;Pep=SIHGGSGGRGVSVSSAR&amp;Dta=/var/www/html/dta/yong/23613.2583.2.dta&amp;Global_Mod=CS57.0215", "2583")</f>
        <v>2583</v>
      </c>
      <c r="N1399" s="5">
        <v>16.399999999999999</v>
      </c>
      <c r="O1399" s="5">
        <v>16.45</v>
      </c>
      <c r="P1399" s="5">
        <v>4.0670000000000002</v>
      </c>
      <c r="Q1399" s="5">
        <v>3.4580000000000002</v>
      </c>
      <c r="R1399" s="5">
        <v>0.67679999999999996</v>
      </c>
      <c r="S1399" s="5">
        <v>0.51849999999999996</v>
      </c>
      <c r="T1399" s="5">
        <v>0.49399999999999999</v>
      </c>
      <c r="U1399" s="5">
        <v>0.39329999999999998</v>
      </c>
      <c r="V1399" s="4">
        <v>1</v>
      </c>
      <c r="W1399" s="4">
        <v>1</v>
      </c>
      <c r="X1399" s="5">
        <v>3.5</v>
      </c>
      <c r="Y1399" s="5">
        <v>2.96</v>
      </c>
      <c r="Z1399" s="6">
        <v>1000</v>
      </c>
      <c r="AA1399" s="6">
        <v>1000</v>
      </c>
      <c r="AB1399" s="4" t="s">
        <v>13</v>
      </c>
    </row>
    <row r="1400" spans="1:28">
      <c r="A1400" s="3" t="s">
        <v>160</v>
      </c>
      <c r="B1400" s="24" t="s">
        <v>168</v>
      </c>
      <c r="C1400" t="s">
        <v>169</v>
      </c>
      <c r="D1400" s="4">
        <v>43</v>
      </c>
      <c r="E1400" s="3" t="s">
        <v>170</v>
      </c>
      <c r="F1400" s="3" t="s">
        <v>2112</v>
      </c>
      <c r="G1400" s="4">
        <v>44.1</v>
      </c>
      <c r="H1400" s="3" t="s">
        <v>2142</v>
      </c>
      <c r="I1400" s="3" t="s">
        <v>2153</v>
      </c>
      <c r="J1400" s="4">
        <v>4</v>
      </c>
      <c r="K1400" s="4">
        <v>396.96050000000002</v>
      </c>
      <c r="L1400" s="4"/>
      <c r="M1400" s="4" t="str">
        <f>HYPERLINK("http://ms.phosphosite.org:5080/cgi-bin/plot-msms.cgi?MassType=1&amp;NumAxis=1&amp;Mod9=170&amp;Pep=SIHGGSGGRGVSVSSAR&amp;Dta=/var/www/html/dta/yong/23613.2566.4.dta&amp;Global_Mod=CS57.0215", "2566")</f>
        <v>2566</v>
      </c>
      <c r="N1400" s="5"/>
      <c r="O1400" s="5">
        <v>16.39</v>
      </c>
      <c r="P1400" s="5"/>
      <c r="Q1400" s="5">
        <v>2.1709999999999998</v>
      </c>
      <c r="R1400" s="5"/>
      <c r="S1400" s="5">
        <v>-0.6381</v>
      </c>
      <c r="T1400" s="5"/>
      <c r="U1400" s="5">
        <v>2.7799999999999998E-2</v>
      </c>
      <c r="V1400" s="4"/>
      <c r="W1400" s="4">
        <v>46</v>
      </c>
      <c r="X1400" s="5"/>
      <c r="Y1400" s="5">
        <v>0.9</v>
      </c>
      <c r="Z1400" s="6"/>
      <c r="AA1400" s="6">
        <v>1000</v>
      </c>
      <c r="AB1400" s="4" t="s">
        <v>13</v>
      </c>
    </row>
    <row r="1401" spans="1:28">
      <c r="A1401" s="3" t="s">
        <v>160</v>
      </c>
      <c r="B1401" s="24" t="s">
        <v>168</v>
      </c>
      <c r="C1401" t="s">
        <v>169</v>
      </c>
      <c r="D1401" s="4" t="s">
        <v>2154</v>
      </c>
      <c r="E1401" s="3" t="s">
        <v>170</v>
      </c>
      <c r="F1401" s="3" t="s">
        <v>2112</v>
      </c>
      <c r="G1401" s="4">
        <v>44.1</v>
      </c>
      <c r="H1401" s="3" t="s">
        <v>2155</v>
      </c>
      <c r="I1401" s="3" t="s">
        <v>2156</v>
      </c>
      <c r="J1401" s="4">
        <v>2</v>
      </c>
      <c r="K1401" s="4">
        <v>883.9665</v>
      </c>
      <c r="L1401" s="4" t="str">
        <f>HYPERLINK("http://ms.phosphosite.org:5080/cgi-bin/plot-msms.cgi?MassType=1&amp;NumAxis=1&amp;Mod11=170&amp;Mod19=170&amp;Pep=APSIHGGSGGRGVSVSSAR&amp;Dta=/var/www/html/dta/yong/23612.4069.2.dta&amp;Global_Mod=CS57.0215", "4069")</f>
        <v>4069</v>
      </c>
      <c r="M1401" s="4" t="str">
        <f>HYPERLINK("http://ms.phosphosite.org:5080/cgi-bin/plot-msms.cgi?MassType=1&amp;NumAxis=1&amp;Mod11=170&amp;Mod19=170&amp;Pep=APSIHGGSGGRGVSVSSAR&amp;Dta=/var/www/html/dta/yong/23613.4113.2.dta&amp;Global_Mod=CS57.0215", "4113")</f>
        <v>4113</v>
      </c>
      <c r="N1401" s="5">
        <v>22.26</v>
      </c>
      <c r="O1401" s="5">
        <v>22.24</v>
      </c>
      <c r="P1401" s="5">
        <v>2.516</v>
      </c>
      <c r="Q1401" s="5">
        <v>2.6749999999999998</v>
      </c>
      <c r="R1401" s="5">
        <v>0.37</v>
      </c>
      <c r="S1401" s="5">
        <v>1.0327999999999999</v>
      </c>
      <c r="T1401" s="5">
        <v>0.15110000000000001</v>
      </c>
      <c r="U1401" s="5">
        <v>9.69E-2</v>
      </c>
      <c r="V1401" s="4">
        <v>2</v>
      </c>
      <c r="W1401" s="4">
        <v>15</v>
      </c>
      <c r="X1401" s="5">
        <v>1.49</v>
      </c>
      <c r="Y1401" s="5">
        <v>1.28</v>
      </c>
      <c r="Z1401" s="6" t="s">
        <v>1306</v>
      </c>
      <c r="AA1401" s="6" t="s">
        <v>1306</v>
      </c>
      <c r="AB1401" s="4" t="s">
        <v>13</v>
      </c>
    </row>
    <row r="1402" spans="1:28">
      <c r="A1402" s="3" t="s">
        <v>160</v>
      </c>
      <c r="B1402" s="24" t="s">
        <v>168</v>
      </c>
      <c r="C1402" t="s">
        <v>169</v>
      </c>
      <c r="D1402" s="4" t="s">
        <v>2154</v>
      </c>
      <c r="E1402" s="3" t="s">
        <v>170</v>
      </c>
      <c r="F1402" s="3" t="s">
        <v>2112</v>
      </c>
      <c r="G1402" s="4">
        <v>44.1</v>
      </c>
      <c r="H1402" s="3" t="s">
        <v>2155</v>
      </c>
      <c r="I1402" s="3" t="s">
        <v>2156</v>
      </c>
      <c r="J1402" s="4">
        <v>2</v>
      </c>
      <c r="K1402" s="4">
        <v>883.9665</v>
      </c>
      <c r="L1402" s="4"/>
      <c r="M1402" s="4" t="str">
        <f>HYPERLINK("http://ms.phosphosite.org:5080/cgi-bin/plot-msms.cgi?MassType=1&amp;NumAxis=1&amp;Mod11=170&amp;Mod19=170&amp;Pep=APSIHGGSGGRGVSVSSAR&amp;Dta=/var/www/html/dta/yong/23613.4172.2.dta&amp;Global_Mod=CS57.0215", "4172")</f>
        <v>4172</v>
      </c>
      <c r="N1402" s="5"/>
      <c r="O1402" s="5">
        <v>22.43</v>
      </c>
      <c r="P1402" s="5"/>
      <c r="Q1402" s="5">
        <v>1.9410000000000001</v>
      </c>
      <c r="R1402" s="5"/>
      <c r="S1402" s="5">
        <v>1.0327999999999999</v>
      </c>
      <c r="T1402" s="5"/>
      <c r="U1402" s="5">
        <v>2.5600000000000001E-2</v>
      </c>
      <c r="V1402" s="4"/>
      <c r="W1402" s="4">
        <v>10</v>
      </c>
      <c r="X1402" s="5"/>
      <c r="Y1402" s="5">
        <v>0.78</v>
      </c>
      <c r="Z1402" s="6"/>
      <c r="AA1402" s="6" t="s">
        <v>1306</v>
      </c>
      <c r="AB1402" s="4" t="s">
        <v>13</v>
      </c>
    </row>
    <row r="1403" spans="1:28">
      <c r="A1403" s="3" t="s">
        <v>160</v>
      </c>
      <c r="B1403" s="24" t="s">
        <v>168</v>
      </c>
      <c r="C1403" t="s">
        <v>169</v>
      </c>
      <c r="D1403" s="4" t="s">
        <v>2154</v>
      </c>
      <c r="E1403" s="3" t="s">
        <v>170</v>
      </c>
      <c r="F1403" s="3" t="s">
        <v>2112</v>
      </c>
      <c r="G1403" s="4">
        <v>44.1</v>
      </c>
      <c r="H1403" s="3" t="s">
        <v>2155</v>
      </c>
      <c r="I1403" s="3" t="s">
        <v>2156</v>
      </c>
      <c r="J1403" s="4">
        <v>3</v>
      </c>
      <c r="K1403" s="4">
        <v>589.64670000000001</v>
      </c>
      <c r="L1403" s="4" t="str">
        <f>HYPERLINK("http://ms.phosphosite.org:5080/cgi-bin/plot-msms.cgi?MassType=1&amp;NumAxis=1&amp;Mod11=170&amp;Mod19=170&amp;Pep=APSIHGGSGGRGVSVSSAR&amp;Dta=/var/www/html/dta/yong/23612.4037.3.dta&amp;Global_Mod=CS57.0215", "4037")</f>
        <v>4037</v>
      </c>
      <c r="M1403" s="4"/>
      <c r="N1403" s="5">
        <v>22.16</v>
      </c>
      <c r="O1403" s="5"/>
      <c r="P1403" s="5">
        <v>1.772</v>
      </c>
      <c r="Q1403" s="5"/>
      <c r="R1403" s="5">
        <v>0.25459999999999999</v>
      </c>
      <c r="S1403" s="5"/>
      <c r="T1403" s="5">
        <v>7.2599999999999998E-2</v>
      </c>
      <c r="U1403" s="5"/>
      <c r="V1403" s="4">
        <v>37</v>
      </c>
      <c r="W1403" s="4"/>
      <c r="X1403" s="5">
        <v>0.99</v>
      </c>
      <c r="Y1403" s="5"/>
      <c r="Z1403" s="6" t="s">
        <v>1306</v>
      </c>
      <c r="AA1403" s="6"/>
      <c r="AB1403" s="4" t="s">
        <v>13</v>
      </c>
    </row>
    <row r="1404" spans="1:28">
      <c r="A1404" s="3" t="s">
        <v>160</v>
      </c>
      <c r="B1404" s="24" t="s">
        <v>168</v>
      </c>
      <c r="C1404" t="s">
        <v>169</v>
      </c>
      <c r="D1404" s="4" t="s">
        <v>2154</v>
      </c>
      <c r="E1404" s="3" t="s">
        <v>170</v>
      </c>
      <c r="F1404" s="3" t="s">
        <v>2112</v>
      </c>
      <c r="G1404" s="4">
        <v>44.1</v>
      </c>
      <c r="H1404" s="3" t="s">
        <v>2155</v>
      </c>
      <c r="I1404" s="3" t="s">
        <v>2156</v>
      </c>
      <c r="J1404" s="4">
        <v>4</v>
      </c>
      <c r="K1404" s="4">
        <v>442.48689999999999</v>
      </c>
      <c r="L1404" s="4" t="str">
        <f>HYPERLINK("http://ms.phosphosite.org:5080/cgi-bin/plot-msms.cgi?MassType=1&amp;NumAxis=1&amp;Mod11=170&amp;Mod19=170&amp;Pep=APSIHGGSGGRGVSVSSAR&amp;Dta=/var/www/html/dta/yong/23612.4047.4.dta&amp;Global_Mod=CS57.0215", "4047")</f>
        <v>4047</v>
      </c>
      <c r="M1404" s="4" t="str">
        <f>HYPERLINK("http://ms.phosphosite.org:5080/cgi-bin/plot-msms.cgi?MassType=1&amp;NumAxis=1&amp;Mod11=170&amp;Mod19=170&amp;Pep=APSIHGGSGGRGVSVSSAR&amp;Dta=/var/www/html/dta/yong/23613.4102.4.dta&amp;Global_Mod=CS57.0215", "4102")</f>
        <v>4102</v>
      </c>
      <c r="N1404" s="5">
        <v>22.19</v>
      </c>
      <c r="O1404" s="5">
        <v>22.2</v>
      </c>
      <c r="P1404" s="5">
        <v>1.9690000000000001</v>
      </c>
      <c r="Q1404" s="5">
        <v>1.8109999999999999</v>
      </c>
      <c r="R1404" s="5">
        <v>-1.21E-2</v>
      </c>
      <c r="S1404" s="5">
        <v>-4.1799999999999997E-2</v>
      </c>
      <c r="T1404" s="5">
        <v>0.20599999999999999</v>
      </c>
      <c r="U1404" s="5">
        <v>9.69E-2</v>
      </c>
      <c r="V1404" s="4">
        <v>1</v>
      </c>
      <c r="W1404" s="4">
        <v>1</v>
      </c>
      <c r="X1404" s="5">
        <v>1.76</v>
      </c>
      <c r="Y1404" s="5">
        <v>1.2</v>
      </c>
      <c r="Z1404" s="6" t="s">
        <v>1306</v>
      </c>
      <c r="AA1404" s="6" t="s">
        <v>1306</v>
      </c>
      <c r="AB1404" s="4" t="s">
        <v>13</v>
      </c>
    </row>
    <row r="1405" spans="1:28">
      <c r="A1405" s="3" t="s">
        <v>160</v>
      </c>
      <c r="B1405" s="24" t="s">
        <v>168</v>
      </c>
      <c r="C1405" t="s">
        <v>169</v>
      </c>
      <c r="D1405" s="4" t="s">
        <v>2154</v>
      </c>
      <c r="E1405" s="3" t="s">
        <v>170</v>
      </c>
      <c r="F1405" s="3" t="s">
        <v>2112</v>
      </c>
      <c r="G1405" s="4">
        <v>44.1</v>
      </c>
      <c r="H1405" s="3" t="s">
        <v>2155</v>
      </c>
      <c r="I1405" s="3" t="s">
        <v>2157</v>
      </c>
      <c r="J1405" s="4">
        <v>4</v>
      </c>
      <c r="K1405" s="4">
        <v>504.02109999999999</v>
      </c>
      <c r="L1405" s="4"/>
      <c r="M1405" s="4" t="str">
        <f>HYPERLINK("http://ms.phosphosite.org:5080/cgi-bin/plot-msms.cgi?MassType=1&amp;NumAxis=1&amp;Mod11=170&amp;Mod19=170&amp;Pep=APSIHGGSGGRGVSVSSARFV&amp;Dta=/var/www/html/dta/yong/23613.8208.4.dta&amp;Global_Mod=CS57.0215", "8208")</f>
        <v>8208</v>
      </c>
      <c r="N1405" s="5"/>
      <c r="O1405" s="5">
        <v>37.5</v>
      </c>
      <c r="P1405" s="5"/>
      <c r="Q1405" s="5">
        <v>2.63</v>
      </c>
      <c r="R1405" s="5"/>
      <c r="S1405" s="5">
        <v>0.29980000000000001</v>
      </c>
      <c r="T1405" s="5"/>
      <c r="U1405" s="5">
        <v>0.21410000000000001</v>
      </c>
      <c r="V1405" s="4"/>
      <c r="W1405" s="4">
        <v>7</v>
      </c>
      <c r="X1405" s="5"/>
      <c r="Y1405" s="5">
        <v>1.75</v>
      </c>
      <c r="Z1405" s="6"/>
      <c r="AA1405" s="6" t="s">
        <v>1306</v>
      </c>
      <c r="AB1405" s="4" t="s">
        <v>13</v>
      </c>
    </row>
    <row r="1406" spans="1:28">
      <c r="A1406" s="3" t="s">
        <v>160</v>
      </c>
      <c r="B1406" s="24" t="s">
        <v>168</v>
      </c>
      <c r="C1406" t="s">
        <v>169</v>
      </c>
      <c r="D1406" s="4" t="s">
        <v>2154</v>
      </c>
      <c r="E1406" s="3" t="s">
        <v>170</v>
      </c>
      <c r="F1406" s="3" t="s">
        <v>2112</v>
      </c>
      <c r="G1406" s="4">
        <v>44.1</v>
      </c>
      <c r="H1406" s="3" t="s">
        <v>2155</v>
      </c>
      <c r="I1406" s="3" t="s">
        <v>2158</v>
      </c>
      <c r="J1406" s="4">
        <v>5</v>
      </c>
      <c r="K1406" s="4">
        <v>912.05380000000002</v>
      </c>
      <c r="L1406" s="4"/>
      <c r="M1406" s="4" t="str">
        <f>HYPERLINK("http://ms.phosphosite.org:5080/cgi-bin/plot-msms.cgi?MassType=1&amp;NumAxis=1&amp;Mod11=170&amp;Mod19=170&amp;Pep=APSIHGGSGGRGVSVSSARFVSSSSSGAYGGGYGGVLTASDGLLAGNEK&amp;Dta=/var/www/html/dta/yong/23613.13755.5.dta&amp;Global_Mod=CS57.0215", "13755")</f>
        <v>13755</v>
      </c>
      <c r="N1406" s="5"/>
      <c r="O1406" s="5">
        <v>56.63</v>
      </c>
      <c r="P1406" s="5"/>
      <c r="Q1406" s="5">
        <v>3.5179999999999998</v>
      </c>
      <c r="R1406" s="5"/>
      <c r="S1406" s="5">
        <v>1.5677000000000001</v>
      </c>
      <c r="T1406" s="5"/>
      <c r="U1406" s="5">
        <v>0.15140000000000001</v>
      </c>
      <c r="V1406" s="4"/>
      <c r="W1406" s="4">
        <v>7</v>
      </c>
      <c r="X1406" s="5"/>
      <c r="Y1406" s="5">
        <v>1.27</v>
      </c>
      <c r="Z1406" s="6"/>
      <c r="AA1406" s="6" t="s">
        <v>1306</v>
      </c>
      <c r="AB1406" s="4" t="s">
        <v>13</v>
      </c>
    </row>
    <row r="1407" spans="1:28">
      <c r="A1407" s="3" t="s">
        <v>160</v>
      </c>
      <c r="B1407" s="24" t="s">
        <v>168</v>
      </c>
      <c r="C1407" t="s">
        <v>169</v>
      </c>
      <c r="D1407" s="4" t="s">
        <v>2154</v>
      </c>
      <c r="E1407" s="3" t="s">
        <v>170</v>
      </c>
      <c r="F1407" s="3" t="s">
        <v>2112</v>
      </c>
      <c r="G1407" s="4">
        <v>44.1</v>
      </c>
      <c r="H1407" s="3" t="s">
        <v>2155</v>
      </c>
      <c r="I1407" s="3" t="s">
        <v>2159</v>
      </c>
      <c r="J1407" s="4">
        <v>4</v>
      </c>
      <c r="K1407" s="4">
        <v>424.7276</v>
      </c>
      <c r="L1407" s="4" t="str">
        <f>HYPERLINK("http://ms.phosphosite.org:5080/cgi-bin/plot-msms.cgi?MassType=1&amp;NumAxis=1&amp;Mod10=170&amp;Mod18=170&amp;Pep=PSIHGGSGGRGVSVSSAR&amp;Dta=/var/www/html/dta/yong/23612.4090.4.dta&amp;Global_Mod=CS57.0215", "4090")</f>
        <v>4090</v>
      </c>
      <c r="M1407" s="4"/>
      <c r="N1407" s="5">
        <v>22.33</v>
      </c>
      <c r="O1407" s="5"/>
      <c r="P1407" s="5">
        <v>2.1120000000000001</v>
      </c>
      <c r="Q1407" s="5"/>
      <c r="R1407" s="5">
        <v>0.64329999999999998</v>
      </c>
      <c r="S1407" s="5"/>
      <c r="T1407" s="5">
        <v>6.5199999999999994E-2</v>
      </c>
      <c r="U1407" s="5"/>
      <c r="V1407" s="4">
        <v>1</v>
      </c>
      <c r="W1407" s="4"/>
      <c r="X1407" s="5">
        <v>1.1100000000000001</v>
      </c>
      <c r="Y1407" s="5"/>
      <c r="Z1407" s="6" t="s">
        <v>1306</v>
      </c>
      <c r="AA1407" s="6"/>
      <c r="AB1407" s="4" t="s">
        <v>13</v>
      </c>
    </row>
    <row r="1408" spans="1:28">
      <c r="A1408" s="3" t="s">
        <v>160</v>
      </c>
      <c r="B1408" s="24" t="s">
        <v>168</v>
      </c>
      <c r="C1408" t="s">
        <v>169</v>
      </c>
      <c r="D1408" s="4" t="s">
        <v>2154</v>
      </c>
      <c r="E1408" s="3" t="s">
        <v>170</v>
      </c>
      <c r="F1408" s="3" t="s">
        <v>2112</v>
      </c>
      <c r="G1408" s="4">
        <v>44.1</v>
      </c>
      <c r="H1408" s="3" t="s">
        <v>2155</v>
      </c>
      <c r="I1408" s="3" t="s">
        <v>2160</v>
      </c>
      <c r="J1408" s="4">
        <v>2</v>
      </c>
      <c r="K1408" s="4">
        <v>799.92150000000004</v>
      </c>
      <c r="L1408" s="4" t="str">
        <f>HYPERLINK("http://ms.phosphosite.org:5080/cgi-bin/plot-msms.cgi?MassType=1&amp;NumAxis=1&amp;Mod9=170&amp;Mod17=170&amp;Pep=SIHGGSGGRGVSVSSAR&amp;Dta=/var/www/html/dta/yong/23612.2823.2.dta&amp;Global_Mod=CS57.0215", "2823")</f>
        <v>2823</v>
      </c>
      <c r="M1408" s="4" t="str">
        <f>HYPERLINK("http://ms.phosphosite.org:5080/cgi-bin/plot-msms.cgi?MassType=1&amp;NumAxis=1&amp;Mod9=170&amp;Mod17=170&amp;Pep=SIHGGSGGRGVSVSSAR&amp;Dta=/var/www/html/dta/yong/23613.2867.2.dta&amp;Global_Mod=CS57.0215", "2867")</f>
        <v>2867</v>
      </c>
      <c r="N1408" s="5">
        <v>17.47</v>
      </c>
      <c r="O1408" s="5">
        <v>17.48</v>
      </c>
      <c r="P1408" s="5">
        <v>3.5350000000000001</v>
      </c>
      <c r="Q1408" s="5">
        <v>3.2639999999999998</v>
      </c>
      <c r="R1408" s="5">
        <v>0.74099999999999999</v>
      </c>
      <c r="S1408" s="5">
        <v>0.78410000000000002</v>
      </c>
      <c r="T1408" s="5">
        <v>0.46500000000000002</v>
      </c>
      <c r="U1408" s="5">
        <v>0.41720000000000002</v>
      </c>
      <c r="V1408" s="4">
        <v>1</v>
      </c>
      <c r="W1408" s="4">
        <v>1</v>
      </c>
      <c r="X1408" s="5">
        <v>3.25</v>
      </c>
      <c r="Y1408" s="5">
        <v>3.02</v>
      </c>
      <c r="Z1408" s="6" t="s">
        <v>1306</v>
      </c>
      <c r="AA1408" s="6" t="s">
        <v>1306</v>
      </c>
      <c r="AB1408" s="4" t="s">
        <v>13</v>
      </c>
    </row>
    <row r="1409" spans="1:28">
      <c r="A1409" s="3" t="s">
        <v>160</v>
      </c>
      <c r="B1409" s="24" t="s">
        <v>168</v>
      </c>
      <c r="C1409" t="s">
        <v>169</v>
      </c>
      <c r="D1409" s="4" t="s">
        <v>2154</v>
      </c>
      <c r="E1409" s="3" t="s">
        <v>170</v>
      </c>
      <c r="F1409" s="3" t="s">
        <v>2112</v>
      </c>
      <c r="G1409" s="4">
        <v>44.1</v>
      </c>
      <c r="H1409" s="3" t="s">
        <v>2155</v>
      </c>
      <c r="I1409" s="3" t="s">
        <v>2160</v>
      </c>
      <c r="J1409" s="4">
        <v>3</v>
      </c>
      <c r="K1409" s="4">
        <v>533.61680000000001</v>
      </c>
      <c r="L1409" s="4"/>
      <c r="M1409" s="4" t="str">
        <f>HYPERLINK("http://ms.phosphosite.org:5080/cgi-bin/plot-msms.cgi?MassType=1&amp;NumAxis=1&amp;Mod9=170&amp;Mod17=170&amp;Pep=SIHGGSGGRGVSVSSAR&amp;Dta=/var/www/html/dta/yong/23613.2854.3.dta&amp;Global_Mod=CS57.0215", "2854")</f>
        <v>2854</v>
      </c>
      <c r="N1409" s="5"/>
      <c r="O1409" s="5">
        <v>17.45</v>
      </c>
      <c r="P1409" s="5"/>
      <c r="Q1409" s="5">
        <v>1.411</v>
      </c>
      <c r="R1409" s="5"/>
      <c r="S1409" s="5">
        <v>-1.8200000000000001E-2</v>
      </c>
      <c r="T1409" s="5"/>
      <c r="U1409" s="5">
        <v>0.06</v>
      </c>
      <c r="V1409" s="4"/>
      <c r="W1409" s="4">
        <v>274</v>
      </c>
      <c r="X1409" s="5"/>
      <c r="Y1409" s="5">
        <v>0.77</v>
      </c>
      <c r="Z1409" s="6"/>
      <c r="AA1409" s="6" t="s">
        <v>1306</v>
      </c>
      <c r="AB1409" s="4" t="s">
        <v>13</v>
      </c>
    </row>
    <row r="1410" spans="1:28">
      <c r="A1410" s="3" t="s">
        <v>160</v>
      </c>
      <c r="B1410" s="24" t="s">
        <v>168</v>
      </c>
      <c r="C1410" t="s">
        <v>169</v>
      </c>
      <c r="D1410" s="4" t="s">
        <v>2154</v>
      </c>
      <c r="E1410" s="3" t="s">
        <v>170</v>
      </c>
      <c r="F1410" s="3" t="s">
        <v>2112</v>
      </c>
      <c r="G1410" s="4">
        <v>44.1</v>
      </c>
      <c r="H1410" s="3" t="s">
        <v>2155</v>
      </c>
      <c r="I1410" s="3" t="s">
        <v>2161</v>
      </c>
      <c r="J1410" s="4">
        <v>5</v>
      </c>
      <c r="K1410" s="4">
        <v>878.43589999999995</v>
      </c>
      <c r="L1410" s="4" t="str">
        <f>HYPERLINK("http://ms.phosphosite.org:5080/cgi-bin/plot-msms.cgi?MassType=1&amp;NumAxis=1&amp;Mod9=170&amp;Mod17=170&amp;Pep=SIHGGSGGRGVSVSSARFVSSSSSGAYGGGYGGVLTASDGLLAGNEK&amp;Dta=/var/www/html/dta/yong/23612.13524.5.dta&amp;Global_Mod=CS57.0215", "13524")</f>
        <v>13524</v>
      </c>
      <c r="M1410" s="4" t="str">
        <f>HYPERLINK("http://ms.phosphosite.org:5080/cgi-bin/plot-msms.cgi?MassType=1&amp;NumAxis=1&amp;Mod9=170&amp;Mod17=170&amp;Pep=SIHGGSGGRGVSVSSARFVSSSSSGAYGGGYGGVLTASDGLLAGNEK&amp;Dta=/var/www/html/dta/yong/23613.13633.5.dta&amp;Global_Mod=CS57.0215", "13633")</f>
        <v>13633</v>
      </c>
      <c r="N1410" s="5">
        <v>56.14</v>
      </c>
      <c r="O1410" s="5">
        <v>56.21</v>
      </c>
      <c r="P1410" s="5">
        <v>3.782</v>
      </c>
      <c r="Q1410" s="5">
        <v>3.379</v>
      </c>
      <c r="R1410" s="5">
        <v>2.6267</v>
      </c>
      <c r="S1410" s="5">
        <v>0.69499999999999995</v>
      </c>
      <c r="T1410" s="5">
        <v>0.1361</v>
      </c>
      <c r="U1410" s="5">
        <v>3.1300000000000001E-2</v>
      </c>
      <c r="V1410" s="4">
        <v>2</v>
      </c>
      <c r="W1410" s="4">
        <v>1</v>
      </c>
      <c r="X1410" s="5">
        <v>1.22</v>
      </c>
      <c r="Y1410" s="5">
        <v>0.72</v>
      </c>
      <c r="Z1410" s="6" t="s">
        <v>1306</v>
      </c>
      <c r="AA1410" s="6" t="s">
        <v>1306</v>
      </c>
      <c r="AB1410" s="4" t="s">
        <v>13</v>
      </c>
    </row>
    <row r="1411" spans="1:28">
      <c r="A1411" s="3" t="s">
        <v>160</v>
      </c>
      <c r="B1411" s="24" t="s">
        <v>168</v>
      </c>
      <c r="C1411" t="s">
        <v>169</v>
      </c>
      <c r="D1411" s="4" t="s">
        <v>2154</v>
      </c>
      <c r="E1411" s="3" t="s">
        <v>170</v>
      </c>
      <c r="F1411" s="3" t="s">
        <v>2112</v>
      </c>
      <c r="G1411" s="4">
        <v>44.1</v>
      </c>
      <c r="H1411" s="3" t="s">
        <v>2155</v>
      </c>
      <c r="I1411" s="3" t="s">
        <v>2161</v>
      </c>
      <c r="J1411" s="4">
        <v>5</v>
      </c>
      <c r="K1411" s="4">
        <v>878.43589999999995</v>
      </c>
      <c r="L1411" s="4"/>
      <c r="M1411" s="4" t="str">
        <f>HYPERLINK("http://ms.phosphosite.org:5080/cgi-bin/plot-msms.cgi?MassType=1&amp;NumAxis=1&amp;Mod9=170&amp;Mod17=170&amp;Pep=SIHGGSGGRGVSVSSARFVSSSSSGAYGGGYGGVLTASDGLLAGNEK&amp;Dta=/var/www/html/dta/yong/23613.13611.5.dta&amp;Global_Mod=CS57.0215", "13611")</f>
        <v>13611</v>
      </c>
      <c r="N1411" s="5"/>
      <c r="O1411" s="5">
        <v>56.13</v>
      </c>
      <c r="P1411" s="5"/>
      <c r="Q1411" s="5">
        <v>3.5190000000000001</v>
      </c>
      <c r="R1411" s="5"/>
      <c r="S1411" s="5">
        <v>0.29970000000000002</v>
      </c>
      <c r="T1411" s="5"/>
      <c r="U1411" s="5">
        <v>0.13250000000000001</v>
      </c>
      <c r="V1411" s="4"/>
      <c r="W1411" s="4">
        <v>1</v>
      </c>
      <c r="X1411" s="5"/>
      <c r="Y1411" s="5">
        <v>1.25</v>
      </c>
      <c r="Z1411" s="6"/>
      <c r="AA1411" s="6" t="s">
        <v>1306</v>
      </c>
      <c r="AB1411" s="4" t="s">
        <v>13</v>
      </c>
    </row>
    <row r="1412" spans="1:28">
      <c r="A1412" s="3" t="s">
        <v>160</v>
      </c>
      <c r="B1412" s="24" t="s">
        <v>168</v>
      </c>
      <c r="C1412" t="s">
        <v>169</v>
      </c>
      <c r="D1412" s="4">
        <v>51</v>
      </c>
      <c r="E1412" s="3" t="s">
        <v>170</v>
      </c>
      <c r="F1412" s="3" t="s">
        <v>2112</v>
      </c>
      <c r="G1412" s="4">
        <v>44.1</v>
      </c>
      <c r="H1412" s="3" t="s">
        <v>2162</v>
      </c>
      <c r="I1412" s="3" t="s">
        <v>2163</v>
      </c>
      <c r="J1412" s="4">
        <v>5</v>
      </c>
      <c r="K1412" s="4">
        <v>909.25070000000005</v>
      </c>
      <c r="L1412" s="4"/>
      <c r="M1412" s="4" t="str">
        <f>HYPERLINK("http://ms.phosphosite.org:5080/cgi-bin/plot-msms.cgi?MassType=1&amp;NumAxis=1&amp;Mod19=170&amp;Pep=APSIHGGSGGRGVSVSSARFVSSSSSGAYGGGYGGVLTASDGLLAGNEK&amp;Dta=/var/www/html/dta/yong/23613.13655.5.dta&amp;Global_Mod=CS57.0215", "13655")</f>
        <v>13655</v>
      </c>
      <c r="N1412" s="5"/>
      <c r="O1412" s="5">
        <v>56.29</v>
      </c>
      <c r="P1412" s="5"/>
      <c r="Q1412" s="5">
        <v>3.952</v>
      </c>
      <c r="R1412" s="5"/>
      <c r="S1412" s="5">
        <v>1.3294999999999999</v>
      </c>
      <c r="T1412" s="5"/>
      <c r="U1412" s="5">
        <v>0.15509999999999999</v>
      </c>
      <c r="V1412" s="4"/>
      <c r="W1412" s="4">
        <v>1</v>
      </c>
      <c r="X1412" s="5"/>
      <c r="Y1412" s="5">
        <v>1.39</v>
      </c>
      <c r="Z1412" s="6"/>
      <c r="AA1412" s="6">
        <v>6</v>
      </c>
      <c r="AB1412" s="4" t="s">
        <v>13</v>
      </c>
    </row>
    <row r="1413" spans="1:28">
      <c r="A1413" s="3" t="s">
        <v>160</v>
      </c>
      <c r="B1413" s="24" t="s">
        <v>168</v>
      </c>
      <c r="C1413" t="s">
        <v>169</v>
      </c>
      <c r="D1413" s="4">
        <v>51</v>
      </c>
      <c r="E1413" s="3" t="s">
        <v>170</v>
      </c>
      <c r="F1413" s="3" t="s">
        <v>2112</v>
      </c>
      <c r="G1413" s="4">
        <v>44.1</v>
      </c>
      <c r="H1413" s="3" t="s">
        <v>2162</v>
      </c>
      <c r="I1413" s="3" t="s">
        <v>2164</v>
      </c>
      <c r="J1413" s="4">
        <v>3</v>
      </c>
      <c r="K1413" s="4">
        <v>1017.1669000000001</v>
      </c>
      <c r="L1413" s="4"/>
      <c r="M1413" s="4" t="str">
        <f>HYPERLINK("http://ms.phosphosite.org:5080/cgi-bin/plot-msms.cgi?MassType=1&amp;NumAxis=1&amp;Mod2=170&amp;Pep=ARFVSSSSSGAYGGGYGGVLTASDGLLAGNEK&amp;Dta=/var/www/html/dta/yong/23613.14647.3.dta&amp;Global_Mod=CS57.0215", "14647")</f>
        <v>14647</v>
      </c>
      <c r="N1413" s="5"/>
      <c r="O1413" s="5">
        <v>59.98</v>
      </c>
      <c r="P1413" s="5"/>
      <c r="Q1413" s="5">
        <v>6.4489999999999998</v>
      </c>
      <c r="R1413" s="5"/>
      <c r="S1413" s="5">
        <v>1.9661</v>
      </c>
      <c r="T1413" s="5"/>
      <c r="U1413" s="5">
        <v>0.46710000000000002</v>
      </c>
      <c r="V1413" s="4"/>
      <c r="W1413" s="4">
        <v>1</v>
      </c>
      <c r="X1413" s="5"/>
      <c r="Y1413" s="5">
        <v>3.71</v>
      </c>
      <c r="Z1413" s="6"/>
      <c r="AA1413" s="6">
        <v>1000</v>
      </c>
      <c r="AB1413" s="4" t="s">
        <v>13</v>
      </c>
    </row>
    <row r="1414" spans="1:28">
      <c r="A1414" s="3" t="s">
        <v>160</v>
      </c>
      <c r="B1414" s="24" t="s">
        <v>168</v>
      </c>
      <c r="C1414" t="s">
        <v>169</v>
      </c>
      <c r="D1414" s="4">
        <v>51</v>
      </c>
      <c r="E1414" s="3" t="s">
        <v>170</v>
      </c>
      <c r="F1414" s="3" t="s">
        <v>2112</v>
      </c>
      <c r="G1414" s="4">
        <v>44.1</v>
      </c>
      <c r="H1414" s="3" t="s">
        <v>2162</v>
      </c>
      <c r="I1414" s="3" t="s">
        <v>2165</v>
      </c>
      <c r="J1414" s="4">
        <v>2</v>
      </c>
      <c r="K1414" s="4">
        <v>388.7167</v>
      </c>
      <c r="L1414" s="4" t="str">
        <f>HYPERLINK("http://ms.phosphosite.org:5080/cgi-bin/plot-msms.cgi?MassType=1&amp;NumAxis=1&amp;Mod8=170&amp;Pep=GVSVSSAR&amp;Dta=/var/www/html/dta/yong/23612.2731.2.dta&amp;Global_Mod=CS57.0215", "2731")</f>
        <v>2731</v>
      </c>
      <c r="M1414" s="4" t="str">
        <f>HYPERLINK("http://ms.phosphosite.org:5080/cgi-bin/plot-msms.cgi?MassType=1&amp;NumAxis=1&amp;Mod8=170&amp;Pep=GVSVSSAR&amp;Dta=/var/www/html/dta/yong/23613.2770.2.dta&amp;Global_Mod=CS57.0215", "2770")</f>
        <v>2770</v>
      </c>
      <c r="N1414" s="5">
        <v>17.14</v>
      </c>
      <c r="O1414" s="5">
        <v>17.12</v>
      </c>
      <c r="P1414" s="5">
        <v>2.1920000000000002</v>
      </c>
      <c r="Q1414" s="5">
        <v>2.181</v>
      </c>
      <c r="R1414" s="5">
        <v>2.4799999999999999E-2</v>
      </c>
      <c r="S1414" s="5">
        <v>-1.7000000000000001E-2</v>
      </c>
      <c r="T1414" s="5">
        <v>2.8999999999999998E-3</v>
      </c>
      <c r="U1414" s="5">
        <v>2.29E-2</v>
      </c>
      <c r="V1414" s="4">
        <v>4</v>
      </c>
      <c r="W1414" s="4">
        <v>4</v>
      </c>
      <c r="X1414" s="5">
        <v>0.99</v>
      </c>
      <c r="Y1414" s="5">
        <v>1.1499999999999999</v>
      </c>
      <c r="Z1414" s="6">
        <v>1000</v>
      </c>
      <c r="AA1414" s="6">
        <v>1000</v>
      </c>
      <c r="AB1414" s="4" t="s">
        <v>13</v>
      </c>
    </row>
    <row r="1415" spans="1:28">
      <c r="A1415" s="3" t="s">
        <v>160</v>
      </c>
      <c r="B1415" s="24" t="s">
        <v>168</v>
      </c>
      <c r="C1415" t="s">
        <v>169</v>
      </c>
      <c r="D1415" s="4">
        <v>51</v>
      </c>
      <c r="E1415" s="3" t="s">
        <v>170</v>
      </c>
      <c r="F1415" s="3" t="s">
        <v>2112</v>
      </c>
      <c r="G1415" s="4">
        <v>44.1</v>
      </c>
      <c r="H1415" s="3" t="s">
        <v>2162</v>
      </c>
      <c r="I1415" s="3" t="s">
        <v>2166</v>
      </c>
      <c r="J1415" s="4">
        <v>2</v>
      </c>
      <c r="K1415" s="4">
        <v>511.7851</v>
      </c>
      <c r="L1415" s="4" t="str">
        <f>HYPERLINK("http://ms.phosphosite.org:5080/cgi-bin/plot-msms.cgi?MassType=1&amp;NumAxis=1&amp;Mod8=170&amp;Pep=GVSVSSARFV&amp;Dta=/var/www/html/dta/yong/23612.9767.2.dta&amp;Global_Mod=CS57.0215", "9767")</f>
        <v>9767</v>
      </c>
      <c r="M1415" s="4" t="str">
        <f>HYPERLINK("http://ms.phosphosite.org:5080/cgi-bin/plot-msms.cgi?MassType=1&amp;NumAxis=1&amp;Mod8=170&amp;Pep=GVSVSSARFV&amp;Dta=/var/www/html/dta/yong/23613.9825.2.dta&amp;Global_Mod=CS57.0215", "9825")</f>
        <v>9825</v>
      </c>
      <c r="N1415" s="5">
        <v>43.17</v>
      </c>
      <c r="O1415" s="5">
        <v>43.21</v>
      </c>
      <c r="P1415" s="5">
        <v>2.7690000000000001</v>
      </c>
      <c r="Q1415" s="5">
        <v>2.6389999999999998</v>
      </c>
      <c r="R1415" s="5">
        <v>0.19259999999999999</v>
      </c>
      <c r="S1415" s="5">
        <v>0.2727</v>
      </c>
      <c r="T1415" s="5">
        <v>0.24479999999999999</v>
      </c>
      <c r="U1415" s="5">
        <v>0.23139999999999999</v>
      </c>
      <c r="V1415" s="4">
        <v>1</v>
      </c>
      <c r="W1415" s="4">
        <v>1</v>
      </c>
      <c r="X1415" s="5">
        <v>2.1</v>
      </c>
      <c r="Y1415" s="5">
        <v>2.0699999999999998</v>
      </c>
      <c r="Z1415" s="6">
        <v>1000</v>
      </c>
      <c r="AA1415" s="6">
        <v>1000</v>
      </c>
      <c r="AB1415" s="4" t="s">
        <v>13</v>
      </c>
    </row>
    <row r="1416" spans="1:28">
      <c r="A1416" s="3" t="s">
        <v>160</v>
      </c>
      <c r="B1416" s="24" t="s">
        <v>168</v>
      </c>
      <c r="C1416" t="s">
        <v>169</v>
      </c>
      <c r="D1416" s="4">
        <v>51</v>
      </c>
      <c r="E1416" s="3" t="s">
        <v>170</v>
      </c>
      <c r="F1416" s="3" t="s">
        <v>2112</v>
      </c>
      <c r="G1416" s="4">
        <v>44.1</v>
      </c>
      <c r="H1416" s="3" t="s">
        <v>2162</v>
      </c>
      <c r="I1416" s="3" t="s">
        <v>2167</v>
      </c>
      <c r="J1416" s="4">
        <v>3</v>
      </c>
      <c r="K1416" s="4">
        <v>1189.2517</v>
      </c>
      <c r="L1416" s="4"/>
      <c r="M1416" s="4" t="str">
        <f>HYPERLINK("http://ms.phosphosite.org:5080/cgi-bin/plot-msms.cgi?MassType=1&amp;NumAxis=1&amp;Mod8=170&amp;Pep=GVSVSSARFVSSSSSGAYGGGYGGVLTASDGLLAGNEK&amp;Dta=/var/www/html/dta/yong/23613.15688.3.dta&amp;Global_Mod=CS57.0215", "15688")</f>
        <v>15688</v>
      </c>
      <c r="N1416" s="5"/>
      <c r="O1416" s="5">
        <v>63.99</v>
      </c>
      <c r="P1416" s="5"/>
      <c r="Q1416" s="5">
        <v>6.11</v>
      </c>
      <c r="R1416" s="5"/>
      <c r="S1416" s="5">
        <v>1.3564000000000001</v>
      </c>
      <c r="T1416" s="5"/>
      <c r="U1416" s="5">
        <v>0.39879999999999999</v>
      </c>
      <c r="V1416" s="4"/>
      <c r="W1416" s="4">
        <v>1</v>
      </c>
      <c r="X1416" s="5"/>
      <c r="Y1416" s="5">
        <v>3.27</v>
      </c>
      <c r="Z1416" s="6"/>
      <c r="AA1416" s="6">
        <v>1000</v>
      </c>
      <c r="AB1416" s="4" t="s">
        <v>13</v>
      </c>
    </row>
    <row r="1417" spans="1:28">
      <c r="A1417" s="3" t="s">
        <v>160</v>
      </c>
      <c r="B1417" s="24" t="s">
        <v>168</v>
      </c>
      <c r="C1417" t="s">
        <v>169</v>
      </c>
      <c r="D1417" s="4">
        <v>51</v>
      </c>
      <c r="E1417" s="3" t="s">
        <v>170</v>
      </c>
      <c r="F1417" s="3" t="s">
        <v>2112</v>
      </c>
      <c r="G1417" s="4">
        <v>44.1</v>
      </c>
      <c r="H1417" s="3" t="s">
        <v>2162</v>
      </c>
      <c r="I1417" s="3" t="s">
        <v>2167</v>
      </c>
      <c r="J1417" s="4">
        <v>4</v>
      </c>
      <c r="K1417" s="4">
        <v>892.19060000000002</v>
      </c>
      <c r="L1417" s="4" t="str">
        <f>HYPERLINK("http://ms.phosphosite.org:5080/cgi-bin/plot-msms.cgi?MassType=1&amp;NumAxis=1&amp;Mod8=170&amp;Pep=GVSVSSARFVSSSSSGAYGGGYGGVLTASDGLLAGNEK&amp;Dta=/var/www/html/dta/yong/23612.15617.4.dta&amp;Global_Mod=CS57.0215", "15617")</f>
        <v>15617</v>
      </c>
      <c r="M1417" s="4" t="str">
        <f>HYPERLINK("http://ms.phosphosite.org:5080/cgi-bin/plot-msms.cgi?MassType=1&amp;NumAxis=1&amp;Mod8=170&amp;Pep=GVSVSSARFVSSSSSGAYGGGYGGVLTASDGLLAGNEK&amp;Dta=/var/www/html/dta/yong/23613.15694.4.dta&amp;Global_Mod=CS57.0215", "15694")</f>
        <v>15694</v>
      </c>
      <c r="N1417" s="5">
        <v>64.03</v>
      </c>
      <c r="O1417" s="5">
        <v>64.010000000000005</v>
      </c>
      <c r="P1417" s="5">
        <v>3.5920000000000001</v>
      </c>
      <c r="Q1417" s="5">
        <v>3.8580000000000001</v>
      </c>
      <c r="R1417" s="5">
        <v>1.6895</v>
      </c>
      <c r="S1417" s="5">
        <v>1.3952</v>
      </c>
      <c r="T1417" s="5">
        <v>0.1709</v>
      </c>
      <c r="U1417" s="5">
        <v>0.25059999999999999</v>
      </c>
      <c r="V1417" s="4">
        <v>1</v>
      </c>
      <c r="W1417" s="4">
        <v>1</v>
      </c>
      <c r="X1417" s="5">
        <v>1.64</v>
      </c>
      <c r="Y1417" s="5">
        <v>2.12</v>
      </c>
      <c r="Z1417" s="6">
        <v>1000</v>
      </c>
      <c r="AA1417" s="6">
        <v>1000</v>
      </c>
      <c r="AB1417" s="4" t="s">
        <v>13</v>
      </c>
    </row>
    <row r="1418" spans="1:28">
      <c r="A1418" s="3" t="s">
        <v>160</v>
      </c>
      <c r="B1418" s="24" t="s">
        <v>168</v>
      </c>
      <c r="C1418" t="s">
        <v>169</v>
      </c>
      <c r="D1418" s="4">
        <v>51</v>
      </c>
      <c r="E1418" s="3" t="s">
        <v>170</v>
      </c>
      <c r="F1418" s="3" t="s">
        <v>2112</v>
      </c>
      <c r="G1418" s="4">
        <v>44.1</v>
      </c>
      <c r="H1418" s="3" t="s">
        <v>2162</v>
      </c>
      <c r="I1418" s="3" t="s">
        <v>2168</v>
      </c>
      <c r="J1418" s="4">
        <v>3</v>
      </c>
      <c r="K1418" s="4">
        <v>1046.1776</v>
      </c>
      <c r="L1418" s="4" t="str">
        <f>HYPERLINK("http://ms.phosphosite.org:5080/cgi-bin/plot-msms.cgi?MassType=1&amp;NumAxis=1&amp;Mod3=170&amp;Pep=SARFVSSSSSGAYGGGYGGVLTASDGLLAGNEK&amp;Dta=/var/www/html/dta/yong/23612.14613.3.dta&amp;Global_Mod=CS57.0215", "14613")</f>
        <v>14613</v>
      </c>
      <c r="M1418" s="4" t="str">
        <f>HYPERLINK("http://ms.phosphosite.org:5080/cgi-bin/plot-msms.cgi?MassType=1&amp;NumAxis=1&amp;Mod3=170&amp;Pep=SARFVSSSSSGAYGGGYGGVLTASDGLLAGNEK&amp;Dta=/var/www/html/dta/yong/23613.14712.3.dta&amp;Global_Mod=CS57.0215", "14712")</f>
        <v>14712</v>
      </c>
      <c r="N1418" s="5">
        <v>60.15</v>
      </c>
      <c r="O1418" s="5">
        <v>60.26</v>
      </c>
      <c r="P1418" s="5">
        <v>5.0199999999999996</v>
      </c>
      <c r="Q1418" s="5">
        <v>4.8</v>
      </c>
      <c r="R1418" s="5">
        <v>1.6833</v>
      </c>
      <c r="S1418" s="5">
        <v>3.7715000000000001</v>
      </c>
      <c r="T1418" s="5">
        <v>0.35859999999999997</v>
      </c>
      <c r="U1418" s="5">
        <v>0.3412</v>
      </c>
      <c r="V1418" s="4">
        <v>1</v>
      </c>
      <c r="W1418" s="4">
        <v>1</v>
      </c>
      <c r="X1418" s="5">
        <v>2.84</v>
      </c>
      <c r="Y1418" s="5">
        <v>2.65</v>
      </c>
      <c r="Z1418" s="6">
        <v>1000</v>
      </c>
      <c r="AA1418" s="6">
        <v>1000</v>
      </c>
      <c r="AB1418" s="4" t="s">
        <v>13</v>
      </c>
    </row>
    <row r="1419" spans="1:28">
      <c r="A1419" s="3" t="s">
        <v>160</v>
      </c>
      <c r="B1419" s="24" t="s">
        <v>168</v>
      </c>
      <c r="C1419" t="s">
        <v>169</v>
      </c>
      <c r="D1419" s="4" t="s">
        <v>2169</v>
      </c>
      <c r="E1419" s="3" t="s">
        <v>170</v>
      </c>
      <c r="F1419" s="3" t="s">
        <v>2112</v>
      </c>
      <c r="G1419" s="4">
        <v>44.1</v>
      </c>
      <c r="H1419" s="3" t="s">
        <v>2170</v>
      </c>
      <c r="I1419" s="3" t="s">
        <v>2171</v>
      </c>
      <c r="J1419" s="4">
        <v>3</v>
      </c>
      <c r="K1419" s="4">
        <v>580.29920000000004</v>
      </c>
      <c r="L1419" s="4" t="str">
        <f>HYPERLINK("http://ms.phosphosite.org:5080/cgi-bin/plot-msms.cgi?MassType=1&amp;NumAxis=1&amp;Mod1=170&amp;Mod18=170&amp;Pep=RQSSATSSFGGLGGGSVR&amp;Dta=/var/www/html/dta/yong/23612.7535.3.dta&amp;Global_Mod=CS57.0215", "7535")</f>
        <v>7535</v>
      </c>
      <c r="M1419" s="4" t="str">
        <f>HYPERLINK("http://ms.phosphosite.org:5080/cgi-bin/plot-msms.cgi?MassType=1&amp;NumAxis=1&amp;Mod1=170&amp;Mod18=170&amp;Pep=RQSSATSSFGGLGGGSVR&amp;Dta=/var/www/html/dta/yong/23613.7581.3.dta&amp;Global_Mod=CS57.0215", "7581")</f>
        <v>7581</v>
      </c>
      <c r="N1419" s="5">
        <v>35.18</v>
      </c>
      <c r="O1419" s="5">
        <v>35.19</v>
      </c>
      <c r="P1419" s="5">
        <v>2.669</v>
      </c>
      <c r="Q1419" s="5">
        <v>3.113</v>
      </c>
      <c r="R1419" s="5">
        <v>-1.5641</v>
      </c>
      <c r="S1419" s="5">
        <v>-0.44640000000000002</v>
      </c>
      <c r="T1419" s="5">
        <v>0.1363</v>
      </c>
      <c r="U1419" s="5">
        <v>0.12870000000000001</v>
      </c>
      <c r="V1419" s="4">
        <v>6</v>
      </c>
      <c r="W1419" s="4">
        <v>1</v>
      </c>
      <c r="X1419" s="5">
        <v>1.42</v>
      </c>
      <c r="Y1419" s="5">
        <v>1.57</v>
      </c>
      <c r="Z1419" s="6" t="s">
        <v>1306</v>
      </c>
      <c r="AA1419" s="6" t="s">
        <v>1306</v>
      </c>
      <c r="AB1419" s="4" t="s">
        <v>13</v>
      </c>
    </row>
    <row r="1420" spans="1:28">
      <c r="A1420" s="3" t="s">
        <v>160</v>
      </c>
      <c r="B1420" s="24" t="s">
        <v>168</v>
      </c>
      <c r="C1420" t="s">
        <v>169</v>
      </c>
      <c r="D1420" s="4" t="s">
        <v>2169</v>
      </c>
      <c r="E1420" s="3" t="s">
        <v>170</v>
      </c>
      <c r="F1420" s="3" t="s">
        <v>2112</v>
      </c>
      <c r="G1420" s="4">
        <v>44.1</v>
      </c>
      <c r="H1420" s="3" t="s">
        <v>2170</v>
      </c>
      <c r="I1420" s="3" t="s">
        <v>2172</v>
      </c>
      <c r="J1420" s="4">
        <v>2</v>
      </c>
      <c r="K1420" s="4">
        <v>994.99289999999996</v>
      </c>
      <c r="L1420" s="4" t="str">
        <f>HYPERLINK("http://ms.phosphosite.org:5080/cgi-bin/plot-msms.cgi?MassType=1&amp;NumAxis=1&amp;Mod3=170&amp;Mod20=170&amp;Pep=SYRQSSATSSFGGLGGGSVR&amp;Dta=/var/www/html/dta/yong/23612.8368.2.dta&amp;Global_Mod=CS57.0215", "8368")</f>
        <v>8368</v>
      </c>
      <c r="M1420" s="4"/>
      <c r="N1420" s="5">
        <v>38.19</v>
      </c>
      <c r="O1420" s="5"/>
      <c r="P1420" s="5">
        <v>3.7029999999999998</v>
      </c>
      <c r="Q1420" s="5"/>
      <c r="R1420" s="5">
        <v>1.3146</v>
      </c>
      <c r="S1420" s="5"/>
      <c r="T1420" s="5">
        <v>0.40610000000000002</v>
      </c>
      <c r="U1420" s="5"/>
      <c r="V1420" s="4">
        <v>1</v>
      </c>
      <c r="W1420" s="4"/>
      <c r="X1420" s="5">
        <v>2.93</v>
      </c>
      <c r="Y1420" s="5"/>
      <c r="Z1420" s="6" t="s">
        <v>1306</v>
      </c>
      <c r="AA1420" s="6"/>
      <c r="AB1420" s="4" t="s">
        <v>13</v>
      </c>
    </row>
    <row r="1421" spans="1:28">
      <c r="A1421" s="3" t="s">
        <v>160</v>
      </c>
      <c r="B1421" s="24" t="s">
        <v>168</v>
      </c>
      <c r="C1421" t="s">
        <v>169</v>
      </c>
      <c r="D1421" s="4" t="s">
        <v>2169</v>
      </c>
      <c r="E1421" s="3" t="s">
        <v>170</v>
      </c>
      <c r="F1421" s="3" t="s">
        <v>2112</v>
      </c>
      <c r="G1421" s="4">
        <v>44.1</v>
      </c>
      <c r="H1421" s="3" t="s">
        <v>2170</v>
      </c>
      <c r="I1421" s="3" t="s">
        <v>2172</v>
      </c>
      <c r="J1421" s="4">
        <v>3</v>
      </c>
      <c r="K1421" s="4">
        <v>663.66430000000003</v>
      </c>
      <c r="L1421" s="4" t="str">
        <f>HYPERLINK("http://ms.phosphosite.org:5080/cgi-bin/plot-msms.cgi?MassType=1&amp;NumAxis=1&amp;Mod3=170&amp;Mod20=170&amp;Pep=SYRQSSATSSFGGLGGGSVR&amp;Dta=/var/www/html/dta/yong/23612.8350.3.dta&amp;Global_Mod=CS57.0215", "8350")</f>
        <v>8350</v>
      </c>
      <c r="M1421" s="4" t="str">
        <f>HYPERLINK("http://ms.phosphosite.org:5080/cgi-bin/plot-msms.cgi?MassType=1&amp;NumAxis=1&amp;Mod3=170&amp;Mod20=170&amp;Pep=SYRQSSATSSFGGLGGGSVR&amp;Dta=/var/www/html/dta/yong/23613.8372.3.dta&amp;Global_Mod=CS57.0215", "8372")</f>
        <v>8372</v>
      </c>
      <c r="N1421" s="5">
        <v>38.119999999999997</v>
      </c>
      <c r="O1421" s="5">
        <v>38.119999999999997</v>
      </c>
      <c r="P1421" s="5">
        <v>3.8879999999999999</v>
      </c>
      <c r="Q1421" s="5">
        <v>4.53</v>
      </c>
      <c r="R1421" s="5">
        <v>0.70920000000000005</v>
      </c>
      <c r="S1421" s="5">
        <v>0.50449999999999995</v>
      </c>
      <c r="T1421" s="5">
        <v>0.36730000000000002</v>
      </c>
      <c r="U1421" s="5">
        <v>0.38950000000000001</v>
      </c>
      <c r="V1421" s="4">
        <v>1</v>
      </c>
      <c r="W1421" s="4">
        <v>1</v>
      </c>
      <c r="X1421" s="5">
        <v>2.86</v>
      </c>
      <c r="Y1421" s="5">
        <v>3.16</v>
      </c>
      <c r="Z1421" s="6" t="s">
        <v>1306</v>
      </c>
      <c r="AA1421" s="6" t="s">
        <v>1306</v>
      </c>
      <c r="AB1421" s="4" t="s">
        <v>13</v>
      </c>
    </row>
    <row r="1422" spans="1:28">
      <c r="A1422" s="3" t="s">
        <v>160</v>
      </c>
      <c r="B1422" s="24" t="s">
        <v>2173</v>
      </c>
      <c r="C1422" t="s">
        <v>2174</v>
      </c>
      <c r="D1422" s="4">
        <v>42</v>
      </c>
      <c r="E1422" s="3" t="s">
        <v>2175</v>
      </c>
      <c r="F1422" s="3" t="s">
        <v>2176</v>
      </c>
      <c r="G1422" s="4">
        <v>48.5</v>
      </c>
      <c r="H1422" s="3" t="s">
        <v>2177</v>
      </c>
      <c r="I1422" s="3" t="s">
        <v>2178</v>
      </c>
      <c r="J1422" s="4">
        <v>2</v>
      </c>
      <c r="K1422" s="4">
        <v>653.84109999999998</v>
      </c>
      <c r="L1422" s="4" t="str">
        <f>HYPERLINK("http://ms.phosphosite.org:5080/cgi-bin/plot-msms.cgi?MassType=1&amp;NumAxis=1&amp;Mod14=170&amp;Pep=LGTTPSVYGGAGGR&amp;Dta=/var/www/html/dta/yong/23612.6805.2.dta&amp;Global_Mod=CS57.0215", "6805")</f>
        <v>6805</v>
      </c>
      <c r="M1422" s="4" t="str">
        <f>HYPERLINK("http://ms.phosphosite.org:5080/cgi-bin/plot-msms.cgi?MassType=1&amp;NumAxis=1&amp;Mod14=170&amp;Pep=LGTTPSVYGGAGGR&amp;Dta=/var/www/html/dta/yong/23613.6855.2.dta&amp;Global_Mod=CS57.0215", "6855")</f>
        <v>6855</v>
      </c>
      <c r="N1422" s="5">
        <v>32.58</v>
      </c>
      <c r="O1422" s="5">
        <v>32.6</v>
      </c>
      <c r="P1422" s="5">
        <v>2.508</v>
      </c>
      <c r="Q1422" s="5">
        <v>2.8130000000000002</v>
      </c>
      <c r="R1422" s="5">
        <v>0.307</v>
      </c>
      <c r="S1422" s="5">
        <v>0.29110000000000003</v>
      </c>
      <c r="T1422" s="5">
        <v>0.26390000000000002</v>
      </c>
      <c r="U1422" s="5">
        <v>0.2591</v>
      </c>
      <c r="V1422" s="4">
        <v>1</v>
      </c>
      <c r="W1422" s="4">
        <v>1</v>
      </c>
      <c r="X1422" s="5">
        <v>1.78</v>
      </c>
      <c r="Y1422" s="5">
        <v>1.79</v>
      </c>
      <c r="Z1422" s="6">
        <v>1000</v>
      </c>
      <c r="AA1422" s="6">
        <v>1000</v>
      </c>
      <c r="AB1422" s="4" t="s">
        <v>13</v>
      </c>
    </row>
    <row r="1423" spans="1:28">
      <c r="A1423" s="3" t="s">
        <v>160</v>
      </c>
      <c r="B1423" s="24" t="s">
        <v>2173</v>
      </c>
      <c r="C1423" t="s">
        <v>2174</v>
      </c>
      <c r="D1423" s="4">
        <v>42</v>
      </c>
      <c r="E1423" s="3" t="s">
        <v>2175</v>
      </c>
      <c r="F1423" s="3" t="s">
        <v>2176</v>
      </c>
      <c r="G1423" s="4">
        <v>48.5</v>
      </c>
      <c r="H1423" s="3" t="s">
        <v>2177</v>
      </c>
      <c r="I1423" s="3" t="s">
        <v>2179</v>
      </c>
      <c r="J1423" s="4">
        <v>2</v>
      </c>
      <c r="K1423" s="4">
        <v>568.78840000000002</v>
      </c>
      <c r="L1423" s="4" t="str">
        <f>HYPERLINK("http://ms.phosphosite.org:5080/cgi-bin/plot-msms.cgi?MassType=1&amp;NumAxis=1&amp;Mod12=170&amp;Pep=TTPSVYGGAGGR&amp;Dta=/var/www/html/dta/yong/23612.4824.2.dta&amp;Global_Mod=CS57.0215", "4824")</f>
        <v>4824</v>
      </c>
      <c r="M1423" s="4" t="str">
        <f>HYPERLINK("http://ms.phosphosite.org:5080/cgi-bin/plot-msms.cgi?MassType=1&amp;NumAxis=1&amp;Mod12=170&amp;Pep=TTPSVYGGAGGR&amp;Dta=/var/www/html/dta/yong/23613.4872.2.dta&amp;Global_Mod=CS57.0215", "4872")</f>
        <v>4872</v>
      </c>
      <c r="N1423" s="5">
        <v>25.17</v>
      </c>
      <c r="O1423" s="5">
        <v>25.14</v>
      </c>
      <c r="P1423" s="5">
        <v>1.9390000000000001</v>
      </c>
      <c r="Q1423" s="5">
        <v>2.012</v>
      </c>
      <c r="R1423" s="5">
        <v>0.2316</v>
      </c>
      <c r="S1423" s="5">
        <v>0.44429999999999997</v>
      </c>
      <c r="T1423" s="5">
        <v>0.3</v>
      </c>
      <c r="U1423" s="5">
        <v>0.2833</v>
      </c>
      <c r="V1423" s="4">
        <v>1</v>
      </c>
      <c r="W1423" s="4">
        <v>1</v>
      </c>
      <c r="X1423" s="5">
        <v>1.86</v>
      </c>
      <c r="Y1423" s="5">
        <v>1.78</v>
      </c>
      <c r="Z1423" s="6">
        <v>1000</v>
      </c>
      <c r="AA1423" s="6">
        <v>1000</v>
      </c>
      <c r="AB1423" s="4" t="s">
        <v>13</v>
      </c>
    </row>
    <row r="1424" spans="1:28">
      <c r="A1424" s="3" t="s">
        <v>160</v>
      </c>
      <c r="B1424" s="24" t="s">
        <v>2180</v>
      </c>
      <c r="C1424" s="26" t="s">
        <v>2181</v>
      </c>
      <c r="D1424" s="4">
        <v>42</v>
      </c>
      <c r="E1424" s="3" t="s">
        <v>2182</v>
      </c>
      <c r="F1424" s="3" t="s">
        <v>2183</v>
      </c>
      <c r="G1424" s="4">
        <v>60</v>
      </c>
      <c r="H1424" s="3" t="s">
        <v>2184</v>
      </c>
      <c r="I1424" s="3" t="s">
        <v>2185</v>
      </c>
      <c r="J1424" s="4">
        <v>3</v>
      </c>
      <c r="K1424" s="4">
        <v>561.26559999999995</v>
      </c>
      <c r="L1424" s="4" t="str">
        <f>HYPERLINK("http://ms.phosphosite.org:5080/cgi-bin/plot-msms.cgi?MassType=1&amp;NumAxis=1&amp;Mod2=170&amp;Pep=SRGSGGLGGACGGAGFGSR&amp;Dta=/var/www/html/dta/yong/23612.5568.3.dta&amp;Global_Mod=CS57.0215", "5568")</f>
        <v>5568</v>
      </c>
      <c r="M1424" s="4"/>
      <c r="N1424" s="5">
        <v>27.94</v>
      </c>
      <c r="O1424" s="5"/>
      <c r="P1424" s="5">
        <v>4.1269999999999998</v>
      </c>
      <c r="Q1424" s="5"/>
      <c r="R1424" s="5">
        <v>-1.4034</v>
      </c>
      <c r="S1424" s="5"/>
      <c r="T1424" s="5">
        <v>0.441</v>
      </c>
      <c r="U1424" s="5"/>
      <c r="V1424" s="4">
        <v>1</v>
      </c>
      <c r="W1424" s="4"/>
      <c r="X1424" s="5">
        <v>2.67</v>
      </c>
      <c r="Y1424" s="5"/>
      <c r="Z1424" s="6">
        <v>1000</v>
      </c>
      <c r="AA1424" s="6"/>
      <c r="AB1424" s="4" t="s">
        <v>13</v>
      </c>
    </row>
    <row r="1425" spans="1:28">
      <c r="A1425" s="3" t="s">
        <v>160</v>
      </c>
      <c r="B1425" s="24" t="s">
        <v>2186</v>
      </c>
      <c r="C1425" s="26" t="s">
        <v>2187</v>
      </c>
      <c r="D1425" s="4">
        <v>32</v>
      </c>
      <c r="E1425" s="3" t="s">
        <v>172</v>
      </c>
      <c r="F1425" s="3" t="s">
        <v>2188</v>
      </c>
      <c r="G1425" s="4">
        <v>53.7</v>
      </c>
      <c r="H1425" s="3" t="s">
        <v>2189</v>
      </c>
      <c r="I1425" s="3" t="s">
        <v>2190</v>
      </c>
      <c r="J1425" s="4">
        <v>2</v>
      </c>
      <c r="K1425" s="4">
        <v>463.22230000000002</v>
      </c>
      <c r="L1425" s="4" t="str">
        <f>HYPERLINK("http://ms.phosphosite.org:5080/cgi-bin/plot-msms.cgi?MassType=1&amp;NumAxis=1&amp;Mod9=170&amp;Pep=SYTSGPGSR&amp;Dta=/var/www/html/dta/yong/23612.2364.2.dta&amp;Global_Mod=CS57.0215", "2364")</f>
        <v>2364</v>
      </c>
      <c r="M1425" s="4" t="str">
        <f>HYPERLINK("http://ms.phosphosite.org:5080/cgi-bin/plot-msms.cgi?MassType=1&amp;NumAxis=1&amp;Mod9=170&amp;Pep=SYTSGPGSR&amp;Dta=/var/www/html/dta/yong/23613.2410.2.dta&amp;Global_Mod=CS57.0215", "2410")</f>
        <v>2410</v>
      </c>
      <c r="N1425" s="5">
        <v>15.78</v>
      </c>
      <c r="O1425" s="5">
        <v>15.8</v>
      </c>
      <c r="P1425" s="5">
        <v>1.597</v>
      </c>
      <c r="Q1425" s="5">
        <v>1.704</v>
      </c>
      <c r="R1425" s="5">
        <v>0.44340000000000002</v>
      </c>
      <c r="S1425" s="5">
        <v>0.3448</v>
      </c>
      <c r="T1425" s="5">
        <v>0.1138</v>
      </c>
      <c r="U1425" s="5">
        <v>0.15690000000000001</v>
      </c>
      <c r="V1425" s="4">
        <v>21</v>
      </c>
      <c r="W1425" s="4">
        <v>3</v>
      </c>
      <c r="X1425" s="5">
        <v>2.78</v>
      </c>
      <c r="Y1425" s="5">
        <v>3.1</v>
      </c>
      <c r="Z1425" s="6">
        <v>1000</v>
      </c>
      <c r="AA1425" s="6">
        <v>1000</v>
      </c>
      <c r="AB1425" s="4" t="s">
        <v>13</v>
      </c>
    </row>
    <row r="1426" spans="1:28">
      <c r="A1426" s="3" t="s">
        <v>160</v>
      </c>
      <c r="B1426" s="24" t="s">
        <v>2186</v>
      </c>
      <c r="C1426" s="26" t="s">
        <v>2187</v>
      </c>
      <c r="D1426" s="4">
        <v>47</v>
      </c>
      <c r="E1426" s="3" t="s">
        <v>172</v>
      </c>
      <c r="F1426" s="3" t="s">
        <v>2188</v>
      </c>
      <c r="G1426" s="4">
        <v>53.7</v>
      </c>
      <c r="H1426" s="3" t="s">
        <v>173</v>
      </c>
      <c r="I1426" s="3" t="s">
        <v>2191</v>
      </c>
      <c r="J1426" s="4">
        <v>4</v>
      </c>
      <c r="K1426" s="4">
        <v>1065.3126999999999</v>
      </c>
      <c r="L1426" s="4" t="str">
        <f>HYPERLINK("http://ms.phosphosite.org:5080/cgi-bin/plot-msms.cgi?MassType=1&amp;NumAxis=1&amp;Mod2=170&amp;Mod15=147&amp;Pep=FRGGLGGGYGGASGMGGITAVTVNQSLLSPLVLEVDPNIQAVR&amp;Dta=/var/www/html/dta/yong/23612.20341.4.dta&amp;Global_Mod=CS57.0215", "20341")</f>
        <v>20341</v>
      </c>
      <c r="M1426" s="4" t="str">
        <f>HYPERLINK("http://ms.phosphosite.org:5080/cgi-bin/plot-msms.cgi?MassType=1&amp;NumAxis=1&amp;Mod2=170&amp;Mod15=147&amp;Pep=FRGGLGGGYGGASGMGGITAVTVNQSLLSPLVLEVDPNIQAVR&amp;Dta=/var/www/html/dta/yong/23613.20438.4.dta&amp;Global_Mod=CS57.0215", "20438")</f>
        <v>20438</v>
      </c>
      <c r="N1426" s="5">
        <v>85.06</v>
      </c>
      <c r="O1426" s="5">
        <v>85.07</v>
      </c>
      <c r="P1426" s="5">
        <v>5.851</v>
      </c>
      <c r="Q1426" s="5">
        <v>5.4260000000000002</v>
      </c>
      <c r="R1426" s="5">
        <v>1.3893</v>
      </c>
      <c r="S1426" s="5">
        <v>1.7402</v>
      </c>
      <c r="T1426" s="5">
        <v>0.37680000000000002</v>
      </c>
      <c r="U1426" s="5">
        <v>0.3644</v>
      </c>
      <c r="V1426" s="4">
        <v>1</v>
      </c>
      <c r="W1426" s="4">
        <v>1</v>
      </c>
      <c r="X1426" s="5">
        <v>4.41</v>
      </c>
      <c r="Y1426" s="5">
        <v>4.3</v>
      </c>
      <c r="Z1426" s="6">
        <v>1000</v>
      </c>
      <c r="AA1426" s="6">
        <v>1000</v>
      </c>
      <c r="AB1426" s="4" t="s">
        <v>13</v>
      </c>
    </row>
    <row r="1427" spans="1:28">
      <c r="A1427" s="3" t="s">
        <v>160</v>
      </c>
      <c r="B1427" s="24" t="s">
        <v>2186</v>
      </c>
      <c r="C1427" s="26" t="s">
        <v>2187</v>
      </c>
      <c r="D1427" s="4">
        <v>47</v>
      </c>
      <c r="E1427" s="3" t="s">
        <v>172</v>
      </c>
      <c r="F1427" s="3" t="s">
        <v>2188</v>
      </c>
      <c r="G1427" s="4">
        <v>53.7</v>
      </c>
      <c r="H1427" s="3" t="s">
        <v>173</v>
      </c>
      <c r="I1427" s="3" t="s">
        <v>2192</v>
      </c>
      <c r="J1427" s="4">
        <v>3</v>
      </c>
      <c r="K1427" s="4">
        <v>1371.0582999999999</v>
      </c>
      <c r="L1427" s="4" t="str">
        <f>HYPERLINK("http://ms.phosphosite.org:5080/cgi-bin/plot-msms.cgi?MassType=1&amp;NumAxis=1&amp;Mod1=170&amp;Mod14=147&amp;Pep=RGGLGGGYGGASGMGGITAVTVNQSLLSPLVLEVDPNIQAVR&amp;Dta=/var/www/html/dta/yong/23612.20131.3.dta&amp;Global_Mod=CS57.0215", "20131")</f>
        <v>20131</v>
      </c>
      <c r="M1427" s="4" t="str">
        <f>HYPERLINK("http://ms.phosphosite.org:5080/cgi-bin/plot-msms.cgi?MassType=1&amp;NumAxis=1&amp;Mod1=170&amp;Mod14=147&amp;Pep=RGGLGGGYGGASGMGGITAVTVNQSLLSPLVLEVDPNIQAVR&amp;Dta=/var/www/html/dta/yong/23613.20158.3.dta&amp;Global_Mod=CS57.0215", "20158")</f>
        <v>20158</v>
      </c>
      <c r="N1427" s="5">
        <v>84.12</v>
      </c>
      <c r="O1427" s="5">
        <v>83.82</v>
      </c>
      <c r="P1427" s="5">
        <v>4.665</v>
      </c>
      <c r="Q1427" s="5">
        <v>6.6710000000000003</v>
      </c>
      <c r="R1427" s="5">
        <v>1.0688</v>
      </c>
      <c r="S1427" s="5">
        <v>1.5924</v>
      </c>
      <c r="T1427" s="5">
        <v>0.4163</v>
      </c>
      <c r="U1427" s="5">
        <v>0.47699999999999998</v>
      </c>
      <c r="V1427" s="4">
        <v>1</v>
      </c>
      <c r="W1427" s="4">
        <v>1</v>
      </c>
      <c r="X1427" s="5">
        <v>4.3499999999999996</v>
      </c>
      <c r="Y1427" s="5">
        <v>5.09</v>
      </c>
      <c r="Z1427" s="6">
        <v>1000</v>
      </c>
      <c r="AA1427" s="6">
        <v>1000</v>
      </c>
      <c r="AB1427" s="4" t="s">
        <v>13</v>
      </c>
    </row>
    <row r="1428" spans="1:28">
      <c r="A1428" s="3" t="s">
        <v>160</v>
      </c>
      <c r="B1428" s="24" t="s">
        <v>2186</v>
      </c>
      <c r="C1428" s="26" t="s">
        <v>2187</v>
      </c>
      <c r="D1428" s="4">
        <v>47</v>
      </c>
      <c r="E1428" s="3" t="s">
        <v>172</v>
      </c>
      <c r="F1428" s="3" t="s">
        <v>2188</v>
      </c>
      <c r="G1428" s="4">
        <v>53.7</v>
      </c>
      <c r="H1428" s="3" t="s">
        <v>173</v>
      </c>
      <c r="I1428" s="3" t="s">
        <v>2192</v>
      </c>
      <c r="J1428" s="4">
        <v>3</v>
      </c>
      <c r="K1428" s="4">
        <v>1371.0582999999999</v>
      </c>
      <c r="L1428" s="4" t="str">
        <f>HYPERLINK("http://ms.phosphosite.org:5080/cgi-bin/plot-msms.cgi?MassType=1&amp;NumAxis=1&amp;Mod1=170&amp;Mod14=147&amp;Pep=RGGLGGGYGGASGMGGITAVTVNQSLLSPLVLEVDPNIQAVR&amp;Dta=/var/www/html/dta/yong/23612.20081.3.dta&amp;Global_Mod=CS57.0215", "20081")</f>
        <v>20081</v>
      </c>
      <c r="M1428" s="4" t="str">
        <f>HYPERLINK("http://ms.phosphosite.org:5080/cgi-bin/plot-msms.cgi?MassType=1&amp;NumAxis=1&amp;Mod1=170&amp;Mod14=147&amp;Pep=RGGLGGGYGGASGMGGITAVTVNQSLLSPLVLEVDPNIQAVR&amp;Dta=/var/www/html/dta/yong/23613.20191.3.dta&amp;Global_Mod=CS57.0215", "20191")</f>
        <v>20191</v>
      </c>
      <c r="N1428" s="5">
        <v>83.89</v>
      </c>
      <c r="O1428" s="5">
        <v>83.98</v>
      </c>
      <c r="P1428" s="5">
        <v>4.7290000000000001</v>
      </c>
      <c r="Q1428" s="5">
        <v>6.3419999999999996</v>
      </c>
      <c r="R1428" s="5">
        <v>1.3928</v>
      </c>
      <c r="S1428" s="5">
        <v>1.5924</v>
      </c>
      <c r="T1428" s="5">
        <v>0.42259999999999998</v>
      </c>
      <c r="U1428" s="5">
        <v>0.44469999999999998</v>
      </c>
      <c r="V1428" s="4">
        <v>1</v>
      </c>
      <c r="W1428" s="4">
        <v>1</v>
      </c>
      <c r="X1428" s="5">
        <v>4.38</v>
      </c>
      <c r="Y1428" s="5">
        <v>4.8600000000000003</v>
      </c>
      <c r="Z1428" s="6">
        <v>1000</v>
      </c>
      <c r="AA1428" s="6">
        <v>1000</v>
      </c>
      <c r="AB1428" s="4" t="s">
        <v>13</v>
      </c>
    </row>
    <row r="1429" spans="1:28">
      <c r="A1429" s="3" t="s">
        <v>160</v>
      </c>
      <c r="B1429" s="24" t="s">
        <v>2186</v>
      </c>
      <c r="C1429" s="26" t="s">
        <v>2187</v>
      </c>
      <c r="D1429" s="4">
        <v>47</v>
      </c>
      <c r="E1429" s="3" t="s">
        <v>172</v>
      </c>
      <c r="F1429" s="3" t="s">
        <v>2188</v>
      </c>
      <c r="G1429" s="4">
        <v>53.7</v>
      </c>
      <c r="H1429" s="3" t="s">
        <v>173</v>
      </c>
      <c r="I1429" s="3" t="s">
        <v>2192</v>
      </c>
      <c r="J1429" s="4">
        <v>3</v>
      </c>
      <c r="K1429" s="4">
        <v>1371.0582999999999</v>
      </c>
      <c r="L1429" s="4"/>
      <c r="M1429" s="4" t="str">
        <f>HYPERLINK("http://ms.phosphosite.org:5080/cgi-bin/plot-msms.cgi?MassType=1&amp;NumAxis=1&amp;Mod1=170&amp;Mod14=147&amp;Pep=RGGLGGGYGGASGMGGITAVTVNQSLLSPLVLEVDPNIQAVR&amp;Dta=/var/www/html/dta/yong/23613.20148.3.dta&amp;Global_Mod=CS57.0215", "20148")</f>
        <v>20148</v>
      </c>
      <c r="N1429" s="5"/>
      <c r="O1429" s="5">
        <v>83.77</v>
      </c>
      <c r="P1429" s="5"/>
      <c r="Q1429" s="5">
        <v>5.9249999999999998</v>
      </c>
      <c r="R1429" s="5"/>
      <c r="S1429" s="5">
        <v>1.5924</v>
      </c>
      <c r="T1429" s="5"/>
      <c r="U1429" s="5">
        <v>0.51980000000000004</v>
      </c>
      <c r="V1429" s="4"/>
      <c r="W1429" s="4">
        <v>1</v>
      </c>
      <c r="X1429" s="5"/>
      <c r="Y1429" s="5">
        <v>5.15</v>
      </c>
      <c r="Z1429" s="6"/>
      <c r="AA1429" s="6">
        <v>1000</v>
      </c>
      <c r="AB1429" s="4" t="s">
        <v>13</v>
      </c>
    </row>
    <row r="1430" spans="1:28">
      <c r="A1430" s="3" t="s">
        <v>160</v>
      </c>
      <c r="B1430" s="24" t="s">
        <v>2186</v>
      </c>
      <c r="C1430" s="26" t="s">
        <v>2187</v>
      </c>
      <c r="D1430" s="4">
        <v>47</v>
      </c>
      <c r="E1430" s="3" t="s">
        <v>172</v>
      </c>
      <c r="F1430" s="3" t="s">
        <v>2188</v>
      </c>
      <c r="G1430" s="4">
        <v>53.7</v>
      </c>
      <c r="H1430" s="3" t="s">
        <v>173</v>
      </c>
      <c r="I1430" s="3" t="s">
        <v>2192</v>
      </c>
      <c r="J1430" s="4">
        <v>4</v>
      </c>
      <c r="K1430" s="4">
        <v>1028.5455999999999</v>
      </c>
      <c r="L1430" s="4" t="str">
        <f>HYPERLINK("http://ms.phosphosite.org:5080/cgi-bin/plot-msms.cgi?MassType=1&amp;NumAxis=1&amp;Mod1=170&amp;Mod14=147&amp;Pep=RGGLGGGYGGASGMGGITAVTVNQSLLSPLVLEVDPNIQAVR&amp;Dta=/var/www/html/dta/yong/23612.20080.4.dta&amp;Global_Mod=CS57.0215", "20080")</f>
        <v>20080</v>
      </c>
      <c r="M1430" s="4" t="str">
        <f>HYPERLINK("http://ms.phosphosite.org:5080/cgi-bin/plot-msms.cgi?MassType=1&amp;NumAxis=1&amp;Mod1=170&amp;Mod14=147&amp;Pep=RGGLGGGYGGASGMGGITAVTVNQSLLSPLVLEVDPNIQAVR&amp;Dta=/var/www/html/dta/yong/23613.20170.4.dta&amp;Global_Mod=CS57.0215", "20170")</f>
        <v>20170</v>
      </c>
      <c r="N1430" s="5">
        <v>83.89</v>
      </c>
      <c r="O1430" s="5">
        <v>83.88</v>
      </c>
      <c r="P1430" s="5">
        <v>5.64</v>
      </c>
      <c r="Q1430" s="5">
        <v>5.4960000000000004</v>
      </c>
      <c r="R1430" s="5">
        <v>1.5326</v>
      </c>
      <c r="S1430" s="5">
        <v>1.4957</v>
      </c>
      <c r="T1430" s="5">
        <v>0.42049999999999998</v>
      </c>
      <c r="U1430" s="5">
        <v>0.32479999999999998</v>
      </c>
      <c r="V1430" s="4">
        <v>1</v>
      </c>
      <c r="W1430" s="4">
        <v>1</v>
      </c>
      <c r="X1430" s="5">
        <v>4.59</v>
      </c>
      <c r="Y1430" s="5">
        <v>4.1500000000000004</v>
      </c>
      <c r="Z1430" s="6">
        <v>1000</v>
      </c>
      <c r="AA1430" s="6">
        <v>1000</v>
      </c>
      <c r="AB1430" s="4" t="s">
        <v>13</v>
      </c>
    </row>
    <row r="1431" spans="1:28">
      <c r="A1431" s="3" t="s">
        <v>160</v>
      </c>
      <c r="B1431" s="24" t="s">
        <v>2186</v>
      </c>
      <c r="C1431" s="26" t="s">
        <v>2187</v>
      </c>
      <c r="D1431" s="4">
        <v>47</v>
      </c>
      <c r="E1431" s="3" t="s">
        <v>172</v>
      </c>
      <c r="F1431" s="3" t="s">
        <v>2188</v>
      </c>
      <c r="G1431" s="4">
        <v>53.7</v>
      </c>
      <c r="H1431" s="3" t="s">
        <v>173</v>
      </c>
      <c r="I1431" s="3" t="s">
        <v>2192</v>
      </c>
      <c r="J1431" s="4">
        <v>4</v>
      </c>
      <c r="K1431" s="4">
        <v>1028.5455999999999</v>
      </c>
      <c r="L1431" s="4" t="str">
        <f>HYPERLINK("http://ms.phosphosite.org:5080/cgi-bin/plot-msms.cgi?MassType=1&amp;NumAxis=1&amp;Mod1=170&amp;Mod14=147&amp;Pep=RGGLGGGYGGASGMGGITAVTVNQSLLSPLVLEVDPNIQAVR&amp;Dta=/var/www/html/dta/yong/23612.20046.4.dta&amp;Global_Mod=CS57.0215", "20046")</f>
        <v>20046</v>
      </c>
      <c r="M1431" s="4"/>
      <c r="N1431" s="5">
        <v>83.72</v>
      </c>
      <c r="O1431" s="5"/>
      <c r="P1431" s="5">
        <v>4.7439999999999998</v>
      </c>
      <c r="Q1431" s="5"/>
      <c r="R1431" s="5">
        <v>1.5326</v>
      </c>
      <c r="S1431" s="5"/>
      <c r="T1431" s="5">
        <v>0.37159999999999999</v>
      </c>
      <c r="U1431" s="5"/>
      <c r="V1431" s="4">
        <v>1</v>
      </c>
      <c r="W1431" s="4"/>
      <c r="X1431" s="5">
        <v>4.18</v>
      </c>
      <c r="Y1431" s="5"/>
      <c r="Z1431" s="6">
        <v>1000</v>
      </c>
      <c r="AA1431" s="6"/>
      <c r="AB1431" s="4" t="s">
        <v>13</v>
      </c>
    </row>
    <row r="1432" spans="1:28">
      <c r="A1432" s="3" t="s">
        <v>160</v>
      </c>
      <c r="B1432" s="24" t="s">
        <v>2186</v>
      </c>
      <c r="C1432" s="26" t="s">
        <v>2187</v>
      </c>
      <c r="D1432" s="4">
        <v>47</v>
      </c>
      <c r="E1432" s="3" t="s">
        <v>172</v>
      </c>
      <c r="F1432" s="3" t="s">
        <v>2188</v>
      </c>
      <c r="G1432" s="4">
        <v>53.7</v>
      </c>
      <c r="H1432" s="3" t="s">
        <v>173</v>
      </c>
      <c r="I1432" s="3" t="s">
        <v>2192</v>
      </c>
      <c r="J1432" s="4">
        <v>4</v>
      </c>
      <c r="K1432" s="4">
        <v>1028.5455999999999</v>
      </c>
      <c r="L1432" s="4" t="str">
        <f>HYPERLINK("http://ms.phosphosite.org:5080/cgi-bin/plot-msms.cgi?MassType=1&amp;NumAxis=1&amp;Mod1=170&amp;Mod14=147&amp;Pep=RGGLGGGYGGASGMGGITAVTVNQSLLSPLVLEVDPNIQAVR&amp;Dta=/var/www/html/dta/yong/23612.20123.4.dta&amp;Global_Mod=CS57.0215", "20123")</f>
        <v>20123</v>
      </c>
      <c r="M1432" s="4"/>
      <c r="N1432" s="5">
        <v>84.09</v>
      </c>
      <c r="O1432" s="5"/>
      <c r="P1432" s="5">
        <v>3.3439999999999999</v>
      </c>
      <c r="Q1432" s="5"/>
      <c r="R1432" s="5">
        <v>1.5326</v>
      </c>
      <c r="S1432" s="5"/>
      <c r="T1432" s="5">
        <v>9.9000000000000008E-3</v>
      </c>
      <c r="U1432" s="5"/>
      <c r="V1432" s="4">
        <v>1</v>
      </c>
      <c r="W1432" s="4"/>
      <c r="X1432" s="5">
        <v>2.12</v>
      </c>
      <c r="Y1432" s="5"/>
      <c r="Z1432" s="6">
        <v>1000</v>
      </c>
      <c r="AA1432" s="6"/>
      <c r="AB1432" s="4" t="s">
        <v>13</v>
      </c>
    </row>
    <row r="1433" spans="1:28">
      <c r="A1433" s="3" t="s">
        <v>160</v>
      </c>
      <c r="B1433" s="24" t="s">
        <v>2186</v>
      </c>
      <c r="C1433" s="26" t="s">
        <v>2187</v>
      </c>
      <c r="D1433" s="4">
        <v>47</v>
      </c>
      <c r="E1433" s="3" t="s">
        <v>172</v>
      </c>
      <c r="F1433" s="3" t="s">
        <v>2188</v>
      </c>
      <c r="G1433" s="4">
        <v>53.7</v>
      </c>
      <c r="H1433" s="3" t="s">
        <v>173</v>
      </c>
      <c r="I1433" s="3" t="s">
        <v>2192</v>
      </c>
      <c r="J1433" s="4">
        <v>5</v>
      </c>
      <c r="K1433" s="4">
        <v>823.03790000000004</v>
      </c>
      <c r="L1433" s="4" t="str">
        <f>HYPERLINK("http://ms.phosphosite.org:5080/cgi-bin/plot-msms.cgi?MassType=1&amp;NumAxis=1&amp;Mod1=170&amp;Mod14=147&amp;Pep=RGGLGGGYGGASGMGGITAVTVNQSLLSPLVLEVDPNIQAVR&amp;Dta=/var/www/html/dta/yong/23612.20073.5.dta&amp;Global_Mod=CS57.0215", "20073")</f>
        <v>20073</v>
      </c>
      <c r="M1433" s="4" t="str">
        <f>HYPERLINK("http://ms.phosphosite.org:5080/cgi-bin/plot-msms.cgi?MassType=1&amp;NumAxis=1&amp;Mod1=170&amp;Mod14=147&amp;Pep=RGGLGGGYGGASGMGGITAVTVNQSLLSPLVLEVDPNIQAVR&amp;Dta=/var/www/html/dta/yong/23613.20173.5.dta&amp;Global_Mod=CS57.0215", "20173")</f>
        <v>20173</v>
      </c>
      <c r="N1433" s="5">
        <v>83.85</v>
      </c>
      <c r="O1433" s="5">
        <v>83.89</v>
      </c>
      <c r="P1433" s="5">
        <v>3.2730000000000001</v>
      </c>
      <c r="Q1433" s="5">
        <v>3.3929999999999998</v>
      </c>
      <c r="R1433" s="5">
        <v>0.8821</v>
      </c>
      <c r="S1433" s="5">
        <v>2.1135000000000002</v>
      </c>
      <c r="T1433" s="5">
        <v>5.0999999999999997E-2</v>
      </c>
      <c r="U1433" s="5">
        <v>2.5100000000000001E-2</v>
      </c>
      <c r="V1433" s="4">
        <v>1</v>
      </c>
      <c r="W1433" s="4">
        <v>1</v>
      </c>
      <c r="X1433" s="5">
        <v>2.4</v>
      </c>
      <c r="Y1433" s="5">
        <v>2.25</v>
      </c>
      <c r="Z1433" s="6">
        <v>1000</v>
      </c>
      <c r="AA1433" s="6">
        <v>1000</v>
      </c>
      <c r="AB1433" s="4" t="s">
        <v>13</v>
      </c>
    </row>
    <row r="1434" spans="1:28">
      <c r="A1434" s="3" t="s">
        <v>160</v>
      </c>
      <c r="B1434" s="24" t="s">
        <v>2186</v>
      </c>
      <c r="C1434" s="26" t="s">
        <v>2187</v>
      </c>
      <c r="D1434" s="4">
        <v>47</v>
      </c>
      <c r="E1434" s="3" t="s">
        <v>172</v>
      </c>
      <c r="F1434" s="3" t="s">
        <v>2188</v>
      </c>
      <c r="G1434" s="4">
        <v>53.7</v>
      </c>
      <c r="H1434" s="3" t="s">
        <v>173</v>
      </c>
      <c r="I1434" s="3" t="s">
        <v>2192</v>
      </c>
      <c r="J1434" s="4">
        <v>5</v>
      </c>
      <c r="K1434" s="4">
        <v>823.03790000000004</v>
      </c>
      <c r="L1434" s="4" t="str">
        <f>HYPERLINK("http://ms.phosphosite.org:5080/cgi-bin/plot-msms.cgi?MassType=1&amp;NumAxis=1&amp;Mod1=170&amp;Mod14=147&amp;Pep=RGGLGGGYGGASGMGGITAVTVNQSLLSPLVLEVDPNIQAVR&amp;Dta=/var/www/html/dta/yong/23612.20084.5.dta&amp;Global_Mod=CS57.0215", "20084")</f>
        <v>20084</v>
      </c>
      <c r="M1434" s="4"/>
      <c r="N1434" s="5">
        <v>83.9</v>
      </c>
      <c r="O1434" s="5"/>
      <c r="P1434" s="5">
        <v>4.1509999999999998</v>
      </c>
      <c r="Q1434" s="5"/>
      <c r="R1434" s="5">
        <v>0.8821</v>
      </c>
      <c r="S1434" s="5"/>
      <c r="T1434" s="5">
        <v>0.1585</v>
      </c>
      <c r="U1434" s="5"/>
      <c r="V1434" s="4">
        <v>1</v>
      </c>
      <c r="W1434" s="4"/>
      <c r="X1434" s="5">
        <v>3.1</v>
      </c>
      <c r="Y1434" s="5"/>
      <c r="Z1434" s="6">
        <v>1000</v>
      </c>
      <c r="AA1434" s="6"/>
      <c r="AB1434" s="4" t="s">
        <v>13</v>
      </c>
    </row>
    <row r="1435" spans="1:28">
      <c r="A1435" s="3" t="s">
        <v>160</v>
      </c>
      <c r="B1435" s="24" t="s">
        <v>2186</v>
      </c>
      <c r="C1435" s="26" t="s">
        <v>2187</v>
      </c>
      <c r="D1435" s="4">
        <v>47</v>
      </c>
      <c r="E1435" s="3" t="s">
        <v>172</v>
      </c>
      <c r="F1435" s="3" t="s">
        <v>2188</v>
      </c>
      <c r="G1435" s="4">
        <v>53.7</v>
      </c>
      <c r="H1435" s="3" t="s">
        <v>2193</v>
      </c>
      <c r="I1435" s="3" t="s">
        <v>2194</v>
      </c>
      <c r="J1435" s="4">
        <v>2</v>
      </c>
      <c r="K1435" s="4">
        <v>468.75409999999999</v>
      </c>
      <c r="L1435" s="4"/>
      <c r="M1435" s="4" t="str">
        <f>HYPERLINK("http://ms.phosphosite.org:5080/cgi-bin/plot-msms.cgi?MassType=1&amp;NumAxis=1&amp;Mod8=170&amp;Pep=RVGSSNFR&amp;Dta=/var/www/html/dta/yong/23613.2475.2.dta&amp;Global_Mod=CS57.0215", "2475")</f>
        <v>2475</v>
      </c>
      <c r="N1435" s="5"/>
      <c r="O1435" s="5">
        <v>16.05</v>
      </c>
      <c r="P1435" s="5"/>
      <c r="Q1435" s="5">
        <v>1.927</v>
      </c>
      <c r="R1435" s="5"/>
      <c r="S1435" s="5">
        <v>0.33460000000000001</v>
      </c>
      <c r="T1435" s="5"/>
      <c r="U1435" s="5">
        <v>4.7100000000000003E-2</v>
      </c>
      <c r="V1435" s="4"/>
      <c r="W1435" s="4">
        <v>1</v>
      </c>
      <c r="X1435" s="5"/>
      <c r="Y1435" s="5">
        <v>2.4300000000000002</v>
      </c>
      <c r="Z1435" s="6"/>
      <c r="AA1435" s="6">
        <v>1000</v>
      </c>
      <c r="AB1435" s="4" t="s">
        <v>13</v>
      </c>
    </row>
    <row r="1436" spans="1:28">
      <c r="A1436" s="3" t="s">
        <v>160</v>
      </c>
      <c r="B1436" s="24" t="s">
        <v>2186</v>
      </c>
      <c r="C1436" s="26" t="s">
        <v>2187</v>
      </c>
      <c r="D1436" s="4">
        <v>47</v>
      </c>
      <c r="E1436" s="3" t="s">
        <v>172</v>
      </c>
      <c r="F1436" s="3" t="s">
        <v>2188</v>
      </c>
      <c r="G1436" s="4">
        <v>53.7</v>
      </c>
      <c r="H1436" s="3" t="s">
        <v>173</v>
      </c>
      <c r="I1436" s="3" t="s">
        <v>2195</v>
      </c>
      <c r="J1436" s="4">
        <v>4</v>
      </c>
      <c r="K1436" s="4">
        <v>1137.3394000000001</v>
      </c>
      <c r="L1436" s="4" t="str">
        <f>HYPERLINK("http://ms.phosphosite.org:5080/cgi-bin/plot-msms.cgi?MassType=1&amp;NumAxis=1&amp;Mod5=170&amp;Mod18=147&amp;Pep=SSNFRGGLGGGYGGASGMGGITAVTVNQSLLSPLVLEVDPNIQAVR&amp;Dta=/var/www/html/dta/yong/23612.20258.4.dta&amp;Global_Mod=CS57.0215", "20258")</f>
        <v>20258</v>
      </c>
      <c r="M1436" s="4"/>
      <c r="N1436" s="5">
        <v>84.7</v>
      </c>
      <c r="O1436" s="5"/>
      <c r="P1436" s="5">
        <v>3.3650000000000002</v>
      </c>
      <c r="Q1436" s="5"/>
      <c r="R1436" s="5">
        <v>1.0644</v>
      </c>
      <c r="S1436" s="5"/>
      <c r="T1436" s="5">
        <v>0.1739</v>
      </c>
      <c r="U1436" s="5"/>
      <c r="V1436" s="4">
        <v>1</v>
      </c>
      <c r="W1436" s="4"/>
      <c r="X1436" s="5">
        <v>2.91</v>
      </c>
      <c r="Y1436" s="5"/>
      <c r="Z1436" s="6">
        <v>1000</v>
      </c>
      <c r="AA1436" s="6"/>
      <c r="AB1436" s="4" t="s">
        <v>13</v>
      </c>
    </row>
    <row r="1437" spans="1:28">
      <c r="A1437" s="3" t="s">
        <v>160</v>
      </c>
      <c r="B1437" s="24" t="s">
        <v>2186</v>
      </c>
      <c r="C1437" s="26" t="s">
        <v>2187</v>
      </c>
      <c r="D1437" s="4">
        <v>47</v>
      </c>
      <c r="E1437" s="3" t="s">
        <v>172</v>
      </c>
      <c r="F1437" s="3" t="s">
        <v>2188</v>
      </c>
      <c r="G1437" s="4">
        <v>53.7</v>
      </c>
      <c r="H1437" s="3" t="s">
        <v>173</v>
      </c>
      <c r="I1437" s="3" t="s">
        <v>2195</v>
      </c>
      <c r="J1437" s="4">
        <v>5</v>
      </c>
      <c r="K1437" s="4">
        <v>910.07299999999998</v>
      </c>
      <c r="L1437" s="4" t="str">
        <f>HYPERLINK("http://ms.phosphosite.org:5080/cgi-bin/plot-msms.cgi?MassType=1&amp;NumAxis=1&amp;Mod5=170&amp;Mod18=147&amp;Pep=SSNFRGGLGGGYGGASGMGGITAVTVNQSLLSPLVLEVDPNIQAVR&amp;Dta=/var/www/html/dta/yong/23612.20251.5.dta&amp;Global_Mod=CS57.0215", "20251")</f>
        <v>20251</v>
      </c>
      <c r="M1437" s="4" t="str">
        <f>HYPERLINK("http://ms.phosphosite.org:5080/cgi-bin/plot-msms.cgi?MassType=1&amp;NumAxis=1&amp;Mod5=170&amp;Mod18=147&amp;Pep=SSNFRGGLGGGYGGASGMGGITAVTVNQSLLSPLVLEVDPNIQAVR&amp;Dta=/var/www/html/dta/yong/23613.20344.5.dta&amp;Global_Mod=CS57.0215", "20344")</f>
        <v>20344</v>
      </c>
      <c r="N1437" s="5">
        <v>84.66</v>
      </c>
      <c r="O1437" s="5">
        <v>84.65</v>
      </c>
      <c r="P1437" s="5">
        <v>3.7330000000000001</v>
      </c>
      <c r="Q1437" s="5">
        <v>4.8929999999999998</v>
      </c>
      <c r="R1437" s="5">
        <v>2.1928000000000001</v>
      </c>
      <c r="S1437" s="5">
        <v>2.8706</v>
      </c>
      <c r="T1437" s="5">
        <v>7.9699999999999993E-2</v>
      </c>
      <c r="U1437" s="5">
        <v>0.34399999999999997</v>
      </c>
      <c r="V1437" s="4">
        <v>1</v>
      </c>
      <c r="W1437" s="4">
        <v>1</v>
      </c>
      <c r="X1437" s="5">
        <v>2.52</v>
      </c>
      <c r="Y1437" s="5">
        <v>4.04</v>
      </c>
      <c r="Z1437" s="6">
        <v>1000</v>
      </c>
      <c r="AA1437" s="6">
        <v>1000</v>
      </c>
      <c r="AB1437" s="4" t="s">
        <v>13</v>
      </c>
    </row>
    <row r="1438" spans="1:28">
      <c r="A1438" s="3" t="s">
        <v>160</v>
      </c>
      <c r="B1438" s="24" t="s">
        <v>2186</v>
      </c>
      <c r="C1438" s="26" t="s">
        <v>2187</v>
      </c>
      <c r="D1438" s="4">
        <v>47</v>
      </c>
      <c r="E1438" s="3" t="s">
        <v>172</v>
      </c>
      <c r="F1438" s="3" t="s">
        <v>2188</v>
      </c>
      <c r="G1438" s="4">
        <v>53.7</v>
      </c>
      <c r="H1438" s="3" t="s">
        <v>173</v>
      </c>
      <c r="I1438" s="3" t="s">
        <v>2195</v>
      </c>
      <c r="J1438" s="4">
        <v>5</v>
      </c>
      <c r="K1438" s="4">
        <v>910.07299999999998</v>
      </c>
      <c r="L1438" s="4"/>
      <c r="M1438" s="4" t="str">
        <f>HYPERLINK("http://ms.phosphosite.org:5080/cgi-bin/plot-msms.cgi?MassType=1&amp;NumAxis=1&amp;Mod5=170&amp;Mod18=147&amp;Pep=SSNFRGGLGGGYGGASGMGGITAVTVNQSLLSPLVLEVDPNIQAVR&amp;Dta=/var/www/html/dta/yong/23613.20381.5.dta&amp;Global_Mod=CS57.0215", "20381")</f>
        <v>20381</v>
      </c>
      <c r="N1438" s="5"/>
      <c r="O1438" s="5">
        <v>84.81</v>
      </c>
      <c r="P1438" s="5"/>
      <c r="Q1438" s="5">
        <v>4.8079999999999998</v>
      </c>
      <c r="R1438" s="5"/>
      <c r="S1438" s="5">
        <v>2.7559999999999998</v>
      </c>
      <c r="T1438" s="5"/>
      <c r="U1438" s="5">
        <v>0.13250000000000001</v>
      </c>
      <c r="V1438" s="4"/>
      <c r="W1438" s="4">
        <v>1</v>
      </c>
      <c r="X1438" s="5"/>
      <c r="Y1438" s="5">
        <v>2.99</v>
      </c>
      <c r="Z1438" s="6"/>
      <c r="AA1438" s="6">
        <v>1000</v>
      </c>
      <c r="AB1438" s="4" t="s">
        <v>13</v>
      </c>
    </row>
    <row r="1439" spans="1:28">
      <c r="A1439" s="3" t="s">
        <v>160</v>
      </c>
      <c r="B1439" s="24" t="s">
        <v>2186</v>
      </c>
      <c r="C1439" s="26" t="s">
        <v>2187</v>
      </c>
      <c r="D1439" s="4">
        <v>47</v>
      </c>
      <c r="E1439" s="3" t="s">
        <v>172</v>
      </c>
      <c r="F1439" s="3" t="s">
        <v>2188</v>
      </c>
      <c r="G1439" s="4">
        <v>53.7</v>
      </c>
      <c r="H1439" s="3" t="s">
        <v>173</v>
      </c>
      <c r="I1439" s="3" t="s">
        <v>2195</v>
      </c>
      <c r="J1439" s="4">
        <v>5</v>
      </c>
      <c r="K1439" s="4">
        <v>910.07299999999998</v>
      </c>
      <c r="L1439" s="4"/>
      <c r="M1439" s="4" t="str">
        <f>HYPERLINK("http://ms.phosphosite.org:5080/cgi-bin/plot-msms.cgi?MassType=1&amp;NumAxis=1&amp;Mod5=170&amp;Mod18=147&amp;Pep=SSNFRGGLGGGYGGASGMGGITAVTVNQSLLSPLVLEVDPNIQAVR&amp;Dta=/var/www/html/dta/yong/23613.20352.5.dta&amp;Global_Mod=CS57.0215", "20352")</f>
        <v>20352</v>
      </c>
      <c r="N1439" s="5"/>
      <c r="O1439" s="5">
        <v>84.69</v>
      </c>
      <c r="P1439" s="5"/>
      <c r="Q1439" s="5">
        <v>5.2240000000000002</v>
      </c>
      <c r="R1439" s="5"/>
      <c r="S1439" s="5">
        <v>-0.51200000000000001</v>
      </c>
      <c r="T1439" s="5"/>
      <c r="U1439" s="5">
        <v>0.217</v>
      </c>
      <c r="V1439" s="4"/>
      <c r="W1439" s="4">
        <v>1</v>
      </c>
      <c r="X1439" s="5"/>
      <c r="Y1439" s="5">
        <v>3.56</v>
      </c>
      <c r="Z1439" s="6"/>
      <c r="AA1439" s="6">
        <v>1000</v>
      </c>
      <c r="AB1439" s="4" t="s">
        <v>13</v>
      </c>
    </row>
    <row r="1440" spans="1:28">
      <c r="A1440" s="3" t="s">
        <v>160</v>
      </c>
      <c r="B1440" s="24" t="s">
        <v>2186</v>
      </c>
      <c r="C1440" s="26" t="s">
        <v>2187</v>
      </c>
      <c r="D1440" s="4">
        <v>47</v>
      </c>
      <c r="E1440" s="3" t="s">
        <v>172</v>
      </c>
      <c r="F1440" s="3" t="s">
        <v>2188</v>
      </c>
      <c r="G1440" s="4">
        <v>53.7</v>
      </c>
      <c r="H1440" s="3" t="s">
        <v>173</v>
      </c>
      <c r="I1440" s="3" t="s">
        <v>2195</v>
      </c>
      <c r="J1440" s="4">
        <v>6</v>
      </c>
      <c r="K1440" s="4">
        <v>758.56200000000001</v>
      </c>
      <c r="L1440" s="4" t="str">
        <f>HYPERLINK("http://ms.phosphosite.org:5080/cgi-bin/plot-msms.cgi?MassType=1&amp;NumAxis=1&amp;Mod5=170&amp;Mod18=147&amp;Pep=SSNFRGGLGGGYGGASGMGGITAVTVNQSLLSPLVLEVDPNIQAVR&amp;Dta=/var/www/html/dta/yong/23612.20279.6.dta&amp;Global_Mod=CS57.0215", "20279")</f>
        <v>20279</v>
      </c>
      <c r="M1440" s="4"/>
      <c r="N1440" s="5">
        <v>84.78</v>
      </c>
      <c r="O1440" s="5"/>
      <c r="P1440" s="5">
        <v>3.6629999999999998</v>
      </c>
      <c r="Q1440" s="5"/>
      <c r="R1440" s="5">
        <v>1.0921000000000001</v>
      </c>
      <c r="S1440" s="5"/>
      <c r="T1440" s="5">
        <v>0.218</v>
      </c>
      <c r="U1440" s="5"/>
      <c r="V1440" s="4">
        <v>111</v>
      </c>
      <c r="W1440" s="4"/>
      <c r="X1440" s="5">
        <v>3.23</v>
      </c>
      <c r="Y1440" s="5"/>
      <c r="Z1440" s="6">
        <v>1000</v>
      </c>
      <c r="AA1440" s="6"/>
      <c r="AB1440" s="4" t="s">
        <v>13</v>
      </c>
    </row>
    <row r="1441" spans="1:28">
      <c r="A1441" s="3" t="s">
        <v>160</v>
      </c>
      <c r="B1441" s="24" t="s">
        <v>2186</v>
      </c>
      <c r="C1441" s="26" t="s">
        <v>2187</v>
      </c>
      <c r="D1441" s="4">
        <v>47</v>
      </c>
      <c r="E1441" s="3" t="s">
        <v>172</v>
      </c>
      <c r="F1441" s="3" t="s">
        <v>2188</v>
      </c>
      <c r="G1441" s="4">
        <v>53.7</v>
      </c>
      <c r="H1441" s="3" t="s">
        <v>173</v>
      </c>
      <c r="I1441" s="3" t="s">
        <v>2196</v>
      </c>
      <c r="J1441" s="4">
        <v>4</v>
      </c>
      <c r="K1441" s="4">
        <v>1133.3407</v>
      </c>
      <c r="L1441" s="4" t="str">
        <f>HYPERLINK("http://ms.phosphosite.org:5080/cgi-bin/plot-msms.cgi?MassType=1&amp;NumAxis=1&amp;Mod5=170&amp;Pep=SSNFRGGLGGGYGGASGMGGITAVTVNQSLLSPLVLEVDPNIQAVR&amp;Dta=/var/www/html/dta/yong/23612.21023.4.dta&amp;Global_Mod=CS57.0215", "21023")</f>
        <v>21023</v>
      </c>
      <c r="M1441" s="4"/>
      <c r="N1441" s="5">
        <v>88.33</v>
      </c>
      <c r="O1441" s="5"/>
      <c r="P1441" s="5">
        <v>4.1550000000000002</v>
      </c>
      <c r="Q1441" s="5"/>
      <c r="R1441" s="5">
        <v>3.6892999999999998</v>
      </c>
      <c r="S1441" s="5"/>
      <c r="T1441" s="5">
        <v>0.2611</v>
      </c>
      <c r="U1441" s="5"/>
      <c r="V1441" s="4">
        <v>1</v>
      </c>
      <c r="W1441" s="4"/>
      <c r="X1441" s="5">
        <v>3.36</v>
      </c>
      <c r="Y1441" s="5"/>
      <c r="Z1441" s="6">
        <v>1000</v>
      </c>
      <c r="AA1441" s="6"/>
      <c r="AB1441" s="4" t="s">
        <v>13</v>
      </c>
    </row>
    <row r="1442" spans="1:28">
      <c r="A1442" s="3" t="s">
        <v>160</v>
      </c>
      <c r="B1442" s="24" t="s">
        <v>2186</v>
      </c>
      <c r="C1442" s="26" t="s">
        <v>2187</v>
      </c>
      <c r="D1442" s="4">
        <v>47</v>
      </c>
      <c r="E1442" s="3" t="s">
        <v>172</v>
      </c>
      <c r="F1442" s="3" t="s">
        <v>2188</v>
      </c>
      <c r="G1442" s="4">
        <v>53.7</v>
      </c>
      <c r="H1442" s="3" t="s">
        <v>173</v>
      </c>
      <c r="I1442" s="3" t="s">
        <v>2196</v>
      </c>
      <c r="J1442" s="4">
        <v>4</v>
      </c>
      <c r="K1442" s="4">
        <v>1133.3407</v>
      </c>
      <c r="L1442" s="4" t="str">
        <f>HYPERLINK("http://ms.phosphosite.org:5080/cgi-bin/plot-msms.cgi?MassType=1&amp;NumAxis=1&amp;Mod5=170&amp;Pep=SSNFRGGLGGGYGGASGMGGITAVTVNQSLLSPLVLEVDPNIQAVR&amp;Dta=/var/www/html/dta/yong/23612.21032.4.dta&amp;Global_Mod=CS57.0215", "21032")</f>
        <v>21032</v>
      </c>
      <c r="M1442" s="4"/>
      <c r="N1442" s="5">
        <v>88.37</v>
      </c>
      <c r="O1442" s="5"/>
      <c r="P1442" s="5">
        <v>4.2690000000000001</v>
      </c>
      <c r="Q1442" s="5"/>
      <c r="R1442" s="5">
        <v>3.6892999999999998</v>
      </c>
      <c r="S1442" s="5"/>
      <c r="T1442" s="5">
        <v>0.248</v>
      </c>
      <c r="U1442" s="5"/>
      <c r="V1442" s="4">
        <v>1</v>
      </c>
      <c r="W1442" s="4"/>
      <c r="X1442" s="5">
        <v>3.32</v>
      </c>
      <c r="Y1442" s="5"/>
      <c r="Z1442" s="6">
        <v>1000</v>
      </c>
      <c r="AA1442" s="6"/>
      <c r="AB1442" s="4" t="s">
        <v>13</v>
      </c>
    </row>
    <row r="1443" spans="1:28">
      <c r="A1443" s="3" t="s">
        <v>160</v>
      </c>
      <c r="B1443" s="24" t="s">
        <v>2186</v>
      </c>
      <c r="C1443" s="26" t="s">
        <v>2187</v>
      </c>
      <c r="D1443" s="4">
        <v>47</v>
      </c>
      <c r="E1443" s="3" t="s">
        <v>172</v>
      </c>
      <c r="F1443" s="3" t="s">
        <v>2188</v>
      </c>
      <c r="G1443" s="4">
        <v>53.7</v>
      </c>
      <c r="H1443" s="3" t="s">
        <v>173</v>
      </c>
      <c r="I1443" s="3" t="s">
        <v>2197</v>
      </c>
      <c r="J1443" s="4">
        <v>2</v>
      </c>
      <c r="K1443" s="4">
        <v>390.70359999999999</v>
      </c>
      <c r="L1443" s="4"/>
      <c r="M1443" s="4" t="str">
        <f>HYPERLINK("http://ms.phosphosite.org:5080/cgi-bin/plot-msms.cgi?MassType=1&amp;NumAxis=1&amp;Mod7=170&amp;Pep=VGSSNFR&amp;Dta=/var/www/html/dta/yong/23613.3240.2.dta&amp;Global_Mod=CS57.0215", "3240")</f>
        <v>3240</v>
      </c>
      <c r="N1443" s="5"/>
      <c r="O1443" s="5">
        <v>18.93</v>
      </c>
      <c r="P1443" s="5"/>
      <c r="Q1443" s="5">
        <v>1.675</v>
      </c>
      <c r="R1443" s="5"/>
      <c r="S1443" s="5">
        <v>-0.64419999999999999</v>
      </c>
      <c r="T1443" s="5"/>
      <c r="U1443" s="5">
        <v>7.7100000000000002E-2</v>
      </c>
      <c r="V1443" s="4"/>
      <c r="W1443" s="4">
        <v>1</v>
      </c>
      <c r="X1443" s="5"/>
      <c r="Y1443" s="5">
        <v>2.68</v>
      </c>
      <c r="Z1443" s="6"/>
      <c r="AA1443" s="6">
        <v>1000</v>
      </c>
      <c r="AB1443" s="4" t="s">
        <v>13</v>
      </c>
    </row>
    <row r="1444" spans="1:28">
      <c r="A1444" s="3" t="s">
        <v>160</v>
      </c>
      <c r="B1444" s="24" t="s">
        <v>2186</v>
      </c>
      <c r="C1444" s="26" t="s">
        <v>2187</v>
      </c>
      <c r="D1444" s="4">
        <v>47</v>
      </c>
      <c r="E1444" s="3" t="s">
        <v>172</v>
      </c>
      <c r="F1444" s="3" t="s">
        <v>2188</v>
      </c>
      <c r="G1444" s="4">
        <v>53.7</v>
      </c>
      <c r="H1444" s="3" t="s">
        <v>173</v>
      </c>
      <c r="I1444" s="3" t="s">
        <v>2198</v>
      </c>
      <c r="J1444" s="4">
        <v>2</v>
      </c>
      <c r="K1444" s="4">
        <v>447.72500000000002</v>
      </c>
      <c r="L1444" s="4" t="str">
        <f>HYPERLINK("http://ms.phosphosite.org:5080/cgi-bin/plot-msms.cgi?MassType=1&amp;NumAxis=1&amp;Mod7=170&amp;Pep=VGSSNFRGG&amp;Dta=/var/www/html/dta/yong/23612.3240.2.dta&amp;Global_Mod=CS57.0215", "3240")</f>
        <v>3240</v>
      </c>
      <c r="M1444" s="4"/>
      <c r="N1444" s="5">
        <v>19.05</v>
      </c>
      <c r="O1444" s="5"/>
      <c r="P1444" s="5">
        <v>2.1709999999999998</v>
      </c>
      <c r="Q1444" s="5"/>
      <c r="R1444" s="5">
        <v>0.29330000000000001</v>
      </c>
      <c r="S1444" s="5"/>
      <c r="T1444" s="5">
        <v>2.3599999999999999E-2</v>
      </c>
      <c r="U1444" s="5"/>
      <c r="V1444" s="4">
        <v>103</v>
      </c>
      <c r="W1444" s="4"/>
      <c r="X1444" s="5">
        <v>2.2000000000000002</v>
      </c>
      <c r="Y1444" s="5"/>
      <c r="Z1444" s="6">
        <v>1000</v>
      </c>
      <c r="AA1444" s="6"/>
      <c r="AB1444" s="4" t="s">
        <v>13</v>
      </c>
    </row>
    <row r="1445" spans="1:28">
      <c r="A1445" s="3" t="s">
        <v>160</v>
      </c>
      <c r="B1445" s="24" t="s">
        <v>2186</v>
      </c>
      <c r="C1445" s="26" t="s">
        <v>2187</v>
      </c>
      <c r="D1445" s="4">
        <v>47</v>
      </c>
      <c r="E1445" s="3" t="s">
        <v>172</v>
      </c>
      <c r="F1445" s="3" t="s">
        <v>2188</v>
      </c>
      <c r="G1445" s="4">
        <v>53.7</v>
      </c>
      <c r="H1445" s="3" t="s">
        <v>173</v>
      </c>
      <c r="I1445" s="3" t="s">
        <v>2199</v>
      </c>
      <c r="J1445" s="4">
        <v>2</v>
      </c>
      <c r="K1445" s="4">
        <v>504.26710000000003</v>
      </c>
      <c r="L1445" s="4" t="str">
        <f>HYPERLINK("http://ms.phosphosite.org:5080/cgi-bin/plot-msms.cgi?MassType=1&amp;NumAxis=1&amp;Mod7=170&amp;Pep=VGSSNFRGGL&amp;Dta=/var/www/html/dta/yong/23612.7698.2.dta&amp;Global_Mod=CS57.0215", "7698")</f>
        <v>7698</v>
      </c>
      <c r="M1445" s="4" t="str">
        <f>HYPERLINK("http://ms.phosphosite.org:5080/cgi-bin/plot-msms.cgi?MassType=1&amp;NumAxis=1&amp;Mod7=170&amp;Pep=VGSSNFRGGL&amp;Dta=/var/www/html/dta/yong/23613.7740.2.dta&amp;Global_Mod=CS57.0215", "7740")</f>
        <v>7740</v>
      </c>
      <c r="N1445" s="5">
        <v>35.770000000000003</v>
      </c>
      <c r="O1445" s="5">
        <v>35.799999999999997</v>
      </c>
      <c r="P1445" s="5">
        <v>2.6789999999999998</v>
      </c>
      <c r="Q1445" s="5">
        <v>2.847</v>
      </c>
      <c r="R1445" s="5">
        <v>-0.1799</v>
      </c>
      <c r="S1445" s="5">
        <v>-6.1899999999999997E-2</v>
      </c>
      <c r="T1445" s="5">
        <v>0.1363</v>
      </c>
      <c r="U1445" s="5">
        <v>0.15429999999999999</v>
      </c>
      <c r="V1445" s="4">
        <v>2</v>
      </c>
      <c r="W1445" s="4">
        <v>1</v>
      </c>
      <c r="X1445" s="5">
        <v>2.88</v>
      </c>
      <c r="Y1445" s="5">
        <v>3.11</v>
      </c>
      <c r="Z1445" s="6">
        <v>1000</v>
      </c>
      <c r="AA1445" s="6">
        <v>1000</v>
      </c>
      <c r="AB1445" s="4" t="s">
        <v>13</v>
      </c>
    </row>
    <row r="1446" spans="1:28">
      <c r="A1446" s="3" t="s">
        <v>160</v>
      </c>
      <c r="B1446" s="24" t="s">
        <v>2186</v>
      </c>
      <c r="C1446" s="26" t="s">
        <v>2187</v>
      </c>
      <c r="D1446" s="4">
        <v>47</v>
      </c>
      <c r="E1446" s="3" t="s">
        <v>172</v>
      </c>
      <c r="F1446" s="3" t="s">
        <v>2188</v>
      </c>
      <c r="G1446" s="4">
        <v>53.7</v>
      </c>
      <c r="H1446" s="3" t="s">
        <v>173</v>
      </c>
      <c r="I1446" s="3" t="s">
        <v>2200</v>
      </c>
      <c r="J1446" s="4">
        <v>2</v>
      </c>
      <c r="K1446" s="4">
        <v>532.77779999999996</v>
      </c>
      <c r="L1446" s="4" t="str">
        <f>HYPERLINK("http://ms.phosphosite.org:5080/cgi-bin/plot-msms.cgi?MassType=1&amp;NumAxis=1&amp;Mod7=170&amp;Pep=VGSSNFRGGLG&amp;Dta=/var/www/html/dta/yong/23612.6783.2.dta&amp;Global_Mod=CS57.0215", "6783")</f>
        <v>6783</v>
      </c>
      <c r="M1446" s="4" t="str">
        <f>HYPERLINK("http://ms.phosphosite.org:5080/cgi-bin/plot-msms.cgi?MassType=1&amp;NumAxis=1&amp;Mod7=170&amp;Pep=VGSSNFRGGLG&amp;Dta=/var/www/html/dta/yong/23613.6846.2.dta&amp;Global_Mod=CS57.0215", "6846")</f>
        <v>6846</v>
      </c>
      <c r="N1446" s="5">
        <v>32.5</v>
      </c>
      <c r="O1446" s="5">
        <v>32.57</v>
      </c>
      <c r="P1446" s="5">
        <v>3.476</v>
      </c>
      <c r="Q1446" s="5">
        <v>3.415</v>
      </c>
      <c r="R1446" s="5">
        <v>0.13650000000000001</v>
      </c>
      <c r="S1446" s="5">
        <v>-1.4E-2</v>
      </c>
      <c r="T1446" s="5">
        <v>0.20419999999999999</v>
      </c>
      <c r="U1446" s="5">
        <v>0.24249999999999999</v>
      </c>
      <c r="V1446" s="4">
        <v>1</v>
      </c>
      <c r="W1446" s="4">
        <v>1</v>
      </c>
      <c r="X1446" s="5">
        <v>3.38</v>
      </c>
      <c r="Y1446" s="5">
        <v>3.65</v>
      </c>
      <c r="Z1446" s="6">
        <v>1000</v>
      </c>
      <c r="AA1446" s="6">
        <v>1000</v>
      </c>
      <c r="AB1446" s="4" t="s">
        <v>13</v>
      </c>
    </row>
    <row r="1447" spans="1:28">
      <c r="A1447" s="3" t="s">
        <v>160</v>
      </c>
      <c r="B1447" s="24" t="s">
        <v>2186</v>
      </c>
      <c r="C1447" s="26" t="s">
        <v>2187</v>
      </c>
      <c r="D1447" s="4">
        <v>47</v>
      </c>
      <c r="E1447" s="3" t="s">
        <v>172</v>
      </c>
      <c r="F1447" s="3" t="s">
        <v>2188</v>
      </c>
      <c r="G1447" s="4">
        <v>53.7</v>
      </c>
      <c r="H1447" s="3" t="s">
        <v>173</v>
      </c>
      <c r="I1447" s="3" t="s">
        <v>2201</v>
      </c>
      <c r="J1447" s="4">
        <v>2</v>
      </c>
      <c r="K1447" s="4">
        <v>561.2885</v>
      </c>
      <c r="L1447" s="4" t="str">
        <f>HYPERLINK("http://ms.phosphosite.org:5080/cgi-bin/plot-msms.cgi?MassType=1&amp;NumAxis=1&amp;Mod7=170&amp;Pep=VGSSNFRGGLGG&amp;Dta=/var/www/html/dta/yong/23612.6767.2.dta&amp;Global_Mod=CS57.0215", "6767")</f>
        <v>6767</v>
      </c>
      <c r="M1447" s="4" t="str">
        <f>HYPERLINK("http://ms.phosphosite.org:5080/cgi-bin/plot-msms.cgi?MassType=1&amp;NumAxis=1&amp;Mod7=170&amp;Pep=VGSSNFRGGLGG&amp;Dta=/var/www/html/dta/yong/23613.6825.2.dta&amp;Global_Mod=CS57.0215", "6825")</f>
        <v>6825</v>
      </c>
      <c r="N1447" s="5">
        <v>32.42</v>
      </c>
      <c r="O1447" s="5">
        <v>32.479999999999997</v>
      </c>
      <c r="P1447" s="5">
        <v>2.8149999999999999</v>
      </c>
      <c r="Q1447" s="5">
        <v>2.9990000000000001</v>
      </c>
      <c r="R1447" s="5">
        <v>0.24779999999999999</v>
      </c>
      <c r="S1447" s="5">
        <v>0.13</v>
      </c>
      <c r="T1447" s="5">
        <v>0.24629999999999999</v>
      </c>
      <c r="U1447" s="5">
        <v>0.26950000000000002</v>
      </c>
      <c r="V1447" s="4">
        <v>119</v>
      </c>
      <c r="W1447" s="4">
        <v>18</v>
      </c>
      <c r="X1447" s="5">
        <v>3.38</v>
      </c>
      <c r="Y1447" s="5">
        <v>3.68</v>
      </c>
      <c r="Z1447" s="6">
        <v>1000</v>
      </c>
      <c r="AA1447" s="6">
        <v>1000</v>
      </c>
      <c r="AB1447" s="4" t="s">
        <v>13</v>
      </c>
    </row>
    <row r="1448" spans="1:28">
      <c r="A1448" s="3" t="s">
        <v>160</v>
      </c>
      <c r="B1448" s="24" t="s">
        <v>2186</v>
      </c>
      <c r="C1448" s="26" t="s">
        <v>2187</v>
      </c>
      <c r="D1448" s="4">
        <v>47</v>
      </c>
      <c r="E1448" s="3" t="s">
        <v>172</v>
      </c>
      <c r="F1448" s="3" t="s">
        <v>2188</v>
      </c>
      <c r="G1448" s="4">
        <v>53.7</v>
      </c>
      <c r="H1448" s="3" t="s">
        <v>173</v>
      </c>
      <c r="I1448" s="3" t="s">
        <v>2202</v>
      </c>
      <c r="J1448" s="4">
        <v>2</v>
      </c>
      <c r="K1448" s="4">
        <v>671.33090000000004</v>
      </c>
      <c r="L1448" s="4" t="str">
        <f>HYPERLINK("http://ms.phosphosite.org:5080/cgi-bin/plot-msms.cgi?MassType=1&amp;NumAxis=1&amp;Mod7=170&amp;Pep=VGSSNFRGGLGGGY&amp;Dta=/var/www/html/dta/yong/23612.9144.2.dta&amp;Global_Mod=CS57.0215", "9144")</f>
        <v>9144</v>
      </c>
      <c r="M1448" s="4" t="str">
        <f>HYPERLINK("http://ms.phosphosite.org:5080/cgi-bin/plot-msms.cgi?MassType=1&amp;NumAxis=1&amp;Mod7=170&amp;Pep=VGSSNFRGGLGGGY&amp;Dta=/var/www/html/dta/yong/23613.9204.2.dta&amp;Global_Mod=CS57.0215", "9204")</f>
        <v>9204</v>
      </c>
      <c r="N1448" s="5">
        <v>40.950000000000003</v>
      </c>
      <c r="O1448" s="5">
        <v>41.05</v>
      </c>
      <c r="P1448" s="5">
        <v>4.306</v>
      </c>
      <c r="Q1448" s="5">
        <v>4.7469999999999999</v>
      </c>
      <c r="R1448" s="5">
        <v>0.49249999999999999</v>
      </c>
      <c r="S1448" s="5">
        <v>0.44690000000000002</v>
      </c>
      <c r="T1448" s="5">
        <v>0.43880000000000002</v>
      </c>
      <c r="U1448" s="5">
        <v>0.49399999999999999</v>
      </c>
      <c r="V1448" s="4">
        <v>1</v>
      </c>
      <c r="W1448" s="4">
        <v>1</v>
      </c>
      <c r="X1448" s="5">
        <v>4.68</v>
      </c>
      <c r="Y1448" s="5">
        <v>5.14</v>
      </c>
      <c r="Z1448" s="6">
        <v>1000</v>
      </c>
      <c r="AA1448" s="6">
        <v>1000</v>
      </c>
      <c r="AB1448" s="4" t="s">
        <v>13</v>
      </c>
    </row>
    <row r="1449" spans="1:28">
      <c r="A1449" s="3" t="s">
        <v>160</v>
      </c>
      <c r="B1449" s="24" t="s">
        <v>2186</v>
      </c>
      <c r="C1449" s="26" t="s">
        <v>2187</v>
      </c>
      <c r="D1449" s="4">
        <v>47</v>
      </c>
      <c r="E1449" s="3" t="s">
        <v>172</v>
      </c>
      <c r="F1449" s="3" t="s">
        <v>2188</v>
      </c>
      <c r="G1449" s="4">
        <v>53.7</v>
      </c>
      <c r="H1449" s="3" t="s">
        <v>173</v>
      </c>
      <c r="I1449" s="3" t="s">
        <v>2203</v>
      </c>
      <c r="J1449" s="4">
        <v>2</v>
      </c>
      <c r="K1449" s="4">
        <v>699.84169999999995</v>
      </c>
      <c r="L1449" s="4" t="str">
        <f>HYPERLINK("http://ms.phosphosite.org:5080/cgi-bin/plot-msms.cgi?MassType=1&amp;NumAxis=1&amp;Mod7=170&amp;Pep=VGSSNFRGGLGGGYG&amp;Dta=/var/www/html/dta/yong/23612.8738.2.dta&amp;Global_Mod=CS57.0215", "8738")</f>
        <v>8738</v>
      </c>
      <c r="M1449" s="4" t="str">
        <f>HYPERLINK("http://ms.phosphosite.org:5080/cgi-bin/plot-msms.cgi?MassType=1&amp;NumAxis=1&amp;Mod7=170&amp;Pep=VGSSNFRGGLGGGYG&amp;Dta=/var/www/html/dta/yong/23613.8785.2.dta&amp;Global_Mod=CS57.0215", "8785")</f>
        <v>8785</v>
      </c>
      <c r="N1449" s="5">
        <v>39.479999999999997</v>
      </c>
      <c r="O1449" s="5">
        <v>39.57</v>
      </c>
      <c r="P1449" s="5">
        <v>4.0730000000000004</v>
      </c>
      <c r="Q1449" s="5">
        <v>3.9369999999999998</v>
      </c>
      <c r="R1449" s="5">
        <v>0.27329999999999999</v>
      </c>
      <c r="S1449" s="5">
        <v>-0.1966</v>
      </c>
      <c r="T1449" s="5">
        <v>0.53639999999999999</v>
      </c>
      <c r="U1449" s="5">
        <v>0.5534</v>
      </c>
      <c r="V1449" s="4">
        <v>1</v>
      </c>
      <c r="W1449" s="4">
        <v>1</v>
      </c>
      <c r="X1449" s="5">
        <v>5.0999999999999996</v>
      </c>
      <c r="Y1449" s="5">
        <v>5.23</v>
      </c>
      <c r="Z1449" s="6">
        <v>1000</v>
      </c>
      <c r="AA1449" s="6">
        <v>1000</v>
      </c>
      <c r="AB1449" s="4" t="s">
        <v>13</v>
      </c>
    </row>
    <row r="1450" spans="1:28">
      <c r="A1450" s="3" t="s">
        <v>160</v>
      </c>
      <c r="B1450" s="24" t="s">
        <v>2186</v>
      </c>
      <c r="C1450" s="26" t="s">
        <v>2187</v>
      </c>
      <c r="D1450" s="4">
        <v>47</v>
      </c>
      <c r="E1450" s="3" t="s">
        <v>172</v>
      </c>
      <c r="F1450" s="3" t="s">
        <v>2188</v>
      </c>
      <c r="G1450" s="4">
        <v>53.7</v>
      </c>
      <c r="H1450" s="3" t="s">
        <v>173</v>
      </c>
      <c r="I1450" s="3" t="s">
        <v>2204</v>
      </c>
      <c r="J1450" s="4">
        <v>2</v>
      </c>
      <c r="K1450" s="4">
        <v>728.35239999999999</v>
      </c>
      <c r="L1450" s="4" t="str">
        <f>HYPERLINK("http://ms.phosphosite.org:5080/cgi-bin/plot-msms.cgi?MassType=1&amp;NumAxis=1&amp;Mod7=170&amp;Pep=VGSSNFRGGLGGGYGG&amp;Dta=/var/www/html/dta/yong/23612.8565.2.dta&amp;Global_Mod=CS57.0215", "8565")</f>
        <v>8565</v>
      </c>
      <c r="M1450" s="4" t="str">
        <f>HYPERLINK("http://ms.phosphosite.org:5080/cgi-bin/plot-msms.cgi?MassType=1&amp;NumAxis=1&amp;Mod7=170&amp;Pep=VGSSNFRGGLGGGYGG&amp;Dta=/var/www/html/dta/yong/23613.8602.2.dta&amp;Global_Mod=CS57.0215", "8602")</f>
        <v>8602</v>
      </c>
      <c r="N1450" s="5">
        <v>38.880000000000003</v>
      </c>
      <c r="O1450" s="5">
        <v>38.909999999999997</v>
      </c>
      <c r="P1450" s="5">
        <v>3.9830000000000001</v>
      </c>
      <c r="Q1450" s="5">
        <v>3.984</v>
      </c>
      <c r="R1450" s="5">
        <v>0.82779999999999998</v>
      </c>
      <c r="S1450" s="5">
        <v>0.8014</v>
      </c>
      <c r="T1450" s="5">
        <v>0.4884</v>
      </c>
      <c r="U1450" s="5">
        <v>0.47820000000000001</v>
      </c>
      <c r="V1450" s="4">
        <v>1</v>
      </c>
      <c r="W1450" s="4">
        <v>1</v>
      </c>
      <c r="X1450" s="5">
        <v>4.82</v>
      </c>
      <c r="Y1450" s="5">
        <v>4.87</v>
      </c>
      <c r="Z1450" s="6">
        <v>1000</v>
      </c>
      <c r="AA1450" s="6">
        <v>1000</v>
      </c>
      <c r="AB1450" s="4" t="s">
        <v>13</v>
      </c>
    </row>
    <row r="1451" spans="1:28">
      <c r="A1451" s="3" t="s">
        <v>160</v>
      </c>
      <c r="B1451" s="24" t="s">
        <v>2186</v>
      </c>
      <c r="C1451" s="26" t="s">
        <v>2187</v>
      </c>
      <c r="D1451" s="4">
        <v>47</v>
      </c>
      <c r="E1451" s="3" t="s">
        <v>172</v>
      </c>
      <c r="F1451" s="3" t="s">
        <v>2188</v>
      </c>
      <c r="G1451" s="4">
        <v>53.7</v>
      </c>
      <c r="H1451" s="3" t="s">
        <v>173</v>
      </c>
      <c r="I1451" s="3" t="s">
        <v>2205</v>
      </c>
      <c r="J1451" s="4">
        <v>2</v>
      </c>
      <c r="K1451" s="4">
        <v>763.87099999999998</v>
      </c>
      <c r="L1451" s="4" t="str">
        <f>HYPERLINK("http://ms.phosphosite.org:5080/cgi-bin/plot-msms.cgi?MassType=1&amp;NumAxis=1&amp;Mod7=170&amp;Pep=VGSSNFRGGLGGGYGGA&amp;Dta=/var/www/html/dta/yong/23612.8922.2.dta&amp;Global_Mod=CS57.0215", "8922")</f>
        <v>8922</v>
      </c>
      <c r="M1451" s="4" t="str">
        <f>HYPERLINK("http://ms.phosphosite.org:5080/cgi-bin/plot-msms.cgi?MassType=1&amp;NumAxis=1&amp;Mod7=170&amp;Pep=VGSSNFRGGLGGGYGGA&amp;Dta=/var/www/html/dta/yong/23613.8970.2.dta&amp;Global_Mod=CS57.0215", "8970")</f>
        <v>8970</v>
      </c>
      <c r="N1451" s="5">
        <v>40.15</v>
      </c>
      <c r="O1451" s="5">
        <v>40.24</v>
      </c>
      <c r="P1451" s="5">
        <v>4.3019999999999996</v>
      </c>
      <c r="Q1451" s="5">
        <v>4.8639999999999999</v>
      </c>
      <c r="R1451" s="5">
        <v>0.23910000000000001</v>
      </c>
      <c r="S1451" s="5">
        <v>-0.1047</v>
      </c>
      <c r="T1451" s="5">
        <v>0.48099999999999998</v>
      </c>
      <c r="U1451" s="5">
        <v>0.4919</v>
      </c>
      <c r="V1451" s="4">
        <v>1</v>
      </c>
      <c r="W1451" s="4">
        <v>1</v>
      </c>
      <c r="X1451" s="5">
        <v>4.8499999999999996</v>
      </c>
      <c r="Y1451" s="5">
        <v>5.09</v>
      </c>
      <c r="Z1451" s="6">
        <v>1000</v>
      </c>
      <c r="AA1451" s="6">
        <v>1000</v>
      </c>
      <c r="AB1451" s="4" t="s">
        <v>13</v>
      </c>
    </row>
    <row r="1452" spans="1:28">
      <c r="A1452" s="3" t="s">
        <v>160</v>
      </c>
      <c r="B1452" s="24" t="s">
        <v>2186</v>
      </c>
      <c r="C1452" s="26" t="s">
        <v>2187</v>
      </c>
      <c r="D1452" s="4">
        <v>47</v>
      </c>
      <c r="E1452" s="3" t="s">
        <v>172</v>
      </c>
      <c r="F1452" s="3" t="s">
        <v>2188</v>
      </c>
      <c r="G1452" s="4">
        <v>53.7</v>
      </c>
      <c r="H1452" s="3" t="s">
        <v>173</v>
      </c>
      <c r="I1452" s="3" t="s">
        <v>2206</v>
      </c>
      <c r="J1452" s="4">
        <v>2</v>
      </c>
      <c r="K1452" s="4">
        <v>807.38699999999994</v>
      </c>
      <c r="L1452" s="4" t="str">
        <f>HYPERLINK("http://ms.phosphosite.org:5080/cgi-bin/plot-msms.cgi?MassType=1&amp;NumAxis=1&amp;Mod7=170&amp;Pep=VGSSNFRGGLGGGYGGAS&amp;Dta=/var/www/html/dta/yong/23612.8450.2.dta&amp;Global_Mod=CS57.0215", "8450")</f>
        <v>8450</v>
      </c>
      <c r="M1452" s="4" t="str">
        <f>HYPERLINK("http://ms.phosphosite.org:5080/cgi-bin/plot-msms.cgi?MassType=1&amp;NumAxis=1&amp;Mod7=170&amp;Pep=VGSSNFRGGLGGGYGGAS&amp;Dta=/var/www/html/dta/yong/23613.8494.2.dta&amp;Global_Mod=CS57.0215", "8494")</f>
        <v>8494</v>
      </c>
      <c r="N1452" s="5">
        <v>38.46</v>
      </c>
      <c r="O1452" s="5">
        <v>38.549999999999997</v>
      </c>
      <c r="P1452" s="5">
        <v>4.4180000000000001</v>
      </c>
      <c r="Q1452" s="5">
        <v>4.0880000000000001</v>
      </c>
      <c r="R1452" s="5">
        <v>0.31159999999999999</v>
      </c>
      <c r="S1452" s="5">
        <v>0.33579999999999999</v>
      </c>
      <c r="T1452" s="5">
        <v>0.53910000000000002</v>
      </c>
      <c r="U1452" s="5">
        <v>0.4733</v>
      </c>
      <c r="V1452" s="4">
        <v>1</v>
      </c>
      <c r="W1452" s="4">
        <v>1</v>
      </c>
      <c r="X1452" s="5">
        <v>5.15</v>
      </c>
      <c r="Y1452" s="5">
        <v>4.8499999999999996</v>
      </c>
      <c r="Z1452" s="6">
        <v>1000</v>
      </c>
      <c r="AA1452" s="6">
        <v>1000</v>
      </c>
      <c r="AB1452" s="4" t="s">
        <v>13</v>
      </c>
    </row>
    <row r="1453" spans="1:28">
      <c r="A1453" s="3" t="s">
        <v>160</v>
      </c>
      <c r="B1453" s="24" t="s">
        <v>2186</v>
      </c>
      <c r="C1453" s="26" t="s">
        <v>2187</v>
      </c>
      <c r="D1453" s="4">
        <v>47</v>
      </c>
      <c r="E1453" s="3" t="s">
        <v>172</v>
      </c>
      <c r="F1453" s="3" t="s">
        <v>2188</v>
      </c>
      <c r="G1453" s="4">
        <v>53.7</v>
      </c>
      <c r="H1453" s="3" t="s">
        <v>173</v>
      </c>
      <c r="I1453" s="3" t="s">
        <v>2207</v>
      </c>
      <c r="J1453" s="4">
        <v>2</v>
      </c>
      <c r="K1453" s="4">
        <v>835.89769999999999</v>
      </c>
      <c r="L1453" s="4" t="str">
        <f>HYPERLINK("http://ms.phosphosite.org:5080/cgi-bin/plot-msms.cgi?MassType=1&amp;NumAxis=1&amp;Mod7=170&amp;Pep=VGSSNFRGGLGGGYGGASG&amp;Dta=/var/www/html/dta/yong/23612.8416.2.dta&amp;Global_Mod=CS57.0215", "8416")</f>
        <v>8416</v>
      </c>
      <c r="M1453" s="4" t="str">
        <f>HYPERLINK("http://ms.phosphosite.org:5080/cgi-bin/plot-msms.cgi?MassType=1&amp;NumAxis=1&amp;Mod7=170&amp;Pep=VGSSNFRGGLGGGYGGASG&amp;Dta=/var/www/html/dta/yong/23613.8456.2.dta&amp;Global_Mod=CS57.0215", "8456")</f>
        <v>8456</v>
      </c>
      <c r="N1453" s="5">
        <v>38.36</v>
      </c>
      <c r="O1453" s="5">
        <v>38.42</v>
      </c>
      <c r="P1453" s="5">
        <v>4.1239999999999997</v>
      </c>
      <c r="Q1453" s="5">
        <v>4.4480000000000004</v>
      </c>
      <c r="R1453" s="5">
        <v>0.54390000000000005</v>
      </c>
      <c r="S1453" s="5">
        <v>0.59540000000000004</v>
      </c>
      <c r="T1453" s="5">
        <v>0.42409999999999998</v>
      </c>
      <c r="U1453" s="5">
        <v>0.4824</v>
      </c>
      <c r="V1453" s="4">
        <v>1</v>
      </c>
      <c r="W1453" s="4">
        <v>1</v>
      </c>
      <c r="X1453" s="5">
        <v>4.51</v>
      </c>
      <c r="Y1453" s="5">
        <v>4.96</v>
      </c>
      <c r="Z1453" s="6">
        <v>1000</v>
      </c>
      <c r="AA1453" s="6">
        <v>1000</v>
      </c>
      <c r="AB1453" s="4" t="s">
        <v>13</v>
      </c>
    </row>
    <row r="1454" spans="1:28">
      <c r="A1454" s="3" t="s">
        <v>160</v>
      </c>
      <c r="B1454" s="24" t="s">
        <v>2186</v>
      </c>
      <c r="C1454" s="26" t="s">
        <v>2187</v>
      </c>
      <c r="D1454" s="4">
        <v>47</v>
      </c>
      <c r="E1454" s="3" t="s">
        <v>172</v>
      </c>
      <c r="F1454" s="3" t="s">
        <v>2188</v>
      </c>
      <c r="G1454" s="4">
        <v>53.7</v>
      </c>
      <c r="H1454" s="3" t="s">
        <v>173</v>
      </c>
      <c r="I1454" s="3" t="s">
        <v>2208</v>
      </c>
      <c r="J1454" s="4">
        <v>2</v>
      </c>
      <c r="K1454" s="4">
        <v>901.41790000000003</v>
      </c>
      <c r="L1454" s="4" t="str">
        <f>HYPERLINK("http://ms.phosphosite.org:5080/cgi-bin/plot-msms.cgi?MassType=1&amp;NumAxis=1&amp;Mod7=170&amp;Pep=VGSSNFRGGLGGGYGGASGM&amp;Dta=/var/www/html/dta/yong/23612.10472.2.dta&amp;Global_Mod=CS57.0215", "10472")</f>
        <v>10472</v>
      </c>
      <c r="M1454" s="4" t="str">
        <f>HYPERLINK("http://ms.phosphosite.org:5080/cgi-bin/plot-msms.cgi?MassType=1&amp;NumAxis=1&amp;Mod7=170&amp;Pep=VGSSNFRGGLGGGYGGASGM&amp;Dta=/var/www/html/dta/yong/23613.10534.2.dta&amp;Global_Mod=CS57.0215", "10534")</f>
        <v>10534</v>
      </c>
      <c r="N1454" s="5">
        <v>45.61</v>
      </c>
      <c r="O1454" s="5">
        <v>45.58</v>
      </c>
      <c r="P1454" s="5">
        <v>4.8680000000000003</v>
      </c>
      <c r="Q1454" s="5">
        <v>5.1929999999999996</v>
      </c>
      <c r="R1454" s="5">
        <v>1.1462000000000001</v>
      </c>
      <c r="S1454" s="5">
        <v>0.69879999999999998</v>
      </c>
      <c r="T1454" s="5">
        <v>0.5081</v>
      </c>
      <c r="U1454" s="5">
        <v>0.52949999999999997</v>
      </c>
      <c r="V1454" s="4">
        <v>1</v>
      </c>
      <c r="W1454" s="4">
        <v>1</v>
      </c>
      <c r="X1454" s="5">
        <v>5.03</v>
      </c>
      <c r="Y1454" s="5">
        <v>5.32</v>
      </c>
      <c r="Z1454" s="6">
        <v>1000</v>
      </c>
      <c r="AA1454" s="6">
        <v>1000</v>
      </c>
      <c r="AB1454" s="4" t="s">
        <v>13</v>
      </c>
    </row>
    <row r="1455" spans="1:28">
      <c r="A1455" s="3" t="s">
        <v>160</v>
      </c>
      <c r="B1455" s="24" t="s">
        <v>2186</v>
      </c>
      <c r="C1455" s="26" t="s">
        <v>2187</v>
      </c>
      <c r="D1455" s="4">
        <v>47</v>
      </c>
      <c r="E1455" s="3" t="s">
        <v>172</v>
      </c>
      <c r="F1455" s="3" t="s">
        <v>2188</v>
      </c>
      <c r="G1455" s="4">
        <v>53.7</v>
      </c>
      <c r="H1455" s="3" t="s">
        <v>173</v>
      </c>
      <c r="I1455" s="3" t="s">
        <v>2209</v>
      </c>
      <c r="J1455" s="4">
        <v>2</v>
      </c>
      <c r="K1455" s="4">
        <v>909.41539999999998</v>
      </c>
      <c r="L1455" s="4" t="str">
        <f>HYPERLINK("http://ms.phosphosite.org:5080/cgi-bin/plot-msms.cgi?MassType=1&amp;NumAxis=1&amp;Mod7=170&amp;Mod20=147&amp;Pep=VGSSNFRGGLGGGYGGASGM&amp;Dta=/var/www/html/dta/yong/23612.8435.2.dta&amp;Global_Mod=CS57.0215", "8435")</f>
        <v>8435</v>
      </c>
      <c r="M1455" s="4" t="str">
        <f>HYPERLINK("http://ms.phosphosite.org:5080/cgi-bin/plot-msms.cgi?MassType=1&amp;NumAxis=1&amp;Mod7=170&amp;Mod20=147&amp;Pep=VGSSNFRGGLGGGYGGASGM&amp;Dta=/var/www/html/dta/yong/23613.8476.2.dta&amp;Global_Mod=CS57.0215", "8476")</f>
        <v>8476</v>
      </c>
      <c r="N1455" s="5">
        <v>38.409999999999997</v>
      </c>
      <c r="O1455" s="5">
        <v>38.49</v>
      </c>
      <c r="P1455" s="5">
        <v>5.1379999999999999</v>
      </c>
      <c r="Q1455" s="5">
        <v>5.3959999999999999</v>
      </c>
      <c r="R1455" s="5">
        <v>0.70820000000000005</v>
      </c>
      <c r="S1455" s="5">
        <v>0.87739999999999996</v>
      </c>
      <c r="T1455" s="5">
        <v>0.60329999999999995</v>
      </c>
      <c r="U1455" s="5">
        <v>0.62470000000000003</v>
      </c>
      <c r="V1455" s="4">
        <v>1</v>
      </c>
      <c r="W1455" s="4">
        <v>1</v>
      </c>
      <c r="X1455" s="5">
        <v>5.57</v>
      </c>
      <c r="Y1455" s="5">
        <v>5.82</v>
      </c>
      <c r="Z1455" s="6">
        <v>1000</v>
      </c>
      <c r="AA1455" s="6">
        <v>1000</v>
      </c>
      <c r="AB1455" s="4" t="s">
        <v>13</v>
      </c>
    </row>
    <row r="1456" spans="1:28">
      <c r="A1456" s="3" t="s">
        <v>160</v>
      </c>
      <c r="B1456" s="24" t="s">
        <v>2186</v>
      </c>
      <c r="C1456" s="26" t="s">
        <v>2187</v>
      </c>
      <c r="D1456" s="4">
        <v>47</v>
      </c>
      <c r="E1456" s="3" t="s">
        <v>172</v>
      </c>
      <c r="F1456" s="3" t="s">
        <v>2188</v>
      </c>
      <c r="G1456" s="4">
        <v>53.7</v>
      </c>
      <c r="H1456" s="3" t="s">
        <v>173</v>
      </c>
      <c r="I1456" s="3" t="s">
        <v>2209</v>
      </c>
      <c r="J1456" s="4">
        <v>3</v>
      </c>
      <c r="K1456" s="4">
        <v>606.61270000000002</v>
      </c>
      <c r="L1456" s="4" t="str">
        <f>HYPERLINK("http://ms.phosphosite.org:5080/cgi-bin/plot-msms.cgi?MassType=1&amp;NumAxis=1&amp;Mod7=170&amp;Mod20=147&amp;Pep=VGSSNFRGGLGGGYGGASGM&amp;Dta=/var/www/html/dta/yong/23612.8448.3.dta&amp;Global_Mod=CS57.0215", "8448")</f>
        <v>8448</v>
      </c>
      <c r="M1456" s="4" t="str">
        <f>HYPERLINK("http://ms.phosphosite.org:5080/cgi-bin/plot-msms.cgi?MassType=1&amp;NumAxis=1&amp;Mod7=170&amp;Mod20=147&amp;Pep=VGSSNFRGGLGGGYGGASGM&amp;Dta=/var/www/html/dta/yong/23613.8482.3.dta&amp;Global_Mod=CS57.0215", "8482")</f>
        <v>8482</v>
      </c>
      <c r="N1456" s="5">
        <v>38.450000000000003</v>
      </c>
      <c r="O1456" s="5">
        <v>38.5</v>
      </c>
      <c r="P1456" s="5">
        <v>2.2309999999999999</v>
      </c>
      <c r="Q1456" s="5">
        <v>1.9630000000000001</v>
      </c>
      <c r="R1456" s="5">
        <v>0.41930000000000001</v>
      </c>
      <c r="S1456" s="5">
        <v>0.43230000000000002</v>
      </c>
      <c r="T1456" s="5">
        <v>0.30740000000000001</v>
      </c>
      <c r="U1456" s="5">
        <v>0.18160000000000001</v>
      </c>
      <c r="V1456" s="4">
        <v>1</v>
      </c>
      <c r="W1456" s="4">
        <v>27</v>
      </c>
      <c r="X1456" s="5">
        <v>3.62</v>
      </c>
      <c r="Y1456" s="5">
        <v>2.99</v>
      </c>
      <c r="Z1456" s="6">
        <v>1000</v>
      </c>
      <c r="AA1456" s="6">
        <v>1000</v>
      </c>
      <c r="AB1456" s="4" t="s">
        <v>13</v>
      </c>
    </row>
    <row r="1457" spans="1:28">
      <c r="A1457" s="3" t="s">
        <v>160</v>
      </c>
      <c r="B1457" s="24" t="s">
        <v>2186</v>
      </c>
      <c r="C1457" s="26" t="s">
        <v>2187</v>
      </c>
      <c r="D1457" s="4">
        <v>47</v>
      </c>
      <c r="E1457" s="3" t="s">
        <v>172</v>
      </c>
      <c r="F1457" s="3" t="s">
        <v>2188</v>
      </c>
      <c r="G1457" s="4">
        <v>53.7</v>
      </c>
      <c r="H1457" s="3" t="s">
        <v>173</v>
      </c>
      <c r="I1457" s="3" t="s">
        <v>2209</v>
      </c>
      <c r="J1457" s="4">
        <v>3</v>
      </c>
      <c r="K1457" s="4">
        <v>606.61270000000002</v>
      </c>
      <c r="L1457" s="4" t="str">
        <f>HYPERLINK("http://ms.phosphosite.org:5080/cgi-bin/plot-msms.cgi?MassType=1&amp;NumAxis=1&amp;Mod7=170&amp;Mod20=147&amp;Pep=VGSSNFRGGLGGGYGGASGM&amp;Dta=/var/www/html/dta/yong/23612.8445.3.dta&amp;Global_Mod=CS57.0215", "8445")</f>
        <v>8445</v>
      </c>
      <c r="M1457" s="4"/>
      <c r="N1457" s="5">
        <v>38.44</v>
      </c>
      <c r="O1457" s="5"/>
      <c r="P1457" s="5">
        <v>1.917</v>
      </c>
      <c r="Q1457" s="5"/>
      <c r="R1457" s="5">
        <v>0.3024</v>
      </c>
      <c r="S1457" s="5"/>
      <c r="T1457" s="5">
        <v>0.30959999999999999</v>
      </c>
      <c r="U1457" s="5"/>
      <c r="V1457" s="4">
        <v>1</v>
      </c>
      <c r="W1457" s="4"/>
      <c r="X1457" s="5">
        <v>3.57</v>
      </c>
      <c r="Y1457" s="5"/>
      <c r="Z1457" s="6">
        <v>1000</v>
      </c>
      <c r="AA1457" s="6"/>
      <c r="AB1457" s="4" t="s">
        <v>13</v>
      </c>
    </row>
    <row r="1458" spans="1:28">
      <c r="A1458" s="3" t="s">
        <v>160</v>
      </c>
      <c r="B1458" s="24" t="s">
        <v>2186</v>
      </c>
      <c r="C1458" s="26" t="s">
        <v>2187</v>
      </c>
      <c r="D1458" s="4">
        <v>47</v>
      </c>
      <c r="E1458" s="3" t="s">
        <v>172</v>
      </c>
      <c r="F1458" s="3" t="s">
        <v>2188</v>
      </c>
      <c r="G1458" s="4">
        <v>53.7</v>
      </c>
      <c r="H1458" s="3" t="s">
        <v>173</v>
      </c>
      <c r="I1458" s="3" t="s">
        <v>2210</v>
      </c>
      <c r="J1458" s="4">
        <v>2</v>
      </c>
      <c r="K1458" s="4">
        <v>937.92610000000002</v>
      </c>
      <c r="L1458" s="4" t="str">
        <f>HYPERLINK("http://ms.phosphosite.org:5080/cgi-bin/plot-msms.cgi?MassType=1&amp;NumAxis=1&amp;Mod7=170&amp;Mod20=147&amp;Pep=VGSSNFRGGLGGGYGGASGMG&amp;Dta=/var/www/html/dta/yong/23612.8332.2.dta&amp;Global_Mod=CS57.0215", "8332")</f>
        <v>8332</v>
      </c>
      <c r="M1458" s="4" t="str">
        <f>HYPERLINK("http://ms.phosphosite.org:5080/cgi-bin/plot-msms.cgi?MassType=1&amp;NumAxis=1&amp;Mod7=170&amp;Mod20=147&amp;Pep=VGSSNFRGGLGGGYGGASGMG&amp;Dta=/var/www/html/dta/yong/23613.8377.2.dta&amp;Global_Mod=CS57.0215", "8377")</f>
        <v>8377</v>
      </c>
      <c r="N1458" s="5">
        <v>38.049999999999997</v>
      </c>
      <c r="O1458" s="5">
        <v>38.130000000000003</v>
      </c>
      <c r="P1458" s="5">
        <v>5.1829999999999998</v>
      </c>
      <c r="Q1458" s="5">
        <v>5.3639999999999999</v>
      </c>
      <c r="R1458" s="5">
        <v>1.3859999999999999</v>
      </c>
      <c r="S1458" s="5">
        <v>1.4448000000000001</v>
      </c>
      <c r="T1458" s="5">
        <v>0.57120000000000004</v>
      </c>
      <c r="U1458" s="5">
        <v>0.58160000000000001</v>
      </c>
      <c r="V1458" s="4">
        <v>1</v>
      </c>
      <c r="W1458" s="4">
        <v>1</v>
      </c>
      <c r="X1458" s="5">
        <v>5.37</v>
      </c>
      <c r="Y1458" s="5">
        <v>5.56</v>
      </c>
      <c r="Z1458" s="6">
        <v>1000</v>
      </c>
      <c r="AA1458" s="6">
        <v>1000</v>
      </c>
      <c r="AB1458" s="4" t="s">
        <v>13</v>
      </c>
    </row>
    <row r="1459" spans="1:28">
      <c r="A1459" s="3" t="s">
        <v>160</v>
      </c>
      <c r="B1459" s="24" t="s">
        <v>2186</v>
      </c>
      <c r="C1459" s="26" t="s">
        <v>2187</v>
      </c>
      <c r="D1459" s="4">
        <v>47</v>
      </c>
      <c r="E1459" s="3" t="s">
        <v>172</v>
      </c>
      <c r="F1459" s="3" t="s">
        <v>2188</v>
      </c>
      <c r="G1459" s="4">
        <v>53.7</v>
      </c>
      <c r="H1459" s="3" t="s">
        <v>173</v>
      </c>
      <c r="I1459" s="3" t="s">
        <v>2211</v>
      </c>
      <c r="J1459" s="4">
        <v>2</v>
      </c>
      <c r="K1459" s="4">
        <v>966.43690000000004</v>
      </c>
      <c r="L1459" s="4" t="str">
        <f>HYPERLINK("http://ms.phosphosite.org:5080/cgi-bin/plot-msms.cgi?MassType=1&amp;NumAxis=1&amp;Mod7=170&amp;Mod20=147&amp;Pep=VGSSNFRGGLGGGYGGASGMGG&amp;Dta=/var/www/html/dta/yong/23612.8274.2.dta&amp;Global_Mod=CS57.0215", "8274")</f>
        <v>8274</v>
      </c>
      <c r="M1459" s="4" t="str">
        <f>HYPERLINK("http://ms.phosphosite.org:5080/cgi-bin/plot-msms.cgi?MassType=1&amp;NumAxis=1&amp;Mod7=170&amp;Mod20=147&amp;Pep=VGSSNFRGGLGGGYGGASGMGG&amp;Dta=/var/www/html/dta/yong/23613.8318.2.dta&amp;Global_Mod=CS57.0215", "8318")</f>
        <v>8318</v>
      </c>
      <c r="N1459" s="5">
        <v>37.82</v>
      </c>
      <c r="O1459" s="5">
        <v>37.9</v>
      </c>
      <c r="P1459" s="5">
        <v>5.3570000000000002</v>
      </c>
      <c r="Q1459" s="5">
        <v>5.2460000000000004</v>
      </c>
      <c r="R1459" s="5">
        <v>0.87980000000000003</v>
      </c>
      <c r="S1459" s="5">
        <v>0.85880000000000001</v>
      </c>
      <c r="T1459" s="5">
        <v>0.64159999999999995</v>
      </c>
      <c r="U1459" s="5">
        <v>0.57320000000000004</v>
      </c>
      <c r="V1459" s="4">
        <v>1</v>
      </c>
      <c r="W1459" s="4">
        <v>1</v>
      </c>
      <c r="X1459" s="5">
        <v>5.77</v>
      </c>
      <c r="Y1459" s="5">
        <v>5.52</v>
      </c>
      <c r="Z1459" s="6">
        <v>1000</v>
      </c>
      <c r="AA1459" s="6">
        <v>1000</v>
      </c>
      <c r="AB1459" s="4" t="s">
        <v>13</v>
      </c>
    </row>
    <row r="1460" spans="1:28">
      <c r="A1460" s="3" t="s">
        <v>160</v>
      </c>
      <c r="B1460" s="24" t="s">
        <v>2186</v>
      </c>
      <c r="C1460" s="26" t="s">
        <v>2187</v>
      </c>
      <c r="D1460" s="4">
        <v>47</v>
      </c>
      <c r="E1460" s="3" t="s">
        <v>172</v>
      </c>
      <c r="F1460" s="3" t="s">
        <v>2188</v>
      </c>
      <c r="G1460" s="4">
        <v>53.7</v>
      </c>
      <c r="H1460" s="3" t="s">
        <v>173</v>
      </c>
      <c r="I1460" s="3" t="s">
        <v>178</v>
      </c>
      <c r="J1460" s="4">
        <v>2</v>
      </c>
      <c r="K1460" s="4">
        <v>1022.9789</v>
      </c>
      <c r="L1460" s="4" t="str">
        <f>HYPERLINK("http://ms.phosphosite.org:5080/cgi-bin/plot-msms.cgi?MassType=1&amp;NumAxis=1&amp;Mod7=170&amp;Mod20=147&amp;Pep=VGSSNFRGGLGGGYGGASGMGGI&amp;Dta=/var/www/html/dta/yong/23612.11282.2.dta&amp;Global_Mod=CS57.0215", "11282")</f>
        <v>11282</v>
      </c>
      <c r="M1460" s="4" t="str">
        <f>HYPERLINK("http://ms.phosphosite.org:5080/cgi-bin/plot-msms.cgi?MassType=1&amp;NumAxis=1&amp;Mod7=170&amp;Mod20=147&amp;Pep=VGSSNFRGGLGGGYGGASGMGGI&amp;Dta=/var/www/html/dta/yong/23613.10915.2.dta&amp;Global_Mod=CS57.0215", "10915")</f>
        <v>10915</v>
      </c>
      <c r="N1460" s="5">
        <v>48.4</v>
      </c>
      <c r="O1460" s="5">
        <v>46.9</v>
      </c>
      <c r="P1460" s="5">
        <v>4.3470000000000004</v>
      </c>
      <c r="Q1460" s="5">
        <v>5.3330000000000002</v>
      </c>
      <c r="R1460" s="5">
        <v>1.147</v>
      </c>
      <c r="S1460" s="5">
        <v>1.0130999999999999</v>
      </c>
      <c r="T1460" s="5">
        <v>0.53669999999999995</v>
      </c>
      <c r="U1460" s="5">
        <v>0.53500000000000003</v>
      </c>
      <c r="V1460" s="4">
        <v>1</v>
      </c>
      <c r="W1460" s="4">
        <v>1</v>
      </c>
      <c r="X1460" s="5">
        <v>5.03</v>
      </c>
      <c r="Y1460" s="5">
        <v>5.32</v>
      </c>
      <c r="Z1460" s="6">
        <v>1000</v>
      </c>
      <c r="AA1460" s="6">
        <v>1000</v>
      </c>
      <c r="AB1460" s="4" t="s">
        <v>13</v>
      </c>
    </row>
    <row r="1461" spans="1:28">
      <c r="A1461" s="3" t="s">
        <v>160</v>
      </c>
      <c r="B1461" s="24" t="s">
        <v>2186</v>
      </c>
      <c r="C1461" s="26" t="s">
        <v>2187</v>
      </c>
      <c r="D1461" s="4">
        <v>47</v>
      </c>
      <c r="E1461" s="3" t="s">
        <v>172</v>
      </c>
      <c r="F1461" s="3" t="s">
        <v>2188</v>
      </c>
      <c r="G1461" s="4">
        <v>53.7</v>
      </c>
      <c r="H1461" s="3" t="s">
        <v>173</v>
      </c>
      <c r="I1461" s="3" t="s">
        <v>178</v>
      </c>
      <c r="J1461" s="4">
        <v>2</v>
      </c>
      <c r="K1461" s="4">
        <v>1022.9789</v>
      </c>
      <c r="L1461" s="4" t="str">
        <f>HYPERLINK("http://ms.phosphosite.org:5080/cgi-bin/plot-msms.cgi?MassType=1&amp;NumAxis=1&amp;Mod7=170&amp;Mod20=147&amp;Pep=VGSSNFRGGLGGGYGGASGMGGI&amp;Dta=/var/www/html/dta/yong/23612.10831.2.dta&amp;Global_Mod=CS57.0215", "10831")</f>
        <v>10831</v>
      </c>
      <c r="M1461" s="4" t="str">
        <f>HYPERLINK("http://ms.phosphosite.org:5080/cgi-bin/plot-msms.cgi?MassType=1&amp;NumAxis=1&amp;Mod7=170&amp;Mod20=147&amp;Pep=VGSSNFRGGLGGGYGGASGMGGI&amp;Dta=/var/www/html/dta/yong/23613.11111.2.dta&amp;Global_Mod=CS57.0215", "11111")</f>
        <v>11111</v>
      </c>
      <c r="N1461" s="5">
        <v>46.86</v>
      </c>
      <c r="O1461" s="5">
        <v>47.57</v>
      </c>
      <c r="P1461" s="5">
        <v>5.0049999999999999</v>
      </c>
      <c r="Q1461" s="5">
        <v>4.8780000000000001</v>
      </c>
      <c r="R1461" s="5">
        <v>1.0486</v>
      </c>
      <c r="S1461" s="5">
        <v>1.1174999999999999</v>
      </c>
      <c r="T1461" s="5">
        <v>0.51049999999999995</v>
      </c>
      <c r="U1461" s="5">
        <v>0.50270000000000004</v>
      </c>
      <c r="V1461" s="4">
        <v>1</v>
      </c>
      <c r="W1461" s="4">
        <v>1</v>
      </c>
      <c r="X1461" s="5">
        <v>5.04</v>
      </c>
      <c r="Y1461" s="5">
        <v>5.07</v>
      </c>
      <c r="Z1461" s="6">
        <v>1000</v>
      </c>
      <c r="AA1461" s="6">
        <v>1000</v>
      </c>
      <c r="AB1461" s="4" t="s">
        <v>13</v>
      </c>
    </row>
    <row r="1462" spans="1:28">
      <c r="A1462" s="3" t="s">
        <v>160</v>
      </c>
      <c r="B1462" s="24" t="s">
        <v>2186</v>
      </c>
      <c r="C1462" s="26" t="s">
        <v>2187</v>
      </c>
      <c r="D1462" s="4">
        <v>47</v>
      </c>
      <c r="E1462" s="3" t="s">
        <v>172</v>
      </c>
      <c r="F1462" s="3" t="s">
        <v>2188</v>
      </c>
      <c r="G1462" s="4">
        <v>53.7</v>
      </c>
      <c r="H1462" s="3" t="s">
        <v>173</v>
      </c>
      <c r="I1462" s="3" t="s">
        <v>178</v>
      </c>
      <c r="J1462" s="4">
        <v>2</v>
      </c>
      <c r="K1462" s="4">
        <v>1022.9789</v>
      </c>
      <c r="L1462" s="4" t="str">
        <f>HYPERLINK("http://ms.phosphosite.org:5080/cgi-bin/plot-msms.cgi?MassType=1&amp;NumAxis=1&amp;Mod7=170&amp;Mod20=147&amp;Pep=VGSSNFRGGLGGGYGGASGMGGI&amp;Dta=/var/www/html/dta/yong/23612.11346.2.dta&amp;Global_Mod=CS57.0215", "11346")</f>
        <v>11346</v>
      </c>
      <c r="M1462" s="4" t="str">
        <f>HYPERLINK("http://ms.phosphosite.org:5080/cgi-bin/plot-msms.cgi?MassType=1&amp;NumAxis=1&amp;Mod7=170&amp;Mod20=147&amp;Pep=VGSSNFRGGLGGGYGGASGMGGI&amp;Dta=/var/www/html/dta/yong/23613.11419.2.dta&amp;Global_Mod=CS57.0215", "11419")</f>
        <v>11419</v>
      </c>
      <c r="N1462" s="5">
        <v>48.62</v>
      </c>
      <c r="O1462" s="5">
        <v>48.59</v>
      </c>
      <c r="P1462" s="5">
        <v>4.8479999999999999</v>
      </c>
      <c r="Q1462" s="5">
        <v>4.0270000000000001</v>
      </c>
      <c r="R1462" s="5">
        <v>1.1696</v>
      </c>
      <c r="S1462" s="5">
        <v>1.0688</v>
      </c>
      <c r="T1462" s="5">
        <v>0.48949999999999999</v>
      </c>
      <c r="U1462" s="5">
        <v>0.48139999999999999</v>
      </c>
      <c r="V1462" s="4">
        <v>1</v>
      </c>
      <c r="W1462" s="4">
        <v>1</v>
      </c>
      <c r="X1462" s="5">
        <v>4.8899999999999997</v>
      </c>
      <c r="Y1462" s="5">
        <v>4.79</v>
      </c>
      <c r="Z1462" s="6">
        <v>1000</v>
      </c>
      <c r="AA1462" s="6">
        <v>1000</v>
      </c>
      <c r="AB1462" s="4" t="s">
        <v>13</v>
      </c>
    </row>
    <row r="1463" spans="1:28">
      <c r="A1463" s="3" t="s">
        <v>160</v>
      </c>
      <c r="B1463" s="24" t="s">
        <v>2186</v>
      </c>
      <c r="C1463" s="26" t="s">
        <v>2187</v>
      </c>
      <c r="D1463" s="4">
        <v>47</v>
      </c>
      <c r="E1463" s="3" t="s">
        <v>172</v>
      </c>
      <c r="F1463" s="3" t="s">
        <v>2188</v>
      </c>
      <c r="G1463" s="4">
        <v>53.7</v>
      </c>
      <c r="H1463" s="3" t="s">
        <v>173</v>
      </c>
      <c r="I1463" s="3" t="s">
        <v>178</v>
      </c>
      <c r="J1463" s="4">
        <v>2</v>
      </c>
      <c r="K1463" s="4">
        <v>1022.9789</v>
      </c>
      <c r="L1463" s="4" t="str">
        <f>HYPERLINK("http://ms.phosphosite.org:5080/cgi-bin/plot-msms.cgi?MassType=1&amp;NumAxis=1&amp;Mod7=170&amp;Mod20=147&amp;Pep=VGSSNFRGGLGGGYGGASGMGGI&amp;Dta=/var/www/html/dta/yong/23612.11045.2.dta&amp;Global_Mod=CS57.0215", "11045")</f>
        <v>11045</v>
      </c>
      <c r="M1463" s="4" t="str">
        <f>HYPERLINK("http://ms.phosphosite.org:5080/cgi-bin/plot-msms.cgi?MassType=1&amp;NumAxis=1&amp;Mod7=170&amp;Mod20=147&amp;Pep=VGSSNFRGGLGGGYGGASGMGGI&amp;Dta=/var/www/html/dta/yong/23613.11437.2.dta&amp;Global_Mod=CS57.0215", "11437")</f>
        <v>11437</v>
      </c>
      <c r="N1463" s="5">
        <v>47.61</v>
      </c>
      <c r="O1463" s="5">
        <v>48.66</v>
      </c>
      <c r="P1463" s="5">
        <v>4.5970000000000004</v>
      </c>
      <c r="Q1463" s="5">
        <v>4.4660000000000002</v>
      </c>
      <c r="R1463" s="5">
        <v>1.2294</v>
      </c>
      <c r="S1463" s="5">
        <v>1.1364000000000001</v>
      </c>
      <c r="T1463" s="5">
        <v>0.42670000000000002</v>
      </c>
      <c r="U1463" s="5">
        <v>0.378</v>
      </c>
      <c r="V1463" s="4">
        <v>1</v>
      </c>
      <c r="W1463" s="4">
        <v>1</v>
      </c>
      <c r="X1463" s="5">
        <v>4.53</v>
      </c>
      <c r="Y1463" s="5">
        <v>4.37</v>
      </c>
      <c r="Z1463" s="6">
        <v>1000</v>
      </c>
      <c r="AA1463" s="6">
        <v>1000</v>
      </c>
      <c r="AB1463" s="4" t="s">
        <v>13</v>
      </c>
    </row>
    <row r="1464" spans="1:28">
      <c r="A1464" s="3" t="s">
        <v>160</v>
      </c>
      <c r="B1464" s="24" t="s">
        <v>2186</v>
      </c>
      <c r="C1464" s="26" t="s">
        <v>2187</v>
      </c>
      <c r="D1464" s="4">
        <v>47</v>
      </c>
      <c r="E1464" s="3" t="s">
        <v>172</v>
      </c>
      <c r="F1464" s="3" t="s">
        <v>2188</v>
      </c>
      <c r="G1464" s="4">
        <v>53.7</v>
      </c>
      <c r="H1464" s="3" t="s">
        <v>173</v>
      </c>
      <c r="I1464" s="3" t="s">
        <v>178</v>
      </c>
      <c r="J1464" s="4">
        <v>3</v>
      </c>
      <c r="K1464" s="4">
        <v>682.32169999999996</v>
      </c>
      <c r="L1464" s="4" t="str">
        <f>HYPERLINK("http://ms.phosphosite.org:5080/cgi-bin/plot-msms.cgi?MassType=1&amp;NumAxis=1&amp;Mod7=170&amp;Mod20=147&amp;Pep=VGSSNFRGGLGGGYGGASGMGGI&amp;Dta=/var/www/html/dta/yong/23612.10828.3.dta&amp;Global_Mod=CS57.0215", "10828")</f>
        <v>10828</v>
      </c>
      <c r="M1464" s="4" t="str">
        <f>HYPERLINK("http://ms.phosphosite.org:5080/cgi-bin/plot-msms.cgi?MassType=1&amp;NumAxis=1&amp;Mod7=170&amp;Mod20=147&amp;Pep=VGSSNFRGGLGGGYGGASGMGGI&amp;Dta=/var/www/html/dta/yong/23613.11003.3.dta&amp;Global_Mod=CS57.0215", "11003")</f>
        <v>11003</v>
      </c>
      <c r="N1464" s="5">
        <v>46.86</v>
      </c>
      <c r="O1464" s="5">
        <v>47.22</v>
      </c>
      <c r="P1464" s="5">
        <v>2.677</v>
      </c>
      <c r="Q1464" s="5">
        <v>2.8130000000000002</v>
      </c>
      <c r="R1464" s="5">
        <v>0.36220000000000002</v>
      </c>
      <c r="S1464" s="5">
        <v>0.2838</v>
      </c>
      <c r="T1464" s="5">
        <v>0.30459999999999998</v>
      </c>
      <c r="U1464" s="5">
        <v>0.39660000000000001</v>
      </c>
      <c r="V1464" s="4">
        <v>11</v>
      </c>
      <c r="W1464" s="4">
        <v>4</v>
      </c>
      <c r="X1464" s="5">
        <v>3.65</v>
      </c>
      <c r="Y1464" s="5">
        <v>4.1900000000000004</v>
      </c>
      <c r="Z1464" s="6">
        <v>1000</v>
      </c>
      <c r="AA1464" s="6">
        <v>1000</v>
      </c>
      <c r="AB1464" s="4" t="s">
        <v>13</v>
      </c>
    </row>
    <row r="1465" spans="1:28">
      <c r="A1465" s="3" t="s">
        <v>160</v>
      </c>
      <c r="B1465" s="24" t="s">
        <v>2186</v>
      </c>
      <c r="C1465" s="26" t="s">
        <v>2187</v>
      </c>
      <c r="D1465" s="4">
        <v>47</v>
      </c>
      <c r="E1465" s="3" t="s">
        <v>172</v>
      </c>
      <c r="F1465" s="3" t="s">
        <v>2188</v>
      </c>
      <c r="G1465" s="4">
        <v>53.7</v>
      </c>
      <c r="H1465" s="3" t="s">
        <v>173</v>
      </c>
      <c r="I1465" s="3" t="s">
        <v>2212</v>
      </c>
      <c r="J1465" s="4">
        <v>2</v>
      </c>
      <c r="K1465" s="4">
        <v>1073.5027</v>
      </c>
      <c r="L1465" s="4" t="str">
        <f>HYPERLINK("http://ms.phosphosite.org:5080/cgi-bin/plot-msms.cgi?MassType=1&amp;NumAxis=1&amp;Mod7=170&amp;Mod20=147&amp;Pep=VGSSNFRGGLGGGYGGASGMGGIT&amp;Dta=/var/www/html/dta/yong/23612.10107.2.dta&amp;Global_Mod=CS57.0215", "10107")</f>
        <v>10107</v>
      </c>
      <c r="M1465" s="4" t="str">
        <f>HYPERLINK("http://ms.phosphosite.org:5080/cgi-bin/plot-msms.cgi?MassType=1&amp;NumAxis=1&amp;Mod7=170&amp;Mod20=147&amp;Pep=VGSSNFRGGLGGGYGGASGMGGIT&amp;Dta=/var/www/html/dta/yong/23613.10260.2.dta&amp;Global_Mod=CS57.0215", "10260")</f>
        <v>10260</v>
      </c>
      <c r="N1465" s="5">
        <v>44.34</v>
      </c>
      <c r="O1465" s="5">
        <v>44.65</v>
      </c>
      <c r="P1465" s="5">
        <v>5.2329999999999997</v>
      </c>
      <c r="Q1465" s="5">
        <v>4.0119999999999996</v>
      </c>
      <c r="R1465" s="5">
        <v>0.88670000000000004</v>
      </c>
      <c r="S1465" s="5">
        <v>0.96530000000000005</v>
      </c>
      <c r="T1465" s="5">
        <v>0.6069</v>
      </c>
      <c r="U1465" s="5">
        <v>0.45150000000000001</v>
      </c>
      <c r="V1465" s="4">
        <v>1</v>
      </c>
      <c r="W1465" s="4">
        <v>1</v>
      </c>
      <c r="X1465" s="5">
        <v>5.55</v>
      </c>
      <c r="Y1465" s="5">
        <v>4.63</v>
      </c>
      <c r="Z1465" s="6">
        <v>1000</v>
      </c>
      <c r="AA1465" s="6">
        <v>1000</v>
      </c>
      <c r="AB1465" s="4" t="s">
        <v>13</v>
      </c>
    </row>
    <row r="1466" spans="1:28">
      <c r="A1466" s="3" t="s">
        <v>160</v>
      </c>
      <c r="B1466" s="24" t="s">
        <v>2186</v>
      </c>
      <c r="C1466" s="26" t="s">
        <v>2187</v>
      </c>
      <c r="D1466" s="4">
        <v>47</v>
      </c>
      <c r="E1466" s="3" t="s">
        <v>172</v>
      </c>
      <c r="F1466" s="3" t="s">
        <v>2188</v>
      </c>
      <c r="G1466" s="4">
        <v>53.7</v>
      </c>
      <c r="H1466" s="3" t="s">
        <v>173</v>
      </c>
      <c r="I1466" s="3" t="s">
        <v>2212</v>
      </c>
      <c r="J1466" s="4">
        <v>2</v>
      </c>
      <c r="K1466" s="4">
        <v>1073.5027</v>
      </c>
      <c r="L1466" s="4" t="str">
        <f>HYPERLINK("http://ms.phosphosite.org:5080/cgi-bin/plot-msms.cgi?MassType=1&amp;NumAxis=1&amp;Mod7=170&amp;Mod20=147&amp;Pep=VGSSNFRGGLGGGYGGASGMGGIT&amp;Dta=/var/www/html/dta/yong/23612.10175.2.dta&amp;Global_Mod=CS57.0215", "10175")</f>
        <v>10175</v>
      </c>
      <c r="M1466" s="4" t="str">
        <f>HYPERLINK("http://ms.phosphosite.org:5080/cgi-bin/plot-msms.cgi?MassType=1&amp;NumAxis=1&amp;Mod7=170&amp;Mod20=147&amp;Pep=VGSSNFRGGLGGGYGGASGMGGIT&amp;Dta=/var/www/html/dta/yong/23613.10167.2.dta&amp;Global_Mod=CS57.0215", "10167")</f>
        <v>10167</v>
      </c>
      <c r="N1466" s="5">
        <v>44.58</v>
      </c>
      <c r="O1466" s="5">
        <v>44.34</v>
      </c>
      <c r="P1466" s="5">
        <v>4.6859999999999999</v>
      </c>
      <c r="Q1466" s="5">
        <v>4.9669999999999996</v>
      </c>
      <c r="R1466" s="5">
        <v>0.872</v>
      </c>
      <c r="S1466" s="5">
        <v>0.85809999999999997</v>
      </c>
      <c r="T1466" s="5">
        <v>0.47510000000000002</v>
      </c>
      <c r="U1466" s="5">
        <v>0.58740000000000003</v>
      </c>
      <c r="V1466" s="4">
        <v>1</v>
      </c>
      <c r="W1466" s="4">
        <v>1</v>
      </c>
      <c r="X1466" s="5">
        <v>4.8</v>
      </c>
      <c r="Y1466" s="5">
        <v>5.5</v>
      </c>
      <c r="Z1466" s="6">
        <v>1000</v>
      </c>
      <c r="AA1466" s="6">
        <v>1000</v>
      </c>
      <c r="AB1466" s="4" t="s">
        <v>13</v>
      </c>
    </row>
    <row r="1467" spans="1:28">
      <c r="A1467" s="3" t="s">
        <v>160</v>
      </c>
      <c r="B1467" s="24" t="s">
        <v>2186</v>
      </c>
      <c r="C1467" s="26" t="s">
        <v>2187</v>
      </c>
      <c r="D1467" s="4">
        <v>47</v>
      </c>
      <c r="E1467" s="3" t="s">
        <v>172</v>
      </c>
      <c r="F1467" s="3" t="s">
        <v>2188</v>
      </c>
      <c r="G1467" s="4">
        <v>53.7</v>
      </c>
      <c r="H1467" s="3" t="s">
        <v>173</v>
      </c>
      <c r="I1467" s="3" t="s">
        <v>2212</v>
      </c>
      <c r="J1467" s="4">
        <v>3</v>
      </c>
      <c r="K1467" s="4">
        <v>716.00429999999994</v>
      </c>
      <c r="L1467" s="4" t="str">
        <f>HYPERLINK("http://ms.phosphosite.org:5080/cgi-bin/plot-msms.cgi?MassType=1&amp;NumAxis=1&amp;Mod7=170&amp;Mod20=147&amp;Pep=VGSSNFRGGLGGGYGGASGMGGIT&amp;Dta=/var/www/html/dta/yong/23612.10104.3.dta&amp;Global_Mod=CS57.0215", "10104")</f>
        <v>10104</v>
      </c>
      <c r="M1467" s="4"/>
      <c r="N1467" s="5">
        <v>44.33</v>
      </c>
      <c r="O1467" s="5"/>
      <c r="P1467" s="5">
        <v>2.073</v>
      </c>
      <c r="Q1467" s="5"/>
      <c r="R1467" s="5">
        <v>0.35439999999999999</v>
      </c>
      <c r="S1467" s="5"/>
      <c r="T1467" s="5">
        <v>5.4800000000000001E-2</v>
      </c>
      <c r="U1467" s="5"/>
      <c r="V1467" s="4">
        <v>279</v>
      </c>
      <c r="W1467" s="4"/>
      <c r="X1467" s="5">
        <v>2.12</v>
      </c>
      <c r="Y1467" s="5"/>
      <c r="Z1467" s="6">
        <v>1000</v>
      </c>
      <c r="AA1467" s="6"/>
      <c r="AB1467" s="4" t="s">
        <v>13</v>
      </c>
    </row>
    <row r="1468" spans="1:28">
      <c r="A1468" s="3" t="s">
        <v>160</v>
      </c>
      <c r="B1468" s="24" t="s">
        <v>2186</v>
      </c>
      <c r="C1468" s="26" t="s">
        <v>2187</v>
      </c>
      <c r="D1468" s="4">
        <v>47</v>
      </c>
      <c r="E1468" s="3" t="s">
        <v>172</v>
      </c>
      <c r="F1468" s="3" t="s">
        <v>2188</v>
      </c>
      <c r="G1468" s="4">
        <v>53.7</v>
      </c>
      <c r="H1468" s="3" t="s">
        <v>173</v>
      </c>
      <c r="I1468" s="3" t="s">
        <v>2213</v>
      </c>
      <c r="J1468" s="4">
        <v>2</v>
      </c>
      <c r="K1468" s="4">
        <v>1109.0213000000001</v>
      </c>
      <c r="L1468" s="4" t="str">
        <f>HYPERLINK("http://ms.phosphosite.org:5080/cgi-bin/plot-msms.cgi?MassType=1&amp;NumAxis=1&amp;Mod7=170&amp;Mod20=147&amp;Pep=VGSSNFRGGLGGGYGGASGMGGITA&amp;Dta=/var/www/html/dta/yong/23612.10575.2.dta&amp;Global_Mod=CS57.0215", "10575")</f>
        <v>10575</v>
      </c>
      <c r="M1468" s="4" t="str">
        <f>HYPERLINK("http://ms.phosphosite.org:5080/cgi-bin/plot-msms.cgi?MassType=1&amp;NumAxis=1&amp;Mod7=170&amp;Mod20=147&amp;Pep=VGSSNFRGGLGGGYGGASGMGGITA&amp;Dta=/var/www/html/dta/yong/23613.10649.2.dta&amp;Global_Mod=CS57.0215", "10649")</f>
        <v>10649</v>
      </c>
      <c r="N1468" s="5">
        <v>46</v>
      </c>
      <c r="O1468" s="5">
        <v>46</v>
      </c>
      <c r="P1468" s="5">
        <v>5.2549999999999999</v>
      </c>
      <c r="Q1468" s="5">
        <v>4.5629999999999997</v>
      </c>
      <c r="R1468" s="5">
        <v>1.3174999999999999</v>
      </c>
      <c r="S1468" s="5">
        <v>1.3937999999999999</v>
      </c>
      <c r="T1468" s="5">
        <v>0.54710000000000003</v>
      </c>
      <c r="U1468" s="5">
        <v>0.49280000000000002</v>
      </c>
      <c r="V1468" s="4">
        <v>1</v>
      </c>
      <c r="W1468" s="4">
        <v>1</v>
      </c>
      <c r="X1468" s="5">
        <v>5.23</v>
      </c>
      <c r="Y1468" s="5">
        <v>4.91</v>
      </c>
      <c r="Z1468" s="6">
        <v>1000</v>
      </c>
      <c r="AA1468" s="6">
        <v>1000</v>
      </c>
      <c r="AB1468" s="4" t="s">
        <v>13</v>
      </c>
    </row>
    <row r="1469" spans="1:28">
      <c r="A1469" s="3" t="s">
        <v>160</v>
      </c>
      <c r="B1469" s="24" t="s">
        <v>2186</v>
      </c>
      <c r="C1469" s="26" t="s">
        <v>2187</v>
      </c>
      <c r="D1469" s="4">
        <v>47</v>
      </c>
      <c r="E1469" s="3" t="s">
        <v>172</v>
      </c>
      <c r="F1469" s="3" t="s">
        <v>2188</v>
      </c>
      <c r="G1469" s="4">
        <v>53.7</v>
      </c>
      <c r="H1469" s="3" t="s">
        <v>173</v>
      </c>
      <c r="I1469" s="3" t="s">
        <v>2213</v>
      </c>
      <c r="J1469" s="4">
        <v>3</v>
      </c>
      <c r="K1469" s="4">
        <v>739.68330000000003</v>
      </c>
      <c r="L1469" s="4" t="str">
        <f>HYPERLINK("http://ms.phosphosite.org:5080/cgi-bin/plot-msms.cgi?MassType=1&amp;NumAxis=1&amp;Mod7=170&amp;Mod20=147&amp;Pep=VGSSNFRGGLGGGYGGASGMGGITA&amp;Dta=/var/www/html/dta/yong/23612.10574.3.dta&amp;Global_Mod=CS57.0215", "10574")</f>
        <v>10574</v>
      </c>
      <c r="M1469" s="4" t="str">
        <f>HYPERLINK("http://ms.phosphosite.org:5080/cgi-bin/plot-msms.cgi?MassType=1&amp;NumAxis=1&amp;Mod7=170&amp;Mod20=147&amp;Pep=VGSSNFRGGLGGGYGGASGMGGITA&amp;Dta=/var/www/html/dta/yong/23613.10647.3.dta&amp;Global_Mod=CS57.0215", "10647")</f>
        <v>10647</v>
      </c>
      <c r="N1469" s="5">
        <v>46</v>
      </c>
      <c r="O1469" s="5">
        <v>46</v>
      </c>
      <c r="P1469" s="5">
        <v>2.625</v>
      </c>
      <c r="Q1469" s="5">
        <v>2.38</v>
      </c>
      <c r="R1469" s="5">
        <v>0.78720000000000001</v>
      </c>
      <c r="S1469" s="5">
        <v>0.51619999999999999</v>
      </c>
      <c r="T1469" s="5">
        <v>0.3155</v>
      </c>
      <c r="U1469" s="5">
        <v>0.24</v>
      </c>
      <c r="V1469" s="4">
        <v>1</v>
      </c>
      <c r="W1469" s="4">
        <v>8</v>
      </c>
      <c r="X1469" s="5">
        <v>3.66</v>
      </c>
      <c r="Y1469" s="5">
        <v>3.31</v>
      </c>
      <c r="Z1469" s="6">
        <v>1000</v>
      </c>
      <c r="AA1469" s="6">
        <v>1000</v>
      </c>
      <c r="AB1469" s="4" t="s">
        <v>13</v>
      </c>
    </row>
    <row r="1470" spans="1:28">
      <c r="A1470" s="3" t="s">
        <v>160</v>
      </c>
      <c r="B1470" s="24" t="s">
        <v>2186</v>
      </c>
      <c r="C1470" s="26" t="s">
        <v>2187</v>
      </c>
      <c r="D1470" s="4">
        <v>47</v>
      </c>
      <c r="E1470" s="3" t="s">
        <v>172</v>
      </c>
      <c r="F1470" s="3" t="s">
        <v>2188</v>
      </c>
      <c r="G1470" s="4">
        <v>53.7</v>
      </c>
      <c r="H1470" s="3" t="s">
        <v>173</v>
      </c>
      <c r="I1470" s="3" t="s">
        <v>179</v>
      </c>
      <c r="J1470" s="4">
        <v>2</v>
      </c>
      <c r="K1470" s="4">
        <v>1158.5554999999999</v>
      </c>
      <c r="L1470" s="4" t="str">
        <f>HYPERLINK("http://ms.phosphosite.org:5080/cgi-bin/plot-msms.cgi?MassType=1&amp;NumAxis=1&amp;Mod7=170&amp;Mod20=147&amp;Pep=VGSSNFRGGLGGGYGGASGMGGITAV&amp;Dta=/var/www/html/dta/yong/23612.15266.2.dta&amp;Global_Mod=CS57.0215", "15266")</f>
        <v>15266</v>
      </c>
      <c r="M1470" s="4" t="str">
        <f>HYPERLINK("http://ms.phosphosite.org:5080/cgi-bin/plot-msms.cgi?MassType=1&amp;NumAxis=1&amp;Mod7=170&amp;Mod20=147&amp;Pep=VGSSNFRGGLGGGYGGASGMGGITAV&amp;Dta=/var/www/html/dta/yong/23613.12126.2.dta&amp;Global_Mod=CS57.0215", "12126")</f>
        <v>12126</v>
      </c>
      <c r="N1470" s="5">
        <v>62.62</v>
      </c>
      <c r="O1470" s="5">
        <v>50.91</v>
      </c>
      <c r="P1470" s="5">
        <v>4.4400000000000004</v>
      </c>
      <c r="Q1470" s="5">
        <v>4.8970000000000002</v>
      </c>
      <c r="R1470" s="5">
        <v>1.4953000000000001</v>
      </c>
      <c r="S1470" s="5">
        <v>0.3024</v>
      </c>
      <c r="T1470" s="5">
        <v>0.3352</v>
      </c>
      <c r="U1470" s="5">
        <v>0.36509999999999998</v>
      </c>
      <c r="V1470" s="4">
        <v>1</v>
      </c>
      <c r="W1470" s="4">
        <v>1</v>
      </c>
      <c r="X1470" s="5">
        <v>4</v>
      </c>
      <c r="Y1470" s="5">
        <v>4.38</v>
      </c>
      <c r="Z1470" s="6">
        <v>1000</v>
      </c>
      <c r="AA1470" s="6">
        <v>1000</v>
      </c>
      <c r="AB1470" s="4" t="s">
        <v>13</v>
      </c>
    </row>
    <row r="1471" spans="1:28">
      <c r="A1471" s="3" t="s">
        <v>160</v>
      </c>
      <c r="B1471" s="24" t="s">
        <v>2186</v>
      </c>
      <c r="C1471" s="26" t="s">
        <v>2187</v>
      </c>
      <c r="D1471" s="4">
        <v>47</v>
      </c>
      <c r="E1471" s="3" t="s">
        <v>172</v>
      </c>
      <c r="F1471" s="3" t="s">
        <v>2188</v>
      </c>
      <c r="G1471" s="4">
        <v>53.7</v>
      </c>
      <c r="H1471" s="3" t="s">
        <v>173</v>
      </c>
      <c r="I1471" s="3" t="s">
        <v>179</v>
      </c>
      <c r="J1471" s="4">
        <v>2</v>
      </c>
      <c r="K1471" s="4">
        <v>1158.5554999999999</v>
      </c>
      <c r="L1471" s="4" t="str">
        <f>HYPERLINK("http://ms.phosphosite.org:5080/cgi-bin/plot-msms.cgi?MassType=1&amp;NumAxis=1&amp;Mod7=170&amp;Mod20=147&amp;Pep=VGSSNFRGGLGGGYGGASGMGGITAV&amp;Dta=/var/www/html/dta/yong/23612.22670.2.dta&amp;Global_Mod=CS57.0215", "22670")</f>
        <v>22670</v>
      </c>
      <c r="M1471" s="4" t="str">
        <f>HYPERLINK("http://ms.phosphosite.org:5080/cgi-bin/plot-msms.cgi?MassType=1&amp;NumAxis=1&amp;Mod7=170&amp;Mod20=147&amp;Pep=VGSSNFRGGLGGGYGGASGMGGITAV&amp;Dta=/var/www/html/dta/yong/23613.16685.2.dta&amp;Global_Mod=CS57.0215", "16685")</f>
        <v>16685</v>
      </c>
      <c r="N1471" s="5">
        <v>96.58</v>
      </c>
      <c r="O1471" s="5">
        <v>68.099999999999994</v>
      </c>
      <c r="P1471" s="5">
        <v>2.6640000000000001</v>
      </c>
      <c r="Q1471" s="5">
        <v>4.9800000000000004</v>
      </c>
      <c r="R1471" s="5">
        <v>1.6939</v>
      </c>
      <c r="S1471" s="5">
        <v>1.075</v>
      </c>
      <c r="T1471" s="5">
        <v>0.3715</v>
      </c>
      <c r="U1471" s="5">
        <v>0.38229999999999997</v>
      </c>
      <c r="V1471" s="4">
        <v>1</v>
      </c>
      <c r="W1471" s="4">
        <v>1</v>
      </c>
      <c r="X1471" s="5">
        <v>3.83</v>
      </c>
      <c r="Y1471" s="5">
        <v>4.46</v>
      </c>
      <c r="Z1471" s="6">
        <v>1000</v>
      </c>
      <c r="AA1471" s="6">
        <v>1000</v>
      </c>
      <c r="AB1471" s="4" t="s">
        <v>13</v>
      </c>
    </row>
    <row r="1472" spans="1:28">
      <c r="A1472" s="3" t="s">
        <v>160</v>
      </c>
      <c r="B1472" s="24" t="s">
        <v>2186</v>
      </c>
      <c r="C1472" s="26" t="s">
        <v>2187</v>
      </c>
      <c r="D1472" s="4">
        <v>47</v>
      </c>
      <c r="E1472" s="3" t="s">
        <v>172</v>
      </c>
      <c r="F1472" s="3" t="s">
        <v>2188</v>
      </c>
      <c r="G1472" s="4">
        <v>53.7</v>
      </c>
      <c r="H1472" s="3" t="s">
        <v>173</v>
      </c>
      <c r="I1472" s="3" t="s">
        <v>179</v>
      </c>
      <c r="J1472" s="4">
        <v>2</v>
      </c>
      <c r="K1472" s="4">
        <v>1158.5554999999999</v>
      </c>
      <c r="L1472" s="4" t="str">
        <f>HYPERLINK("http://ms.phosphosite.org:5080/cgi-bin/plot-msms.cgi?MassType=1&amp;NumAxis=1&amp;Mod7=170&amp;Mod20=147&amp;Pep=VGSSNFRGGLGGGYGGASGMGGITAV&amp;Dta=/var/www/html/dta/yong/23612.19694.2.dta&amp;Global_Mod=CS57.0215", "19694")</f>
        <v>19694</v>
      </c>
      <c r="M1472" s="4" t="str">
        <f>HYPERLINK("http://ms.phosphosite.org:5080/cgi-bin/plot-msms.cgi?MassType=1&amp;NumAxis=1&amp;Mod7=170&amp;Mod20=147&amp;Pep=VGSSNFRGGLGGGYGGASGMGGITAV&amp;Dta=/var/www/html/dta/yong/23613.21901.2.dta&amp;Global_Mod=CS57.0215", "21901")</f>
        <v>21901</v>
      </c>
      <c r="N1472" s="5">
        <v>82.05</v>
      </c>
      <c r="O1472" s="5">
        <v>92.2</v>
      </c>
      <c r="P1472" s="5">
        <v>4.4000000000000004</v>
      </c>
      <c r="Q1472" s="5">
        <v>4.9249999999999998</v>
      </c>
      <c r="R1472" s="5">
        <v>1.3551</v>
      </c>
      <c r="S1472" s="5">
        <v>0.50470000000000004</v>
      </c>
      <c r="T1472" s="5">
        <v>0.44969999999999999</v>
      </c>
      <c r="U1472" s="5">
        <v>0.41299999999999998</v>
      </c>
      <c r="V1472" s="4">
        <v>1</v>
      </c>
      <c r="W1472" s="4">
        <v>1</v>
      </c>
      <c r="X1472" s="5">
        <v>4.57</v>
      </c>
      <c r="Y1472" s="5">
        <v>4.63</v>
      </c>
      <c r="Z1472" s="6">
        <v>1000</v>
      </c>
      <c r="AA1472" s="6">
        <v>1000</v>
      </c>
      <c r="AB1472" s="4" t="s">
        <v>13</v>
      </c>
    </row>
    <row r="1473" spans="1:28">
      <c r="A1473" s="3" t="s">
        <v>160</v>
      </c>
      <c r="B1473" s="24" t="s">
        <v>2186</v>
      </c>
      <c r="C1473" s="26" t="s">
        <v>2187</v>
      </c>
      <c r="D1473" s="4">
        <v>47</v>
      </c>
      <c r="E1473" s="3" t="s">
        <v>172</v>
      </c>
      <c r="F1473" s="3" t="s">
        <v>2188</v>
      </c>
      <c r="G1473" s="4">
        <v>53.7</v>
      </c>
      <c r="H1473" s="3" t="s">
        <v>173</v>
      </c>
      <c r="I1473" s="3" t="s">
        <v>179</v>
      </c>
      <c r="J1473" s="4">
        <v>2</v>
      </c>
      <c r="K1473" s="4">
        <v>1158.5554999999999</v>
      </c>
      <c r="L1473" s="4" t="str">
        <f>HYPERLINK("http://ms.phosphosite.org:5080/cgi-bin/plot-msms.cgi?MassType=1&amp;NumAxis=1&amp;Mod7=170&amp;Mod20=147&amp;Pep=VGSSNFRGGLGGGYGGASGMGGITAV&amp;Dta=/var/www/html/dta/yong/23612.16905.2.dta&amp;Global_Mod=CS57.0215", "16905")</f>
        <v>16905</v>
      </c>
      <c r="M1473" s="4" t="str">
        <f>HYPERLINK("http://ms.phosphosite.org:5080/cgi-bin/plot-msms.cgi?MassType=1&amp;NumAxis=1&amp;Mod7=170&amp;Mod20=147&amp;Pep=VGSSNFRGGLGGGYGGASGMGGITAV&amp;Dta=/var/www/html/dta/yong/23613.15024.2.dta&amp;Global_Mod=CS57.0215", "15024")</f>
        <v>15024</v>
      </c>
      <c r="N1473" s="5">
        <v>69.41</v>
      </c>
      <c r="O1473" s="5">
        <v>61.5</v>
      </c>
      <c r="P1473" s="5">
        <v>4.4290000000000003</v>
      </c>
      <c r="Q1473" s="5">
        <v>4.9550000000000001</v>
      </c>
      <c r="R1473" s="5">
        <v>0.14280000000000001</v>
      </c>
      <c r="S1473" s="5">
        <v>2.7014</v>
      </c>
      <c r="T1473" s="5">
        <v>0.4168</v>
      </c>
      <c r="U1473" s="5">
        <v>0.39700000000000002</v>
      </c>
      <c r="V1473" s="4">
        <v>1</v>
      </c>
      <c r="W1473" s="4">
        <v>1</v>
      </c>
      <c r="X1473" s="5">
        <v>4.45</v>
      </c>
      <c r="Y1473" s="5">
        <v>4.4400000000000004</v>
      </c>
      <c r="Z1473" s="6">
        <v>1000</v>
      </c>
      <c r="AA1473" s="6">
        <v>1000</v>
      </c>
      <c r="AB1473" s="4" t="s">
        <v>13</v>
      </c>
    </row>
    <row r="1474" spans="1:28">
      <c r="A1474" s="3" t="s">
        <v>160</v>
      </c>
      <c r="B1474" s="24" t="s">
        <v>2186</v>
      </c>
      <c r="C1474" s="26" t="s">
        <v>2187</v>
      </c>
      <c r="D1474" s="4">
        <v>47</v>
      </c>
      <c r="E1474" s="3" t="s">
        <v>172</v>
      </c>
      <c r="F1474" s="3" t="s">
        <v>2188</v>
      </c>
      <c r="G1474" s="4">
        <v>53.7</v>
      </c>
      <c r="H1474" s="3" t="s">
        <v>173</v>
      </c>
      <c r="I1474" s="3" t="s">
        <v>179</v>
      </c>
      <c r="J1474" s="4">
        <v>2</v>
      </c>
      <c r="K1474" s="4">
        <v>1158.5554999999999</v>
      </c>
      <c r="L1474" s="4" t="str">
        <f>HYPERLINK("http://ms.phosphosite.org:5080/cgi-bin/plot-msms.cgi?MassType=1&amp;NumAxis=1&amp;Mod7=170&amp;Mod20=147&amp;Pep=VGSSNFRGGLGGGYGGASGMGGITAV&amp;Dta=/var/www/html/dta/yong/23612.22568.2.dta&amp;Global_Mod=CS57.0215", "22568")</f>
        <v>22568</v>
      </c>
      <c r="M1474" s="4" t="str">
        <f>HYPERLINK("http://ms.phosphosite.org:5080/cgi-bin/plot-msms.cgi?MassType=1&amp;NumAxis=1&amp;Mod7=170&amp;Mod20=147&amp;Pep=VGSSNFRGGLGGGYGGASGMGGITAV&amp;Dta=/var/www/html/dta/yong/23613.21311.2.dta&amp;Global_Mod=CS57.0215", "21311")</f>
        <v>21311</v>
      </c>
      <c r="N1474" s="5">
        <v>96.06</v>
      </c>
      <c r="O1474" s="5">
        <v>89.29</v>
      </c>
      <c r="P1474" s="5">
        <v>2.6989999999999998</v>
      </c>
      <c r="Q1474" s="5">
        <v>3.944</v>
      </c>
      <c r="R1474" s="5">
        <v>0.40610000000000002</v>
      </c>
      <c r="S1474" s="5">
        <v>2.0767000000000002</v>
      </c>
      <c r="T1474" s="5">
        <v>0.18790000000000001</v>
      </c>
      <c r="U1474" s="5">
        <v>0.4461</v>
      </c>
      <c r="V1474" s="4">
        <v>2</v>
      </c>
      <c r="W1474" s="4">
        <v>1</v>
      </c>
      <c r="X1474" s="5">
        <v>2.99</v>
      </c>
      <c r="Y1474" s="5">
        <v>4.51</v>
      </c>
      <c r="Z1474" s="6">
        <v>1000</v>
      </c>
      <c r="AA1474" s="6">
        <v>1000</v>
      </c>
      <c r="AB1474" s="4" t="s">
        <v>13</v>
      </c>
    </row>
    <row r="1475" spans="1:28">
      <c r="A1475" s="3" t="s">
        <v>160</v>
      </c>
      <c r="B1475" s="24" t="s">
        <v>2186</v>
      </c>
      <c r="C1475" s="26" t="s">
        <v>2187</v>
      </c>
      <c r="D1475" s="4">
        <v>47</v>
      </c>
      <c r="E1475" s="3" t="s">
        <v>172</v>
      </c>
      <c r="F1475" s="3" t="s">
        <v>2188</v>
      </c>
      <c r="G1475" s="4">
        <v>53.7</v>
      </c>
      <c r="H1475" s="3" t="s">
        <v>173</v>
      </c>
      <c r="I1475" s="3" t="s">
        <v>179</v>
      </c>
      <c r="J1475" s="4">
        <v>2</v>
      </c>
      <c r="K1475" s="4">
        <v>1158.5554999999999</v>
      </c>
      <c r="L1475" s="4" t="str">
        <f>HYPERLINK("http://ms.phosphosite.org:5080/cgi-bin/plot-msms.cgi?MassType=1&amp;NumAxis=1&amp;Mod7=170&amp;Mod20=147&amp;Pep=VGSSNFRGGLGGGYGGASGMGGITAV&amp;Dta=/var/www/html/dta/yong/23612.15298.2.dta&amp;Global_Mod=CS57.0215", "15298")</f>
        <v>15298</v>
      </c>
      <c r="M1475" s="4" t="str">
        <f>HYPERLINK("http://ms.phosphosite.org:5080/cgi-bin/plot-msms.cgi?MassType=1&amp;NumAxis=1&amp;Mod7=170&amp;Mod20=147&amp;Pep=VGSSNFRGGLGGGYGGASGMGGITAV&amp;Dta=/var/www/html/dta/yong/23613.24347.2.dta&amp;Global_Mod=CS57.0215", "24347")</f>
        <v>24347</v>
      </c>
      <c r="N1475" s="5">
        <v>62.74</v>
      </c>
      <c r="O1475" s="5">
        <v>104.6</v>
      </c>
      <c r="P1475" s="5">
        <v>4.423</v>
      </c>
      <c r="Q1475" s="5">
        <v>4.1870000000000003</v>
      </c>
      <c r="R1475" s="5">
        <v>1.3501000000000001</v>
      </c>
      <c r="S1475" s="5">
        <v>1.0091000000000001</v>
      </c>
      <c r="T1475" s="5">
        <v>0.38719999999999999</v>
      </c>
      <c r="U1475" s="5">
        <v>0.39929999999999999</v>
      </c>
      <c r="V1475" s="4">
        <v>1</v>
      </c>
      <c r="W1475" s="4">
        <v>1</v>
      </c>
      <c r="X1475" s="5">
        <v>4.26</v>
      </c>
      <c r="Y1475" s="5">
        <v>4.38</v>
      </c>
      <c r="Z1475" s="6">
        <v>1000</v>
      </c>
      <c r="AA1475" s="6">
        <v>1000</v>
      </c>
      <c r="AB1475" s="4" t="s">
        <v>13</v>
      </c>
    </row>
    <row r="1476" spans="1:28">
      <c r="A1476" s="3" t="s">
        <v>160</v>
      </c>
      <c r="B1476" s="24" t="s">
        <v>2186</v>
      </c>
      <c r="C1476" s="26" t="s">
        <v>2187</v>
      </c>
      <c r="D1476" s="4">
        <v>47</v>
      </c>
      <c r="E1476" s="3" t="s">
        <v>172</v>
      </c>
      <c r="F1476" s="3" t="s">
        <v>2188</v>
      </c>
      <c r="G1476" s="4">
        <v>53.7</v>
      </c>
      <c r="H1476" s="3" t="s">
        <v>173</v>
      </c>
      <c r="I1476" s="3" t="s">
        <v>179</v>
      </c>
      <c r="J1476" s="4">
        <v>2</v>
      </c>
      <c r="K1476" s="4">
        <v>1158.5554999999999</v>
      </c>
      <c r="L1476" s="4" t="str">
        <f>HYPERLINK("http://ms.phosphosite.org:5080/cgi-bin/plot-msms.cgi?MassType=1&amp;NumAxis=1&amp;Mod7=170&amp;Mod20=147&amp;Pep=VGSSNFRGGLGGGYGGASGMGGITAV&amp;Dta=/var/www/html/dta/yong/23612.20728.2.dta&amp;Global_Mod=CS57.0215", "20728")</f>
        <v>20728</v>
      </c>
      <c r="M1476" s="4" t="str">
        <f>HYPERLINK("http://ms.phosphosite.org:5080/cgi-bin/plot-msms.cgi?MassType=1&amp;NumAxis=1&amp;Mod7=170&amp;Mod20=147&amp;Pep=VGSSNFRGGLGGGYGGASGMGGITAV&amp;Dta=/var/www/html/dta/yong/23613.23161.2.dta&amp;Global_Mod=CS57.0215", "23161")</f>
        <v>23161</v>
      </c>
      <c r="N1476" s="5">
        <v>86.92</v>
      </c>
      <c r="O1476" s="5">
        <v>98.68</v>
      </c>
      <c r="P1476" s="5">
        <v>4.3319999999999999</v>
      </c>
      <c r="Q1476" s="5">
        <v>3.2029999999999998</v>
      </c>
      <c r="R1476" s="5">
        <v>1.4333</v>
      </c>
      <c r="S1476" s="5">
        <v>-0.2392</v>
      </c>
      <c r="T1476" s="5">
        <v>0.35780000000000001</v>
      </c>
      <c r="U1476" s="5">
        <v>0.31969999999999998</v>
      </c>
      <c r="V1476" s="4">
        <v>1</v>
      </c>
      <c r="W1476" s="4">
        <v>1</v>
      </c>
      <c r="X1476" s="5">
        <v>4.0999999999999996</v>
      </c>
      <c r="Y1476" s="5">
        <v>3.79</v>
      </c>
      <c r="Z1476" s="6">
        <v>1000</v>
      </c>
      <c r="AA1476" s="6">
        <v>1000</v>
      </c>
      <c r="AB1476" s="4" t="s">
        <v>13</v>
      </c>
    </row>
    <row r="1477" spans="1:28">
      <c r="A1477" s="3" t="s">
        <v>160</v>
      </c>
      <c r="B1477" s="24" t="s">
        <v>2186</v>
      </c>
      <c r="C1477" s="26" t="s">
        <v>2187</v>
      </c>
      <c r="D1477" s="4">
        <v>47</v>
      </c>
      <c r="E1477" s="3" t="s">
        <v>172</v>
      </c>
      <c r="F1477" s="3" t="s">
        <v>2188</v>
      </c>
      <c r="G1477" s="4">
        <v>53.7</v>
      </c>
      <c r="H1477" s="3" t="s">
        <v>173</v>
      </c>
      <c r="I1477" s="3" t="s">
        <v>179</v>
      </c>
      <c r="J1477" s="4">
        <v>2</v>
      </c>
      <c r="K1477" s="4">
        <v>1158.5554999999999</v>
      </c>
      <c r="L1477" s="4" t="str">
        <f>HYPERLINK("http://ms.phosphosite.org:5080/cgi-bin/plot-msms.cgi?MassType=1&amp;NumAxis=1&amp;Mod7=170&amp;Mod20=147&amp;Pep=VGSSNFRGGLGGGYGGASGMGGITAV&amp;Dta=/var/www/html/dta/yong/23612.17538.2.dta&amp;Global_Mod=CS57.0215", "17538")</f>
        <v>17538</v>
      </c>
      <c r="M1477" s="4" t="str">
        <f>HYPERLINK("http://ms.phosphosite.org:5080/cgi-bin/plot-msms.cgi?MassType=1&amp;NumAxis=1&amp;Mod7=170&amp;Mod20=147&amp;Pep=VGSSNFRGGLGGGYGGASGMGGITAV&amp;Dta=/var/www/html/dta/yong/23613.12535.2.dta&amp;Global_Mod=CS57.0215", "12535")</f>
        <v>12535</v>
      </c>
      <c r="N1477" s="5">
        <v>72.13</v>
      </c>
      <c r="O1477" s="5">
        <v>52.32</v>
      </c>
      <c r="P1477" s="5">
        <v>2.9790000000000001</v>
      </c>
      <c r="Q1477" s="5">
        <v>4.9669999999999996</v>
      </c>
      <c r="R1477" s="5">
        <v>-2.9908999999999999</v>
      </c>
      <c r="S1477" s="5">
        <v>1.333</v>
      </c>
      <c r="T1477" s="5">
        <v>0.31330000000000002</v>
      </c>
      <c r="U1477" s="5">
        <v>0.308</v>
      </c>
      <c r="V1477" s="4">
        <v>1</v>
      </c>
      <c r="W1477" s="4">
        <v>1</v>
      </c>
      <c r="X1477" s="5">
        <v>3.49</v>
      </c>
      <c r="Y1477" s="5">
        <v>4.08</v>
      </c>
      <c r="Z1477" s="6">
        <v>1000</v>
      </c>
      <c r="AA1477" s="6">
        <v>1000</v>
      </c>
      <c r="AB1477" s="4" t="s">
        <v>13</v>
      </c>
    </row>
    <row r="1478" spans="1:28">
      <c r="A1478" s="3" t="s">
        <v>160</v>
      </c>
      <c r="B1478" s="24" t="s">
        <v>2186</v>
      </c>
      <c r="C1478" s="26" t="s">
        <v>2187</v>
      </c>
      <c r="D1478" s="4">
        <v>47</v>
      </c>
      <c r="E1478" s="3" t="s">
        <v>172</v>
      </c>
      <c r="F1478" s="3" t="s">
        <v>2188</v>
      </c>
      <c r="G1478" s="4">
        <v>53.7</v>
      </c>
      <c r="H1478" s="3" t="s">
        <v>173</v>
      </c>
      <c r="I1478" s="3" t="s">
        <v>179</v>
      </c>
      <c r="J1478" s="4">
        <v>2</v>
      </c>
      <c r="K1478" s="4">
        <v>1158.5554999999999</v>
      </c>
      <c r="L1478" s="4" t="str">
        <f>HYPERLINK("http://ms.phosphosite.org:5080/cgi-bin/plot-msms.cgi?MassType=1&amp;NumAxis=1&amp;Mod7=170&amp;Mod20=147&amp;Pep=VGSSNFRGGLGGGYGGASGMGGITAV&amp;Dta=/var/www/html/dta/yong/23612.16689.2.dta&amp;Global_Mod=CS57.0215", "16689")</f>
        <v>16689</v>
      </c>
      <c r="M1478" s="4" t="str">
        <f>HYPERLINK("http://ms.phosphosite.org:5080/cgi-bin/plot-msms.cgi?MassType=1&amp;NumAxis=1&amp;Mod7=170&amp;Mod20=147&amp;Pep=VGSSNFRGGLGGGYGGASGMGGITAV&amp;Dta=/var/www/html/dta/yong/23613.19814.2.dta&amp;Global_Mod=CS57.0215", "19814")</f>
        <v>19814</v>
      </c>
      <c r="N1478" s="5">
        <v>68.52</v>
      </c>
      <c r="O1478" s="5">
        <v>82.16</v>
      </c>
      <c r="P1478" s="5">
        <v>4.3070000000000004</v>
      </c>
      <c r="Q1478" s="5">
        <v>4.1959999999999997</v>
      </c>
      <c r="R1478" s="5">
        <v>2.181</v>
      </c>
      <c r="S1478" s="5">
        <v>2.2524999999999999</v>
      </c>
      <c r="T1478" s="5">
        <v>0.4713</v>
      </c>
      <c r="U1478" s="5">
        <v>0.45590000000000003</v>
      </c>
      <c r="V1478" s="4">
        <v>1</v>
      </c>
      <c r="W1478" s="4">
        <v>1</v>
      </c>
      <c r="X1478" s="5">
        <v>4.6100000000000003</v>
      </c>
      <c r="Y1478" s="5">
        <v>4.5999999999999996</v>
      </c>
      <c r="Z1478" s="6">
        <v>1000</v>
      </c>
      <c r="AA1478" s="6">
        <v>1000</v>
      </c>
      <c r="AB1478" s="4" t="s">
        <v>13</v>
      </c>
    </row>
    <row r="1479" spans="1:28">
      <c r="A1479" s="3" t="s">
        <v>160</v>
      </c>
      <c r="B1479" s="24" t="s">
        <v>2186</v>
      </c>
      <c r="C1479" s="26" t="s">
        <v>2187</v>
      </c>
      <c r="D1479" s="4">
        <v>47</v>
      </c>
      <c r="E1479" s="3" t="s">
        <v>172</v>
      </c>
      <c r="F1479" s="3" t="s">
        <v>2188</v>
      </c>
      <c r="G1479" s="4">
        <v>53.7</v>
      </c>
      <c r="H1479" s="3" t="s">
        <v>173</v>
      </c>
      <c r="I1479" s="3" t="s">
        <v>179</v>
      </c>
      <c r="J1479" s="4">
        <v>2</v>
      </c>
      <c r="K1479" s="4">
        <v>1158.5554999999999</v>
      </c>
      <c r="L1479" s="4" t="str">
        <f>HYPERLINK("http://ms.phosphosite.org:5080/cgi-bin/plot-msms.cgi?MassType=1&amp;NumAxis=1&amp;Mod7=170&amp;Mod20=147&amp;Pep=VGSSNFRGGLGGGYGGASGMGGITAV&amp;Dta=/var/www/html/dta/yong/23612.12973.2.dta&amp;Global_Mod=CS57.0215", "12973")</f>
        <v>12973</v>
      </c>
      <c r="M1479" s="4" t="str">
        <f>HYPERLINK("http://ms.phosphosite.org:5080/cgi-bin/plot-msms.cgi?MassType=1&amp;NumAxis=1&amp;Mod7=170&amp;Mod20=147&amp;Pep=VGSSNFRGGLGGGYGGASGMGGITAV&amp;Dta=/var/www/html/dta/yong/23613.23215.2.dta&amp;Global_Mod=CS57.0215", "23215")</f>
        <v>23215</v>
      </c>
      <c r="N1479" s="5">
        <v>54.16</v>
      </c>
      <c r="O1479" s="5">
        <v>98.96</v>
      </c>
      <c r="P1479" s="5">
        <v>4.335</v>
      </c>
      <c r="Q1479" s="5">
        <v>3.2250000000000001</v>
      </c>
      <c r="R1479" s="5">
        <v>0.98650000000000004</v>
      </c>
      <c r="S1479" s="5">
        <v>1.7702</v>
      </c>
      <c r="T1479" s="5">
        <v>0.32850000000000001</v>
      </c>
      <c r="U1479" s="5">
        <v>0.29680000000000001</v>
      </c>
      <c r="V1479" s="4">
        <v>1</v>
      </c>
      <c r="W1479" s="4">
        <v>1</v>
      </c>
      <c r="X1479" s="5">
        <v>3.98</v>
      </c>
      <c r="Y1479" s="5">
        <v>3.64</v>
      </c>
      <c r="Z1479" s="6">
        <v>1000</v>
      </c>
      <c r="AA1479" s="6">
        <v>1000</v>
      </c>
      <c r="AB1479" s="4" t="s">
        <v>13</v>
      </c>
    </row>
    <row r="1480" spans="1:28">
      <c r="A1480" s="3" t="s">
        <v>160</v>
      </c>
      <c r="B1480" s="24" t="s">
        <v>2186</v>
      </c>
      <c r="C1480" s="26" t="s">
        <v>2187</v>
      </c>
      <c r="D1480" s="4">
        <v>47</v>
      </c>
      <c r="E1480" s="3" t="s">
        <v>172</v>
      </c>
      <c r="F1480" s="3" t="s">
        <v>2188</v>
      </c>
      <c r="G1480" s="4">
        <v>53.7</v>
      </c>
      <c r="H1480" s="3" t="s">
        <v>173</v>
      </c>
      <c r="I1480" s="3" t="s">
        <v>179</v>
      </c>
      <c r="J1480" s="4">
        <v>2</v>
      </c>
      <c r="K1480" s="4">
        <v>1158.5554999999999</v>
      </c>
      <c r="L1480" s="4" t="str">
        <f>HYPERLINK("http://ms.phosphosite.org:5080/cgi-bin/plot-msms.cgi?MassType=1&amp;NumAxis=1&amp;Mod7=170&amp;Mod20=147&amp;Pep=VGSSNFRGGLGGGYGGASGMGGITAV&amp;Dta=/var/www/html/dta/yong/23612.22185.2.dta&amp;Global_Mod=CS57.0215", "22185")</f>
        <v>22185</v>
      </c>
      <c r="M1480" s="4" t="str">
        <f>HYPERLINK("http://ms.phosphosite.org:5080/cgi-bin/plot-msms.cgi?MassType=1&amp;NumAxis=1&amp;Mod7=170&amp;Mod20=147&amp;Pep=VGSSNFRGGLGGGYGGASGMGGITAV&amp;Dta=/var/www/html/dta/yong/23613.24933.2.dta&amp;Global_Mod=CS57.0215", "24933")</f>
        <v>24933</v>
      </c>
      <c r="N1480" s="5">
        <v>94.11</v>
      </c>
      <c r="O1480" s="5">
        <v>109.04</v>
      </c>
      <c r="P1480" s="5">
        <v>4.343</v>
      </c>
      <c r="Q1480" s="5">
        <v>4.4320000000000004</v>
      </c>
      <c r="R1480" s="5">
        <v>-0.52639999999999998</v>
      </c>
      <c r="S1480" s="5">
        <v>2.3248000000000002</v>
      </c>
      <c r="T1480" s="5">
        <v>0.3629</v>
      </c>
      <c r="U1480" s="5">
        <v>0.33679999999999999</v>
      </c>
      <c r="V1480" s="4">
        <v>1</v>
      </c>
      <c r="W1480" s="4">
        <v>1</v>
      </c>
      <c r="X1480" s="5">
        <v>4.13</v>
      </c>
      <c r="Y1480" s="5">
        <v>4.0599999999999996</v>
      </c>
      <c r="Z1480" s="6">
        <v>1000</v>
      </c>
      <c r="AA1480" s="6">
        <v>1000</v>
      </c>
      <c r="AB1480" s="4" t="s">
        <v>13</v>
      </c>
    </row>
    <row r="1481" spans="1:28">
      <c r="A1481" s="3" t="s">
        <v>160</v>
      </c>
      <c r="B1481" s="24" t="s">
        <v>2186</v>
      </c>
      <c r="C1481" s="26" t="s">
        <v>2187</v>
      </c>
      <c r="D1481" s="4">
        <v>47</v>
      </c>
      <c r="E1481" s="3" t="s">
        <v>172</v>
      </c>
      <c r="F1481" s="3" t="s">
        <v>2188</v>
      </c>
      <c r="G1481" s="4">
        <v>53.7</v>
      </c>
      <c r="H1481" s="3" t="s">
        <v>173</v>
      </c>
      <c r="I1481" s="3" t="s">
        <v>179</v>
      </c>
      <c r="J1481" s="4">
        <v>2</v>
      </c>
      <c r="K1481" s="4">
        <v>1158.5554999999999</v>
      </c>
      <c r="L1481" s="4" t="str">
        <f>HYPERLINK("http://ms.phosphosite.org:5080/cgi-bin/plot-msms.cgi?MassType=1&amp;NumAxis=1&amp;Mod7=170&amp;Mod20=147&amp;Pep=VGSSNFRGGLGGGYGGASGMGGITAV&amp;Dta=/var/www/html/dta/yong/23612.19011.2.dta&amp;Global_Mod=CS57.0215", "19011")</f>
        <v>19011</v>
      </c>
      <c r="M1481" s="4" t="str">
        <f>HYPERLINK("http://ms.phosphosite.org:5080/cgi-bin/plot-msms.cgi?MassType=1&amp;NumAxis=1&amp;Mod7=170&amp;Mod20=147&amp;Pep=VGSSNFRGGLGGGYGGASGMGGITAV&amp;Dta=/var/www/html/dta/yong/23613.14263.2.dta&amp;Global_Mod=CS57.0215", "14263")</f>
        <v>14263</v>
      </c>
      <c r="N1481" s="5">
        <v>78.8</v>
      </c>
      <c r="O1481" s="5">
        <v>58.51</v>
      </c>
      <c r="P1481" s="5">
        <v>4.3730000000000002</v>
      </c>
      <c r="Q1481" s="5">
        <v>4.8159999999999998</v>
      </c>
      <c r="R1481" s="5">
        <v>1.1603000000000001</v>
      </c>
      <c r="S1481" s="5">
        <v>1.7445999999999999</v>
      </c>
      <c r="T1481" s="5">
        <v>0.19969999999999999</v>
      </c>
      <c r="U1481" s="5">
        <v>0.48330000000000001</v>
      </c>
      <c r="V1481" s="4">
        <v>1</v>
      </c>
      <c r="W1481" s="4">
        <v>1</v>
      </c>
      <c r="X1481" s="5">
        <v>3.34</v>
      </c>
      <c r="Y1481" s="5">
        <v>4.8899999999999997</v>
      </c>
      <c r="Z1481" s="6">
        <v>1000</v>
      </c>
      <c r="AA1481" s="6">
        <v>1000</v>
      </c>
      <c r="AB1481" s="4" t="s">
        <v>13</v>
      </c>
    </row>
    <row r="1482" spans="1:28">
      <c r="A1482" s="3" t="s">
        <v>160</v>
      </c>
      <c r="B1482" s="24" t="s">
        <v>2186</v>
      </c>
      <c r="C1482" s="26" t="s">
        <v>2187</v>
      </c>
      <c r="D1482" s="4">
        <v>47</v>
      </c>
      <c r="E1482" s="3" t="s">
        <v>172</v>
      </c>
      <c r="F1482" s="3" t="s">
        <v>2188</v>
      </c>
      <c r="G1482" s="4">
        <v>53.7</v>
      </c>
      <c r="H1482" s="3" t="s">
        <v>173</v>
      </c>
      <c r="I1482" s="3" t="s">
        <v>179</v>
      </c>
      <c r="J1482" s="4">
        <v>2</v>
      </c>
      <c r="K1482" s="4">
        <v>1158.5554999999999</v>
      </c>
      <c r="L1482" s="4" t="str">
        <f>HYPERLINK("http://ms.phosphosite.org:5080/cgi-bin/plot-msms.cgi?MassType=1&amp;NumAxis=1&amp;Mod7=170&amp;Mod20=147&amp;Pep=VGSSNFRGGLGGGYGGASGMGGITAV&amp;Dta=/var/www/html/dta/yong/23612.17764.2.dta&amp;Global_Mod=CS57.0215", "17764")</f>
        <v>17764</v>
      </c>
      <c r="M1482" s="4" t="str">
        <f>HYPERLINK("http://ms.phosphosite.org:5080/cgi-bin/plot-msms.cgi?MassType=1&amp;NumAxis=1&amp;Mod7=170&amp;Mod20=147&amp;Pep=VGSSNFRGGLGGGYGGASGMGGITAV&amp;Dta=/var/www/html/dta/yong/23613.13990.2.dta&amp;Global_Mod=CS57.0215", "13990")</f>
        <v>13990</v>
      </c>
      <c r="N1482" s="5">
        <v>73.12</v>
      </c>
      <c r="O1482" s="5">
        <v>57.49</v>
      </c>
      <c r="P1482" s="5">
        <v>4.3970000000000002</v>
      </c>
      <c r="Q1482" s="5">
        <v>4.8109999999999999</v>
      </c>
      <c r="R1482" s="5">
        <v>0.87480000000000002</v>
      </c>
      <c r="S1482" s="5">
        <v>1.1043000000000001</v>
      </c>
      <c r="T1482" s="5">
        <v>0.32900000000000001</v>
      </c>
      <c r="U1482" s="5">
        <v>0.41370000000000001</v>
      </c>
      <c r="V1482" s="4">
        <v>1</v>
      </c>
      <c r="W1482" s="4">
        <v>1</v>
      </c>
      <c r="X1482" s="5">
        <v>4</v>
      </c>
      <c r="Y1482" s="5">
        <v>4.58</v>
      </c>
      <c r="Z1482" s="6">
        <v>1000</v>
      </c>
      <c r="AA1482" s="6">
        <v>1000</v>
      </c>
      <c r="AB1482" s="4" t="s">
        <v>13</v>
      </c>
    </row>
    <row r="1483" spans="1:28">
      <c r="A1483" s="3" t="s">
        <v>160</v>
      </c>
      <c r="B1483" s="24" t="s">
        <v>2186</v>
      </c>
      <c r="C1483" s="26" t="s">
        <v>2187</v>
      </c>
      <c r="D1483" s="4">
        <v>47</v>
      </c>
      <c r="E1483" s="3" t="s">
        <v>172</v>
      </c>
      <c r="F1483" s="3" t="s">
        <v>2188</v>
      </c>
      <c r="G1483" s="4">
        <v>53.7</v>
      </c>
      <c r="H1483" s="3" t="s">
        <v>173</v>
      </c>
      <c r="I1483" s="3" t="s">
        <v>179</v>
      </c>
      <c r="J1483" s="4">
        <v>2</v>
      </c>
      <c r="K1483" s="4">
        <v>1158.5554999999999</v>
      </c>
      <c r="L1483" s="4" t="str">
        <f>HYPERLINK("http://ms.phosphosite.org:5080/cgi-bin/plot-msms.cgi?MassType=1&amp;NumAxis=1&amp;Mod7=170&amp;Mod20=147&amp;Pep=VGSSNFRGGLGGGYGGASGMGGITAV&amp;Dta=/var/www/html/dta/yong/23612.15556.2.dta&amp;Global_Mod=CS57.0215", "15556")</f>
        <v>15556</v>
      </c>
      <c r="M1483" s="4" t="str">
        <f>HYPERLINK("http://ms.phosphosite.org:5080/cgi-bin/plot-msms.cgi?MassType=1&amp;NumAxis=1&amp;Mod7=170&amp;Mod20=147&amp;Pep=VGSSNFRGGLGGGYGGASGMGGITAV&amp;Dta=/var/www/html/dta/yong/23613.24799.2.dta&amp;Global_Mod=CS57.0215", "24799")</f>
        <v>24799</v>
      </c>
      <c r="N1483" s="5">
        <v>63.78</v>
      </c>
      <c r="O1483" s="5">
        <v>108.33</v>
      </c>
      <c r="P1483" s="5">
        <v>4.3659999999999997</v>
      </c>
      <c r="Q1483" s="5">
        <v>4.82</v>
      </c>
      <c r="R1483" s="5">
        <v>1.8931</v>
      </c>
      <c r="S1483" s="5">
        <v>2.0407999999999999</v>
      </c>
      <c r="T1483" s="5">
        <v>0.40129999999999999</v>
      </c>
      <c r="U1483" s="5">
        <v>0.35349999999999998</v>
      </c>
      <c r="V1483" s="4">
        <v>1</v>
      </c>
      <c r="W1483" s="4">
        <v>1</v>
      </c>
      <c r="X1483" s="5">
        <v>4.29</v>
      </c>
      <c r="Y1483" s="5">
        <v>4.2300000000000004</v>
      </c>
      <c r="Z1483" s="6">
        <v>1000</v>
      </c>
      <c r="AA1483" s="6">
        <v>1000</v>
      </c>
      <c r="AB1483" s="4" t="s">
        <v>13</v>
      </c>
    </row>
    <row r="1484" spans="1:28">
      <c r="A1484" s="3" t="s">
        <v>160</v>
      </c>
      <c r="B1484" s="24" t="s">
        <v>2186</v>
      </c>
      <c r="C1484" s="26" t="s">
        <v>2187</v>
      </c>
      <c r="D1484" s="4">
        <v>47</v>
      </c>
      <c r="E1484" s="3" t="s">
        <v>172</v>
      </c>
      <c r="F1484" s="3" t="s">
        <v>2188</v>
      </c>
      <c r="G1484" s="4">
        <v>53.7</v>
      </c>
      <c r="H1484" s="3" t="s">
        <v>173</v>
      </c>
      <c r="I1484" s="3" t="s">
        <v>179</v>
      </c>
      <c r="J1484" s="4">
        <v>2</v>
      </c>
      <c r="K1484" s="4">
        <v>1158.5554999999999</v>
      </c>
      <c r="L1484" s="4" t="str">
        <f>HYPERLINK("http://ms.phosphosite.org:5080/cgi-bin/plot-msms.cgi?MassType=1&amp;NumAxis=1&amp;Mod7=170&amp;Mod20=147&amp;Pep=VGSSNFRGGLGGGYGGASGMGGITAV&amp;Dta=/var/www/html/dta/yong/23612.13896.2.dta&amp;Global_Mod=CS57.0215", "13896")</f>
        <v>13896</v>
      </c>
      <c r="M1484" s="4" t="str">
        <f>HYPERLINK("http://ms.phosphosite.org:5080/cgi-bin/plot-msms.cgi?MassType=1&amp;NumAxis=1&amp;Mod7=170&amp;Mod20=147&amp;Pep=VGSSNFRGGLGGGYGGASGMGGITAV&amp;Dta=/var/www/html/dta/yong/23613.24414.2.dta&amp;Global_Mod=CS57.0215", "24414")</f>
        <v>24414</v>
      </c>
      <c r="N1484" s="5">
        <v>57.53</v>
      </c>
      <c r="O1484" s="5">
        <v>105.2</v>
      </c>
      <c r="P1484" s="5">
        <v>4.532</v>
      </c>
      <c r="Q1484" s="5">
        <v>4.2160000000000002</v>
      </c>
      <c r="R1484" s="5">
        <v>1.2399</v>
      </c>
      <c r="S1484" s="5">
        <v>2.2006000000000001</v>
      </c>
      <c r="T1484" s="5">
        <v>0.36009999999999998</v>
      </c>
      <c r="U1484" s="5">
        <v>0.45579999999999998</v>
      </c>
      <c r="V1484" s="4">
        <v>1</v>
      </c>
      <c r="W1484" s="4">
        <v>1</v>
      </c>
      <c r="X1484" s="5">
        <v>4.16</v>
      </c>
      <c r="Y1484" s="5">
        <v>4.6100000000000003</v>
      </c>
      <c r="Z1484" s="6">
        <v>1000</v>
      </c>
      <c r="AA1484" s="6">
        <v>1000</v>
      </c>
      <c r="AB1484" s="4" t="s">
        <v>13</v>
      </c>
    </row>
    <row r="1485" spans="1:28">
      <c r="A1485" s="3" t="s">
        <v>160</v>
      </c>
      <c r="B1485" s="24" t="s">
        <v>2186</v>
      </c>
      <c r="C1485" s="26" t="s">
        <v>2187</v>
      </c>
      <c r="D1485" s="4">
        <v>47</v>
      </c>
      <c r="E1485" s="3" t="s">
        <v>172</v>
      </c>
      <c r="F1485" s="3" t="s">
        <v>2188</v>
      </c>
      <c r="G1485" s="4">
        <v>53.7</v>
      </c>
      <c r="H1485" s="3" t="s">
        <v>173</v>
      </c>
      <c r="I1485" s="3" t="s">
        <v>179</v>
      </c>
      <c r="J1485" s="4">
        <v>2</v>
      </c>
      <c r="K1485" s="4">
        <v>1158.5554999999999</v>
      </c>
      <c r="L1485" s="4" t="str">
        <f>HYPERLINK("http://ms.phosphosite.org:5080/cgi-bin/plot-msms.cgi?MassType=1&amp;NumAxis=1&amp;Mod7=170&amp;Mod20=147&amp;Pep=VGSSNFRGGLGGGYGGASGMGGITAV&amp;Dta=/var/www/html/dta/yong/23612.14574.2.dta&amp;Global_Mod=CS57.0215", "14574")</f>
        <v>14574</v>
      </c>
      <c r="M1485" s="4" t="str">
        <f>HYPERLINK("http://ms.phosphosite.org:5080/cgi-bin/plot-msms.cgi?MassType=1&amp;NumAxis=1&amp;Mod7=170&amp;Mod20=147&amp;Pep=VGSSNFRGGLGGGYGGASGMGGITAV&amp;Dta=/var/www/html/dta/yong/23613.25099.2.dta&amp;Global_Mod=CS57.0215", "25099")</f>
        <v>25099</v>
      </c>
      <c r="N1485" s="5">
        <v>59.99</v>
      </c>
      <c r="O1485" s="5">
        <v>109.9</v>
      </c>
      <c r="P1485" s="5">
        <v>4.6959999999999997</v>
      </c>
      <c r="Q1485" s="5">
        <v>4.83</v>
      </c>
      <c r="R1485" s="5">
        <v>1.5235000000000001</v>
      </c>
      <c r="S1485" s="5">
        <v>1.4218999999999999</v>
      </c>
      <c r="T1485" s="5">
        <v>0.47539999999999999</v>
      </c>
      <c r="U1485" s="5">
        <v>0.29449999999999998</v>
      </c>
      <c r="V1485" s="4">
        <v>1</v>
      </c>
      <c r="W1485" s="4">
        <v>1</v>
      </c>
      <c r="X1485" s="5">
        <v>4.74</v>
      </c>
      <c r="Y1485" s="5">
        <v>3.98</v>
      </c>
      <c r="Z1485" s="6">
        <v>1000</v>
      </c>
      <c r="AA1485" s="6">
        <v>1000</v>
      </c>
      <c r="AB1485" s="4" t="s">
        <v>13</v>
      </c>
    </row>
    <row r="1486" spans="1:28">
      <c r="A1486" s="3" t="s">
        <v>160</v>
      </c>
      <c r="B1486" s="24" t="s">
        <v>2186</v>
      </c>
      <c r="C1486" s="26" t="s">
        <v>2187</v>
      </c>
      <c r="D1486" s="4">
        <v>47</v>
      </c>
      <c r="E1486" s="3" t="s">
        <v>172</v>
      </c>
      <c r="F1486" s="3" t="s">
        <v>2188</v>
      </c>
      <c r="G1486" s="4">
        <v>53.7</v>
      </c>
      <c r="H1486" s="3" t="s">
        <v>173</v>
      </c>
      <c r="I1486" s="3" t="s">
        <v>179</v>
      </c>
      <c r="J1486" s="4">
        <v>2</v>
      </c>
      <c r="K1486" s="4">
        <v>1158.5554999999999</v>
      </c>
      <c r="L1486" s="4" t="str">
        <f>HYPERLINK("http://ms.phosphosite.org:5080/cgi-bin/plot-msms.cgi?MassType=1&amp;NumAxis=1&amp;Mod7=170&amp;Mod20=147&amp;Pep=VGSSNFRGGLGGGYGGASGMGGITAV&amp;Dta=/var/www/html/dta/yong/23612.12257.2.dta&amp;Global_Mod=CS57.0215", "12257")</f>
        <v>12257</v>
      </c>
      <c r="M1486" s="4" t="str">
        <f>HYPERLINK("http://ms.phosphosite.org:5080/cgi-bin/plot-msms.cgi?MassType=1&amp;NumAxis=1&amp;Mod7=170&amp;Mod20=147&amp;Pep=VGSSNFRGGLGGGYGGASGMGGITAV&amp;Dta=/var/www/html/dta/yong/23613.22488.2.dta&amp;Global_Mod=CS57.0215", "22488")</f>
        <v>22488</v>
      </c>
      <c r="N1486" s="5">
        <v>51.61</v>
      </c>
      <c r="O1486" s="5">
        <v>95.2</v>
      </c>
      <c r="P1486" s="5">
        <v>4.6959999999999997</v>
      </c>
      <c r="Q1486" s="5">
        <v>3.6150000000000002</v>
      </c>
      <c r="R1486" s="5">
        <v>0.65629999999999999</v>
      </c>
      <c r="S1486" s="5">
        <v>1.2677</v>
      </c>
      <c r="T1486" s="5">
        <v>0.39629999999999999</v>
      </c>
      <c r="U1486" s="5">
        <v>0.3196</v>
      </c>
      <c r="V1486" s="4">
        <v>1</v>
      </c>
      <c r="W1486" s="4">
        <v>1</v>
      </c>
      <c r="X1486" s="5">
        <v>4.4000000000000004</v>
      </c>
      <c r="Y1486" s="5">
        <v>3.86</v>
      </c>
      <c r="Z1486" s="6">
        <v>1000</v>
      </c>
      <c r="AA1486" s="6">
        <v>1000</v>
      </c>
      <c r="AB1486" s="4" t="s">
        <v>13</v>
      </c>
    </row>
    <row r="1487" spans="1:28">
      <c r="A1487" s="3" t="s">
        <v>160</v>
      </c>
      <c r="B1487" s="24" t="s">
        <v>2186</v>
      </c>
      <c r="C1487" s="26" t="s">
        <v>2187</v>
      </c>
      <c r="D1487" s="4">
        <v>47</v>
      </c>
      <c r="E1487" s="3" t="s">
        <v>172</v>
      </c>
      <c r="F1487" s="3" t="s">
        <v>2188</v>
      </c>
      <c r="G1487" s="4">
        <v>53.7</v>
      </c>
      <c r="H1487" s="3" t="s">
        <v>173</v>
      </c>
      <c r="I1487" s="3" t="s">
        <v>179</v>
      </c>
      <c r="J1487" s="4">
        <v>2</v>
      </c>
      <c r="K1487" s="4">
        <v>1158.5554999999999</v>
      </c>
      <c r="L1487" s="4" t="str">
        <f>HYPERLINK("http://ms.phosphosite.org:5080/cgi-bin/plot-msms.cgi?MassType=1&amp;NumAxis=1&amp;Mod7=170&amp;Mod20=147&amp;Pep=VGSSNFRGGLGGGYGGASGMGGITAV&amp;Dta=/var/www/html/dta/yong/23612.16422.2.dta&amp;Global_Mod=CS57.0215", "16422")</f>
        <v>16422</v>
      </c>
      <c r="M1487" s="4" t="str">
        <f>HYPERLINK("http://ms.phosphosite.org:5080/cgi-bin/plot-msms.cgi?MassType=1&amp;NumAxis=1&amp;Mod7=170&amp;Mod20=147&amp;Pep=VGSSNFRGGLGGGYGGASGMGGITAV&amp;Dta=/var/www/html/dta/yong/23613.24382.2.dta&amp;Global_Mod=CS57.0215", "24382")</f>
        <v>24382</v>
      </c>
      <c r="N1487" s="5">
        <v>67.349999999999994</v>
      </c>
      <c r="O1487" s="5">
        <v>104.83</v>
      </c>
      <c r="P1487" s="5">
        <v>4.7169999999999996</v>
      </c>
      <c r="Q1487" s="5">
        <v>3.3279999999999998</v>
      </c>
      <c r="R1487" s="5">
        <v>2.0528</v>
      </c>
      <c r="S1487" s="5">
        <v>0.8851</v>
      </c>
      <c r="T1487" s="5">
        <v>0.52300000000000002</v>
      </c>
      <c r="U1487" s="5">
        <v>0.41449999999999998</v>
      </c>
      <c r="V1487" s="4">
        <v>1</v>
      </c>
      <c r="W1487" s="4">
        <v>1</v>
      </c>
      <c r="X1487" s="5">
        <v>4.96</v>
      </c>
      <c r="Y1487" s="5">
        <v>4.29</v>
      </c>
      <c r="Z1487" s="6">
        <v>1000</v>
      </c>
      <c r="AA1487" s="6">
        <v>1000</v>
      </c>
      <c r="AB1487" s="4" t="s">
        <v>13</v>
      </c>
    </row>
    <row r="1488" spans="1:28">
      <c r="A1488" s="3" t="s">
        <v>160</v>
      </c>
      <c r="B1488" s="24" t="s">
        <v>2186</v>
      </c>
      <c r="C1488" s="26" t="s">
        <v>2187</v>
      </c>
      <c r="D1488" s="4">
        <v>47</v>
      </c>
      <c r="E1488" s="3" t="s">
        <v>172</v>
      </c>
      <c r="F1488" s="3" t="s">
        <v>2188</v>
      </c>
      <c r="G1488" s="4">
        <v>53.7</v>
      </c>
      <c r="H1488" s="3" t="s">
        <v>173</v>
      </c>
      <c r="I1488" s="3" t="s">
        <v>179</v>
      </c>
      <c r="J1488" s="4">
        <v>2</v>
      </c>
      <c r="K1488" s="4">
        <v>1158.5554999999999</v>
      </c>
      <c r="L1488" s="4" t="str">
        <f>HYPERLINK("http://ms.phosphosite.org:5080/cgi-bin/plot-msms.cgi?MassType=1&amp;NumAxis=1&amp;Mod7=170&amp;Mod20=147&amp;Pep=VGSSNFRGGLGGGYGGASGMGGITAV&amp;Dta=/var/www/html/dta/yong/23612.17118.2.dta&amp;Global_Mod=CS57.0215", "17118")</f>
        <v>17118</v>
      </c>
      <c r="M1488" s="4" t="str">
        <f>HYPERLINK("http://ms.phosphosite.org:5080/cgi-bin/plot-msms.cgi?MassType=1&amp;NumAxis=1&amp;Mod7=170&amp;Mod20=147&amp;Pep=VGSSNFRGGLGGGYGGASGMGGITAV&amp;Dta=/var/www/html/dta/yong/23613.18732.2.dta&amp;Global_Mod=CS57.0215", "18732")</f>
        <v>18732</v>
      </c>
      <c r="N1488" s="5">
        <v>70.27</v>
      </c>
      <c r="O1488" s="5">
        <v>77.05</v>
      </c>
      <c r="P1488" s="5">
        <v>4.7430000000000003</v>
      </c>
      <c r="Q1488" s="5">
        <v>4.3220000000000001</v>
      </c>
      <c r="R1488" s="5">
        <v>0.27179999999999999</v>
      </c>
      <c r="S1488" s="5">
        <v>1.8718999999999999</v>
      </c>
      <c r="T1488" s="5">
        <v>0.3972</v>
      </c>
      <c r="U1488" s="5">
        <v>0.42430000000000001</v>
      </c>
      <c r="V1488" s="4">
        <v>1</v>
      </c>
      <c r="W1488" s="4">
        <v>1</v>
      </c>
      <c r="X1488" s="5">
        <v>4.42</v>
      </c>
      <c r="Y1488" s="5">
        <v>4.49</v>
      </c>
      <c r="Z1488" s="6">
        <v>1000</v>
      </c>
      <c r="AA1488" s="6">
        <v>1000</v>
      </c>
      <c r="AB1488" s="4" t="s">
        <v>13</v>
      </c>
    </row>
    <row r="1489" spans="1:28">
      <c r="A1489" s="3" t="s">
        <v>160</v>
      </c>
      <c r="B1489" s="24" t="s">
        <v>2186</v>
      </c>
      <c r="C1489" s="26" t="s">
        <v>2187</v>
      </c>
      <c r="D1489" s="4">
        <v>47</v>
      </c>
      <c r="E1489" s="3" t="s">
        <v>172</v>
      </c>
      <c r="F1489" s="3" t="s">
        <v>2188</v>
      </c>
      <c r="G1489" s="4">
        <v>53.7</v>
      </c>
      <c r="H1489" s="3" t="s">
        <v>173</v>
      </c>
      <c r="I1489" s="3" t="s">
        <v>179</v>
      </c>
      <c r="J1489" s="4">
        <v>2</v>
      </c>
      <c r="K1489" s="4">
        <v>1158.5554999999999</v>
      </c>
      <c r="L1489" s="4" t="str">
        <f>HYPERLINK("http://ms.phosphosite.org:5080/cgi-bin/plot-msms.cgi?MassType=1&amp;NumAxis=1&amp;Mod7=170&amp;Mod20=147&amp;Pep=VGSSNFRGGLGGGYGGASGMGGITAV&amp;Dta=/var/www/html/dta/yong/23612.15871.2.dta&amp;Global_Mod=CS57.0215", "15871")</f>
        <v>15871</v>
      </c>
      <c r="M1489" s="4" t="str">
        <f>HYPERLINK("http://ms.phosphosite.org:5080/cgi-bin/plot-msms.cgi?MassType=1&amp;NumAxis=1&amp;Mod7=170&amp;Mod20=147&amp;Pep=VGSSNFRGGLGGGYGGASGMGGITAV&amp;Dta=/var/www/html/dta/yong/23613.12745.2.dta&amp;Global_Mod=CS57.0215", "12745")</f>
        <v>12745</v>
      </c>
      <c r="N1489" s="5">
        <v>65.11</v>
      </c>
      <c r="O1489" s="5">
        <v>53.06</v>
      </c>
      <c r="P1489" s="5">
        <v>4.7190000000000003</v>
      </c>
      <c r="Q1489" s="5">
        <v>4.7210000000000001</v>
      </c>
      <c r="R1489" s="5">
        <v>1.6003000000000001</v>
      </c>
      <c r="S1489" s="5">
        <v>1.2412000000000001</v>
      </c>
      <c r="T1489" s="5">
        <v>0.44080000000000003</v>
      </c>
      <c r="U1489" s="5">
        <v>0.42709999999999998</v>
      </c>
      <c r="V1489" s="4">
        <v>1</v>
      </c>
      <c r="W1489" s="4">
        <v>1</v>
      </c>
      <c r="X1489" s="5">
        <v>4.57</v>
      </c>
      <c r="Y1489" s="5">
        <v>4.62</v>
      </c>
      <c r="Z1489" s="6">
        <v>1000</v>
      </c>
      <c r="AA1489" s="6">
        <v>1000</v>
      </c>
      <c r="AB1489" s="4" t="s">
        <v>13</v>
      </c>
    </row>
    <row r="1490" spans="1:28">
      <c r="A1490" s="3" t="s">
        <v>160</v>
      </c>
      <c r="B1490" s="24" t="s">
        <v>2186</v>
      </c>
      <c r="C1490" s="26" t="s">
        <v>2187</v>
      </c>
      <c r="D1490" s="4">
        <v>47</v>
      </c>
      <c r="E1490" s="3" t="s">
        <v>172</v>
      </c>
      <c r="F1490" s="3" t="s">
        <v>2188</v>
      </c>
      <c r="G1490" s="4">
        <v>53.7</v>
      </c>
      <c r="H1490" s="3" t="s">
        <v>173</v>
      </c>
      <c r="I1490" s="3" t="s">
        <v>179</v>
      </c>
      <c r="J1490" s="4">
        <v>2</v>
      </c>
      <c r="K1490" s="4">
        <v>1158.5554999999999</v>
      </c>
      <c r="L1490" s="4" t="str">
        <f>HYPERLINK("http://ms.phosphosite.org:5080/cgi-bin/plot-msms.cgi?MassType=1&amp;NumAxis=1&amp;Mod7=170&amp;Mod20=147&amp;Pep=VGSSNFRGGLGGGYGGASGMGGITAV&amp;Dta=/var/www/html/dta/yong/23612.24764.2.dta&amp;Global_Mod=CS57.0215", "24764")</f>
        <v>24764</v>
      </c>
      <c r="M1490" s="4" t="str">
        <f>HYPERLINK("http://ms.phosphosite.org:5080/cgi-bin/plot-msms.cgi?MassType=1&amp;NumAxis=1&amp;Mod7=170&amp;Mod20=147&amp;Pep=VGSSNFRGGLGGGYGGASGMGGITAV&amp;Dta=/var/www/html/dta/yong/23613.16029.2.dta&amp;Global_Mod=CS57.0215", "16029")</f>
        <v>16029</v>
      </c>
      <c r="N1490" s="5">
        <v>108.36</v>
      </c>
      <c r="O1490" s="5">
        <v>65.39</v>
      </c>
      <c r="P1490" s="5">
        <v>4.6849999999999996</v>
      </c>
      <c r="Q1490" s="5">
        <v>3.3279999999999998</v>
      </c>
      <c r="R1490" s="5">
        <v>0.54010000000000002</v>
      </c>
      <c r="S1490" s="5">
        <v>0.14199999999999999</v>
      </c>
      <c r="T1490" s="5">
        <v>0.42480000000000001</v>
      </c>
      <c r="U1490" s="5">
        <v>0.38769999999999999</v>
      </c>
      <c r="V1490" s="4">
        <v>1</v>
      </c>
      <c r="W1490" s="4">
        <v>1</v>
      </c>
      <c r="X1490" s="5">
        <v>4.54</v>
      </c>
      <c r="Y1490" s="5">
        <v>4.17</v>
      </c>
      <c r="Z1490" s="6">
        <v>1000</v>
      </c>
      <c r="AA1490" s="6">
        <v>1000</v>
      </c>
      <c r="AB1490" s="4" t="s">
        <v>13</v>
      </c>
    </row>
    <row r="1491" spans="1:28">
      <c r="A1491" s="3" t="s">
        <v>160</v>
      </c>
      <c r="B1491" s="24" t="s">
        <v>2186</v>
      </c>
      <c r="C1491" s="26" t="s">
        <v>2187</v>
      </c>
      <c r="D1491" s="4">
        <v>47</v>
      </c>
      <c r="E1491" s="3" t="s">
        <v>172</v>
      </c>
      <c r="F1491" s="3" t="s">
        <v>2188</v>
      </c>
      <c r="G1491" s="4">
        <v>53.7</v>
      </c>
      <c r="H1491" s="3" t="s">
        <v>173</v>
      </c>
      <c r="I1491" s="3" t="s">
        <v>179</v>
      </c>
      <c r="J1491" s="4">
        <v>2</v>
      </c>
      <c r="K1491" s="4">
        <v>1158.5554999999999</v>
      </c>
      <c r="L1491" s="4" t="str">
        <f>HYPERLINK("http://ms.phosphosite.org:5080/cgi-bin/plot-msms.cgi?MassType=1&amp;NumAxis=1&amp;Mod7=170&amp;Mod20=147&amp;Pep=VGSSNFRGGLGGGYGGASGMGGITAV&amp;Dta=/var/www/html/dta/yong/23612.16716.2.dta&amp;Global_Mod=CS57.0215", "16716")</f>
        <v>16716</v>
      </c>
      <c r="M1491" s="4" t="str">
        <f>HYPERLINK("http://ms.phosphosite.org:5080/cgi-bin/plot-msms.cgi?MassType=1&amp;NumAxis=1&amp;Mod7=170&amp;Mod20=147&amp;Pep=VGSSNFRGGLGGGYGGASGMGGITAV&amp;Dta=/var/www/html/dta/yong/23613.14031.2.dta&amp;Global_Mod=CS57.0215", "14031")</f>
        <v>14031</v>
      </c>
      <c r="N1491" s="5">
        <v>68.63</v>
      </c>
      <c r="O1491" s="5">
        <v>57.63</v>
      </c>
      <c r="P1491" s="5">
        <v>4.6589999999999998</v>
      </c>
      <c r="Q1491" s="5">
        <v>4.7789999999999999</v>
      </c>
      <c r="R1491" s="5">
        <v>2.4281999999999999</v>
      </c>
      <c r="S1491" s="5">
        <v>1.0234000000000001</v>
      </c>
      <c r="T1491" s="5">
        <v>0.44769999999999999</v>
      </c>
      <c r="U1491" s="5">
        <v>0.31769999999999998</v>
      </c>
      <c r="V1491" s="4">
        <v>1</v>
      </c>
      <c r="W1491" s="4">
        <v>1</v>
      </c>
      <c r="X1491" s="5">
        <v>4.55</v>
      </c>
      <c r="Y1491" s="5">
        <v>4.0999999999999996</v>
      </c>
      <c r="Z1491" s="6">
        <v>1000</v>
      </c>
      <c r="AA1491" s="6">
        <v>1000</v>
      </c>
      <c r="AB1491" s="4" t="s">
        <v>13</v>
      </c>
    </row>
    <row r="1492" spans="1:28">
      <c r="A1492" s="3" t="s">
        <v>160</v>
      </c>
      <c r="B1492" s="24" t="s">
        <v>2186</v>
      </c>
      <c r="C1492" s="26" t="s">
        <v>2187</v>
      </c>
      <c r="D1492" s="4">
        <v>47</v>
      </c>
      <c r="E1492" s="3" t="s">
        <v>172</v>
      </c>
      <c r="F1492" s="3" t="s">
        <v>2188</v>
      </c>
      <c r="G1492" s="4">
        <v>53.7</v>
      </c>
      <c r="H1492" s="3" t="s">
        <v>173</v>
      </c>
      <c r="I1492" s="3" t="s">
        <v>179</v>
      </c>
      <c r="J1492" s="4">
        <v>2</v>
      </c>
      <c r="K1492" s="4">
        <v>1158.5554999999999</v>
      </c>
      <c r="L1492" s="4" t="str">
        <f>HYPERLINK("http://ms.phosphosite.org:5080/cgi-bin/plot-msms.cgi?MassType=1&amp;NumAxis=1&amp;Mod7=170&amp;Mod20=147&amp;Pep=VGSSNFRGGLGGGYGGASGMGGITAV&amp;Dta=/var/www/html/dta/yong/23612.12040.2.dta&amp;Global_Mod=CS57.0215", "12040")</f>
        <v>12040</v>
      </c>
      <c r="M1492" s="4" t="str">
        <f>HYPERLINK("http://ms.phosphosite.org:5080/cgi-bin/plot-msms.cgi?MassType=1&amp;NumAxis=1&amp;Mod7=170&amp;Mod20=147&amp;Pep=VGSSNFRGGLGGGYGGASGMGGITAV&amp;Dta=/var/www/html/dta/yong/23613.24364.2.dta&amp;Global_Mod=CS57.0215", "24364")</f>
        <v>24364</v>
      </c>
      <c r="N1492" s="5">
        <v>50.92</v>
      </c>
      <c r="O1492" s="5">
        <v>104.7</v>
      </c>
      <c r="P1492" s="5">
        <v>4.6050000000000004</v>
      </c>
      <c r="Q1492" s="5">
        <v>4.7990000000000004</v>
      </c>
      <c r="R1492" s="5">
        <v>0.31259999999999999</v>
      </c>
      <c r="S1492" s="5">
        <v>1.4156</v>
      </c>
      <c r="T1492" s="5">
        <v>0.32419999999999999</v>
      </c>
      <c r="U1492" s="5">
        <v>0.35970000000000002</v>
      </c>
      <c r="V1492" s="4">
        <v>1</v>
      </c>
      <c r="W1492" s="4">
        <v>1</v>
      </c>
      <c r="X1492" s="5">
        <v>4.03</v>
      </c>
      <c r="Y1492" s="5">
        <v>4.29</v>
      </c>
      <c r="Z1492" s="6">
        <v>1000</v>
      </c>
      <c r="AA1492" s="6">
        <v>1000</v>
      </c>
      <c r="AB1492" s="4" t="s">
        <v>13</v>
      </c>
    </row>
    <row r="1493" spans="1:28">
      <c r="A1493" s="3" t="s">
        <v>160</v>
      </c>
      <c r="B1493" s="24" t="s">
        <v>2186</v>
      </c>
      <c r="C1493" s="26" t="s">
        <v>2187</v>
      </c>
      <c r="D1493" s="4">
        <v>47</v>
      </c>
      <c r="E1493" s="3" t="s">
        <v>172</v>
      </c>
      <c r="F1493" s="3" t="s">
        <v>2188</v>
      </c>
      <c r="G1493" s="4">
        <v>53.7</v>
      </c>
      <c r="H1493" s="3" t="s">
        <v>173</v>
      </c>
      <c r="I1493" s="3" t="s">
        <v>179</v>
      </c>
      <c r="J1493" s="4">
        <v>2</v>
      </c>
      <c r="K1493" s="4">
        <v>1158.5554999999999</v>
      </c>
      <c r="L1493" s="4" t="str">
        <f>HYPERLINK("http://ms.phosphosite.org:5080/cgi-bin/plot-msms.cgi?MassType=1&amp;NumAxis=1&amp;Mod7=170&amp;Mod20=147&amp;Pep=VGSSNFRGGLGGGYGGASGMGGITAV&amp;Dta=/var/www/html/dta/yong/23612.14783.2.dta&amp;Global_Mod=CS57.0215", "14783")</f>
        <v>14783</v>
      </c>
      <c r="M1493" s="4" t="str">
        <f>HYPERLINK("http://ms.phosphosite.org:5080/cgi-bin/plot-msms.cgi?MassType=1&amp;NumAxis=1&amp;Mod7=170&amp;Mod20=147&amp;Pep=VGSSNFRGGLGGGYGGASGMGGITAV&amp;Dta=/var/www/html/dta/yong/23613.16384.2.dta&amp;Global_Mod=CS57.0215", "16384")</f>
        <v>16384</v>
      </c>
      <c r="N1493" s="5">
        <v>60.84</v>
      </c>
      <c r="O1493" s="5">
        <v>66.819999999999993</v>
      </c>
      <c r="P1493" s="5">
        <v>4.6260000000000003</v>
      </c>
      <c r="Q1493" s="5">
        <v>4.8869999999999996</v>
      </c>
      <c r="R1493" s="5">
        <v>1.3414999999999999</v>
      </c>
      <c r="S1493" s="5">
        <v>1.1264000000000001</v>
      </c>
      <c r="T1493" s="5">
        <v>0.39450000000000002</v>
      </c>
      <c r="U1493" s="5">
        <v>0.51949999999999996</v>
      </c>
      <c r="V1493" s="4">
        <v>1</v>
      </c>
      <c r="W1493" s="4">
        <v>1</v>
      </c>
      <c r="X1493" s="5">
        <v>4.34</v>
      </c>
      <c r="Y1493" s="5">
        <v>5.1100000000000003</v>
      </c>
      <c r="Z1493" s="6">
        <v>1000</v>
      </c>
      <c r="AA1493" s="6">
        <v>1000</v>
      </c>
      <c r="AB1493" s="4" t="s">
        <v>13</v>
      </c>
    </row>
    <row r="1494" spans="1:28">
      <c r="A1494" s="3" t="s">
        <v>160</v>
      </c>
      <c r="B1494" s="24" t="s">
        <v>2186</v>
      </c>
      <c r="C1494" s="26" t="s">
        <v>2187</v>
      </c>
      <c r="D1494" s="4">
        <v>47</v>
      </c>
      <c r="E1494" s="3" t="s">
        <v>172</v>
      </c>
      <c r="F1494" s="3" t="s">
        <v>2188</v>
      </c>
      <c r="G1494" s="4">
        <v>53.7</v>
      </c>
      <c r="H1494" s="3" t="s">
        <v>173</v>
      </c>
      <c r="I1494" s="3" t="s">
        <v>179</v>
      </c>
      <c r="J1494" s="4">
        <v>2</v>
      </c>
      <c r="K1494" s="4">
        <v>1158.5554999999999</v>
      </c>
      <c r="L1494" s="4" t="str">
        <f>HYPERLINK("http://ms.phosphosite.org:5080/cgi-bin/plot-msms.cgi?MassType=1&amp;NumAxis=1&amp;Mod7=170&amp;Mod20=147&amp;Pep=VGSSNFRGGLGGGYGGASGMGGITAV&amp;Dta=/var/www/html/dta/yong/23612.23523.2.dta&amp;Global_Mod=CS57.0215", "23523")</f>
        <v>23523</v>
      </c>
      <c r="M1494" s="4" t="str">
        <f>HYPERLINK("http://ms.phosphosite.org:5080/cgi-bin/plot-msms.cgi?MassType=1&amp;NumAxis=1&amp;Mod7=170&amp;Mod20=147&amp;Pep=VGSSNFRGGLGGGYGGASGMGGITAV&amp;Dta=/var/www/html/dta/yong/23613.25007.2.dta&amp;Global_Mod=CS57.0215", "25007")</f>
        <v>25007</v>
      </c>
      <c r="N1494" s="5">
        <v>100.95</v>
      </c>
      <c r="O1494" s="5">
        <v>109.41</v>
      </c>
      <c r="P1494" s="5">
        <v>4.641</v>
      </c>
      <c r="Q1494" s="5">
        <v>3.6360000000000001</v>
      </c>
      <c r="R1494" s="5">
        <v>6.1516000000000002</v>
      </c>
      <c r="S1494" s="5">
        <v>0.46860000000000002</v>
      </c>
      <c r="T1494" s="5">
        <v>0.44219999999999998</v>
      </c>
      <c r="U1494" s="5">
        <v>0.22189999999999999</v>
      </c>
      <c r="V1494" s="4">
        <v>1</v>
      </c>
      <c r="W1494" s="4">
        <v>1</v>
      </c>
      <c r="X1494" s="5">
        <v>4.33</v>
      </c>
      <c r="Y1494" s="5">
        <v>3.43</v>
      </c>
      <c r="Z1494" s="6">
        <v>1000</v>
      </c>
      <c r="AA1494" s="6">
        <v>1000</v>
      </c>
      <c r="AB1494" s="4" t="s">
        <v>13</v>
      </c>
    </row>
    <row r="1495" spans="1:28">
      <c r="A1495" s="3" t="s">
        <v>160</v>
      </c>
      <c r="B1495" s="24" t="s">
        <v>2186</v>
      </c>
      <c r="C1495" s="26" t="s">
        <v>2187</v>
      </c>
      <c r="D1495" s="4">
        <v>47</v>
      </c>
      <c r="E1495" s="3" t="s">
        <v>172</v>
      </c>
      <c r="F1495" s="3" t="s">
        <v>2188</v>
      </c>
      <c r="G1495" s="4">
        <v>53.7</v>
      </c>
      <c r="H1495" s="3" t="s">
        <v>173</v>
      </c>
      <c r="I1495" s="3" t="s">
        <v>179</v>
      </c>
      <c r="J1495" s="4">
        <v>2</v>
      </c>
      <c r="K1495" s="4">
        <v>1158.5554999999999</v>
      </c>
      <c r="L1495" s="4" t="str">
        <f>HYPERLINK("http://ms.phosphosite.org:5080/cgi-bin/plot-msms.cgi?MassType=1&amp;NumAxis=1&amp;Mod7=170&amp;Mod20=147&amp;Pep=VGSSNFRGGLGGGYGGASGMGGITAV&amp;Dta=/var/www/html/dta/yong/23612.24357.2.dta&amp;Global_Mod=CS57.0215", "24357")</f>
        <v>24357</v>
      </c>
      <c r="M1495" s="4" t="str">
        <f>HYPERLINK("http://ms.phosphosite.org:5080/cgi-bin/plot-msms.cgi?MassType=1&amp;NumAxis=1&amp;Mod7=170&amp;Mod20=147&amp;Pep=VGSSNFRGGLGGGYGGASGMGGITAV&amp;Dta=/var/www/html/dta/yong/23613.17748.2.dta&amp;Global_Mod=CS57.0215", "17748")</f>
        <v>17748</v>
      </c>
      <c r="N1495" s="5">
        <v>105.21</v>
      </c>
      <c r="O1495" s="5">
        <v>72.62</v>
      </c>
      <c r="P1495" s="5">
        <v>4.633</v>
      </c>
      <c r="Q1495" s="5">
        <v>4.2050000000000001</v>
      </c>
      <c r="R1495" s="5">
        <v>1.5738000000000001</v>
      </c>
      <c r="S1495" s="5">
        <v>0.47799999999999998</v>
      </c>
      <c r="T1495" s="5">
        <v>0.31780000000000003</v>
      </c>
      <c r="U1495" s="5">
        <v>0.29399999999999998</v>
      </c>
      <c r="V1495" s="4">
        <v>1</v>
      </c>
      <c r="W1495" s="4">
        <v>1</v>
      </c>
      <c r="X1495" s="5">
        <v>3.95</v>
      </c>
      <c r="Y1495" s="5">
        <v>3.9</v>
      </c>
      <c r="Z1495" s="6">
        <v>1000</v>
      </c>
      <c r="AA1495" s="6">
        <v>1000</v>
      </c>
      <c r="AB1495" s="4" t="s">
        <v>13</v>
      </c>
    </row>
    <row r="1496" spans="1:28">
      <c r="A1496" s="3" t="s">
        <v>160</v>
      </c>
      <c r="B1496" s="24" t="s">
        <v>2186</v>
      </c>
      <c r="C1496" s="26" t="s">
        <v>2187</v>
      </c>
      <c r="D1496" s="4">
        <v>47</v>
      </c>
      <c r="E1496" s="3" t="s">
        <v>172</v>
      </c>
      <c r="F1496" s="3" t="s">
        <v>2188</v>
      </c>
      <c r="G1496" s="4">
        <v>53.7</v>
      </c>
      <c r="H1496" s="3" t="s">
        <v>173</v>
      </c>
      <c r="I1496" s="3" t="s">
        <v>179</v>
      </c>
      <c r="J1496" s="4">
        <v>2</v>
      </c>
      <c r="K1496" s="4">
        <v>1158.5554999999999</v>
      </c>
      <c r="L1496" s="4" t="str">
        <f>HYPERLINK("http://ms.phosphosite.org:5080/cgi-bin/plot-msms.cgi?MassType=1&amp;NumAxis=1&amp;Mod7=170&amp;Mod20=147&amp;Pep=VGSSNFRGGLGGGYGGASGMGGITAV&amp;Dta=/var/www/html/dta/yong/23612.17156.2.dta&amp;Global_Mod=CS57.0215", "17156")</f>
        <v>17156</v>
      </c>
      <c r="M1496" s="4" t="str">
        <f>HYPERLINK("http://ms.phosphosite.org:5080/cgi-bin/plot-msms.cgi?MassType=1&amp;NumAxis=1&amp;Mod7=170&amp;Mod20=147&amp;Pep=VGSSNFRGGLGGGYGGASGMGGITAV&amp;Dta=/var/www/html/dta/yong/23613.23986.2.dta&amp;Global_Mod=CS57.0215", "23986")</f>
        <v>23986</v>
      </c>
      <c r="N1496" s="5">
        <v>70.430000000000007</v>
      </c>
      <c r="O1496" s="5">
        <v>102.83</v>
      </c>
      <c r="P1496" s="5">
        <v>4.7880000000000003</v>
      </c>
      <c r="Q1496" s="5">
        <v>3.827</v>
      </c>
      <c r="R1496" s="5">
        <v>0.1147</v>
      </c>
      <c r="S1496" s="5">
        <v>1.9109</v>
      </c>
      <c r="T1496" s="5">
        <v>0.47349999999999998</v>
      </c>
      <c r="U1496" s="5">
        <v>0.35799999999999998</v>
      </c>
      <c r="V1496" s="4">
        <v>1</v>
      </c>
      <c r="W1496" s="4">
        <v>1</v>
      </c>
      <c r="X1496" s="5">
        <v>4.8</v>
      </c>
      <c r="Y1496" s="5">
        <v>4.0599999999999996</v>
      </c>
      <c r="Z1496" s="6">
        <v>1000</v>
      </c>
      <c r="AA1496" s="6">
        <v>1000</v>
      </c>
      <c r="AB1496" s="4" t="s">
        <v>13</v>
      </c>
    </row>
    <row r="1497" spans="1:28">
      <c r="A1497" s="3" t="s">
        <v>160</v>
      </c>
      <c r="B1497" s="24" t="s">
        <v>2186</v>
      </c>
      <c r="C1497" s="26" t="s">
        <v>2187</v>
      </c>
      <c r="D1497" s="4">
        <v>47</v>
      </c>
      <c r="E1497" s="3" t="s">
        <v>172</v>
      </c>
      <c r="F1497" s="3" t="s">
        <v>2188</v>
      </c>
      <c r="G1497" s="4">
        <v>53.7</v>
      </c>
      <c r="H1497" s="3" t="s">
        <v>173</v>
      </c>
      <c r="I1497" s="3" t="s">
        <v>179</v>
      </c>
      <c r="J1497" s="4">
        <v>2</v>
      </c>
      <c r="K1497" s="4">
        <v>1158.5554999999999</v>
      </c>
      <c r="L1497" s="4" t="str">
        <f>HYPERLINK("http://ms.phosphosite.org:5080/cgi-bin/plot-msms.cgi?MassType=1&amp;NumAxis=1&amp;Mod7=170&amp;Mod20=147&amp;Pep=VGSSNFRGGLGGGYGGASGMGGITAV&amp;Dta=/var/www/html/dta/yong/23612.13435.2.dta&amp;Global_Mod=CS57.0215", "13435")</f>
        <v>13435</v>
      </c>
      <c r="M1497" s="4" t="str">
        <f>HYPERLINK("http://ms.phosphosite.org:5080/cgi-bin/plot-msms.cgi?MassType=1&amp;NumAxis=1&amp;Mod7=170&amp;Mod20=147&amp;Pep=VGSSNFRGGLGGGYGGASGMGGITAV&amp;Dta=/var/www/html/dta/yong/23613.14819.2.dta&amp;Global_Mod=CS57.0215", "14819")</f>
        <v>14819</v>
      </c>
      <c r="N1497" s="5">
        <v>55.86</v>
      </c>
      <c r="O1497" s="5">
        <v>60.7</v>
      </c>
      <c r="P1497" s="5">
        <v>4.915</v>
      </c>
      <c r="Q1497" s="5">
        <v>4.8380000000000001</v>
      </c>
      <c r="R1497" s="5">
        <v>1.083</v>
      </c>
      <c r="S1497" s="5">
        <v>0.99450000000000005</v>
      </c>
      <c r="T1497" s="5">
        <v>0.3528</v>
      </c>
      <c r="U1497" s="5">
        <v>0.4118</v>
      </c>
      <c r="V1497" s="4">
        <v>1</v>
      </c>
      <c r="W1497" s="4">
        <v>1</v>
      </c>
      <c r="X1497" s="5">
        <v>4.2</v>
      </c>
      <c r="Y1497" s="5">
        <v>4.58</v>
      </c>
      <c r="Z1497" s="6">
        <v>1000</v>
      </c>
      <c r="AA1497" s="6">
        <v>1000</v>
      </c>
      <c r="AB1497" s="4" t="s">
        <v>13</v>
      </c>
    </row>
    <row r="1498" spans="1:28">
      <c r="A1498" s="3" t="s">
        <v>160</v>
      </c>
      <c r="B1498" s="24" t="s">
        <v>2186</v>
      </c>
      <c r="C1498" s="26" t="s">
        <v>2187</v>
      </c>
      <c r="D1498" s="4">
        <v>47</v>
      </c>
      <c r="E1498" s="3" t="s">
        <v>172</v>
      </c>
      <c r="F1498" s="3" t="s">
        <v>2188</v>
      </c>
      <c r="G1498" s="4">
        <v>53.7</v>
      </c>
      <c r="H1498" s="3" t="s">
        <v>173</v>
      </c>
      <c r="I1498" s="3" t="s">
        <v>179</v>
      </c>
      <c r="J1498" s="4">
        <v>2</v>
      </c>
      <c r="K1498" s="4">
        <v>1158.5554999999999</v>
      </c>
      <c r="L1498" s="4" t="str">
        <f>HYPERLINK("http://ms.phosphosite.org:5080/cgi-bin/plot-msms.cgi?MassType=1&amp;NumAxis=1&amp;Mod7=170&amp;Mod20=147&amp;Pep=VGSSNFRGGLGGGYGGASGMGGITAV&amp;Dta=/var/www/html/dta/yong/23612.14139.2.dta&amp;Global_Mod=CS57.0215", "14139")</f>
        <v>14139</v>
      </c>
      <c r="M1498" s="4" t="str">
        <f>HYPERLINK("http://ms.phosphosite.org:5080/cgi-bin/plot-msms.cgi?MassType=1&amp;NumAxis=1&amp;Mod7=170&amp;Mod20=147&amp;Pep=VGSSNFRGGLGGGYGGASGMGGITAV&amp;Dta=/var/www/html/dta/yong/23613.23866.2.dta&amp;Global_Mod=CS57.0215", "23866")</f>
        <v>23866</v>
      </c>
      <c r="N1498" s="5">
        <v>58.39</v>
      </c>
      <c r="O1498" s="5">
        <v>102.23</v>
      </c>
      <c r="P1498" s="5">
        <v>4.9569999999999999</v>
      </c>
      <c r="Q1498" s="5">
        <v>3.6240000000000001</v>
      </c>
      <c r="R1498" s="5">
        <v>1.1677999999999999</v>
      </c>
      <c r="S1498" s="5">
        <v>2.2572000000000001</v>
      </c>
      <c r="T1498" s="5">
        <v>0.41460000000000002</v>
      </c>
      <c r="U1498" s="5">
        <v>0.26100000000000001</v>
      </c>
      <c r="V1498" s="4">
        <v>1</v>
      </c>
      <c r="W1498" s="4">
        <v>1</v>
      </c>
      <c r="X1498" s="5">
        <v>4.51</v>
      </c>
      <c r="Y1498" s="5">
        <v>3.52</v>
      </c>
      <c r="Z1498" s="6">
        <v>1000</v>
      </c>
      <c r="AA1498" s="6">
        <v>1000</v>
      </c>
      <c r="AB1498" s="4" t="s">
        <v>13</v>
      </c>
    </row>
    <row r="1499" spans="1:28">
      <c r="A1499" s="3" t="s">
        <v>160</v>
      </c>
      <c r="B1499" s="24" t="s">
        <v>2186</v>
      </c>
      <c r="C1499" s="26" t="s">
        <v>2187</v>
      </c>
      <c r="D1499" s="4">
        <v>47</v>
      </c>
      <c r="E1499" s="3" t="s">
        <v>172</v>
      </c>
      <c r="F1499" s="3" t="s">
        <v>2188</v>
      </c>
      <c r="G1499" s="4">
        <v>53.7</v>
      </c>
      <c r="H1499" s="3" t="s">
        <v>173</v>
      </c>
      <c r="I1499" s="3" t="s">
        <v>179</v>
      </c>
      <c r="J1499" s="4">
        <v>2</v>
      </c>
      <c r="K1499" s="4">
        <v>1158.5554999999999</v>
      </c>
      <c r="L1499" s="4" t="str">
        <f>HYPERLINK("http://ms.phosphosite.org:5080/cgi-bin/plot-msms.cgi?MassType=1&amp;NumAxis=1&amp;Mod7=170&amp;Mod20=147&amp;Pep=VGSSNFRGGLGGGYGGASGMGGITAV&amp;Dta=/var/www/html/dta/yong/23612.14807.2.dta&amp;Global_Mod=CS57.0215", "14807")</f>
        <v>14807</v>
      </c>
      <c r="M1499" s="4" t="str">
        <f>HYPERLINK("http://ms.phosphosite.org:5080/cgi-bin/plot-msms.cgi?MassType=1&amp;NumAxis=1&amp;Mod7=170&amp;Mod20=147&amp;Pep=VGSSNFRGGLGGGYGGASGMGGITAV&amp;Dta=/var/www/html/dta/yong/23613.13382.2.dta&amp;Global_Mod=CS57.0215", "13382")</f>
        <v>13382</v>
      </c>
      <c r="N1499" s="5">
        <v>60.94</v>
      </c>
      <c r="O1499" s="5">
        <v>55.33</v>
      </c>
      <c r="P1499" s="5">
        <v>4.9130000000000003</v>
      </c>
      <c r="Q1499" s="5">
        <v>4.8410000000000002</v>
      </c>
      <c r="R1499" s="5">
        <v>0.99039999999999995</v>
      </c>
      <c r="S1499" s="5">
        <v>1.1336999999999999</v>
      </c>
      <c r="T1499" s="5">
        <v>0.36680000000000001</v>
      </c>
      <c r="U1499" s="5">
        <v>0.3594</v>
      </c>
      <c r="V1499" s="4">
        <v>1</v>
      </c>
      <c r="W1499" s="4">
        <v>1</v>
      </c>
      <c r="X1499" s="5">
        <v>4.28</v>
      </c>
      <c r="Y1499" s="5">
        <v>4.3099999999999996</v>
      </c>
      <c r="Z1499" s="6">
        <v>1000</v>
      </c>
      <c r="AA1499" s="6">
        <v>1000</v>
      </c>
      <c r="AB1499" s="4" t="s">
        <v>13</v>
      </c>
    </row>
    <row r="1500" spans="1:28">
      <c r="A1500" s="3" t="s">
        <v>160</v>
      </c>
      <c r="B1500" s="24" t="s">
        <v>2186</v>
      </c>
      <c r="C1500" s="26" t="s">
        <v>2187</v>
      </c>
      <c r="D1500" s="4">
        <v>47</v>
      </c>
      <c r="E1500" s="3" t="s">
        <v>172</v>
      </c>
      <c r="F1500" s="3" t="s">
        <v>2188</v>
      </c>
      <c r="G1500" s="4">
        <v>53.7</v>
      </c>
      <c r="H1500" s="3" t="s">
        <v>173</v>
      </c>
      <c r="I1500" s="3" t="s">
        <v>179</v>
      </c>
      <c r="J1500" s="4">
        <v>2</v>
      </c>
      <c r="K1500" s="4">
        <v>1158.5554999999999</v>
      </c>
      <c r="L1500" s="4" t="str">
        <f>HYPERLINK("http://ms.phosphosite.org:5080/cgi-bin/plot-msms.cgi?MassType=1&amp;NumAxis=1&amp;Mod7=170&amp;Mod20=147&amp;Pep=VGSSNFRGGLGGGYGGASGMGGITAV&amp;Dta=/var/www/html/dta/yong/23612.13075.2.dta&amp;Global_Mod=CS57.0215", "13075")</f>
        <v>13075</v>
      </c>
      <c r="M1500" s="4" t="str">
        <f>HYPERLINK("http://ms.phosphosite.org:5080/cgi-bin/plot-msms.cgi?MassType=1&amp;NumAxis=1&amp;Mod7=170&amp;Mod20=147&amp;Pep=VGSSNFRGGLGGGYGGASGMGGITAV&amp;Dta=/var/www/html/dta/yong/23613.23696.2.dta&amp;Global_Mod=CS57.0215", "23696")</f>
        <v>23696</v>
      </c>
      <c r="N1500" s="5">
        <v>54.53</v>
      </c>
      <c r="O1500" s="5">
        <v>101.38</v>
      </c>
      <c r="P1500" s="5">
        <v>4.8369999999999997</v>
      </c>
      <c r="Q1500" s="5">
        <v>4.2110000000000003</v>
      </c>
      <c r="R1500" s="5">
        <v>1.333</v>
      </c>
      <c r="S1500" s="5">
        <v>1.7878000000000001</v>
      </c>
      <c r="T1500" s="5">
        <v>0.37559999999999999</v>
      </c>
      <c r="U1500" s="5">
        <v>0.40110000000000001</v>
      </c>
      <c r="V1500" s="4">
        <v>1</v>
      </c>
      <c r="W1500" s="4">
        <v>1</v>
      </c>
      <c r="X1500" s="5">
        <v>4.29</v>
      </c>
      <c r="Y1500" s="5">
        <v>4.3600000000000003</v>
      </c>
      <c r="Z1500" s="6">
        <v>1000</v>
      </c>
      <c r="AA1500" s="6">
        <v>1000</v>
      </c>
      <c r="AB1500" s="4" t="s">
        <v>13</v>
      </c>
    </row>
    <row r="1501" spans="1:28">
      <c r="A1501" s="3" t="s">
        <v>160</v>
      </c>
      <c r="B1501" s="24" t="s">
        <v>2186</v>
      </c>
      <c r="C1501" s="26" t="s">
        <v>2187</v>
      </c>
      <c r="D1501" s="4">
        <v>47</v>
      </c>
      <c r="E1501" s="3" t="s">
        <v>172</v>
      </c>
      <c r="F1501" s="3" t="s">
        <v>2188</v>
      </c>
      <c r="G1501" s="4">
        <v>53.7</v>
      </c>
      <c r="H1501" s="3" t="s">
        <v>173</v>
      </c>
      <c r="I1501" s="3" t="s">
        <v>179</v>
      </c>
      <c r="J1501" s="4">
        <v>2</v>
      </c>
      <c r="K1501" s="4">
        <v>1158.5554999999999</v>
      </c>
      <c r="L1501" s="4" t="str">
        <f>HYPERLINK("http://ms.phosphosite.org:5080/cgi-bin/plot-msms.cgi?MassType=1&amp;NumAxis=1&amp;Mod7=170&amp;Mod20=147&amp;Pep=VGSSNFRGGLGGGYGGASGMGGITAV&amp;Dta=/var/www/html/dta/yong/23612.23996.2.dta&amp;Global_Mod=CS57.0215", "23996")</f>
        <v>23996</v>
      </c>
      <c r="M1501" s="4" t="str">
        <f>HYPERLINK("http://ms.phosphosite.org:5080/cgi-bin/plot-msms.cgi?MassType=1&amp;NumAxis=1&amp;Mod7=170&amp;Mod20=147&amp;Pep=VGSSNFRGGLGGGYGGASGMGGITAV&amp;Dta=/var/www/html/dta/yong/23613.13189.2.dta&amp;Global_Mod=CS57.0215", "13189")</f>
        <v>13189</v>
      </c>
      <c r="N1501" s="5">
        <v>103.32</v>
      </c>
      <c r="O1501" s="5">
        <v>54.61</v>
      </c>
      <c r="P1501" s="5">
        <v>4.7949999999999999</v>
      </c>
      <c r="Q1501" s="5">
        <v>4.8949999999999996</v>
      </c>
      <c r="R1501" s="5">
        <v>1.7764</v>
      </c>
      <c r="S1501" s="5">
        <v>1.3166</v>
      </c>
      <c r="T1501" s="5">
        <v>0.37740000000000001</v>
      </c>
      <c r="U1501" s="5">
        <v>0.35070000000000001</v>
      </c>
      <c r="V1501" s="4">
        <v>1</v>
      </c>
      <c r="W1501" s="4">
        <v>1</v>
      </c>
      <c r="X1501" s="5">
        <v>4.2699999999999996</v>
      </c>
      <c r="Y1501" s="5">
        <v>4.2699999999999996</v>
      </c>
      <c r="Z1501" s="6">
        <v>1000</v>
      </c>
      <c r="AA1501" s="6">
        <v>1000</v>
      </c>
      <c r="AB1501" s="4" t="s">
        <v>13</v>
      </c>
    </row>
    <row r="1502" spans="1:28">
      <c r="A1502" s="3" t="s">
        <v>160</v>
      </c>
      <c r="B1502" s="24" t="s">
        <v>2186</v>
      </c>
      <c r="C1502" s="26" t="s">
        <v>2187</v>
      </c>
      <c r="D1502" s="4">
        <v>47</v>
      </c>
      <c r="E1502" s="3" t="s">
        <v>172</v>
      </c>
      <c r="F1502" s="3" t="s">
        <v>2188</v>
      </c>
      <c r="G1502" s="4">
        <v>53.7</v>
      </c>
      <c r="H1502" s="3" t="s">
        <v>173</v>
      </c>
      <c r="I1502" s="3" t="s">
        <v>179</v>
      </c>
      <c r="J1502" s="4">
        <v>2</v>
      </c>
      <c r="K1502" s="4">
        <v>1158.5554999999999</v>
      </c>
      <c r="L1502" s="4" t="str">
        <f>HYPERLINK("http://ms.phosphosite.org:5080/cgi-bin/plot-msms.cgi?MassType=1&amp;NumAxis=1&amp;Mod7=170&amp;Mod20=147&amp;Pep=VGSSNFRGGLGGGYGGASGMGGITAV&amp;Dta=/var/www/html/dta/yong/23612.15022.2.dta&amp;Global_Mod=CS57.0215", "15022")</f>
        <v>15022</v>
      </c>
      <c r="M1502" s="4" t="str">
        <f>HYPERLINK("http://ms.phosphosite.org:5080/cgi-bin/plot-msms.cgi?MassType=1&amp;NumAxis=1&amp;Mod7=170&amp;Mod20=147&amp;Pep=VGSSNFRGGLGGGYGGASGMGGITAV&amp;Dta=/var/www/html/dta/yong/23613.18708.2.dta&amp;Global_Mod=CS57.0215", "18708")</f>
        <v>18708</v>
      </c>
      <c r="N1502" s="5">
        <v>61.74</v>
      </c>
      <c r="O1502" s="5">
        <v>76.94</v>
      </c>
      <c r="P1502" s="5">
        <v>4.8479999999999999</v>
      </c>
      <c r="Q1502" s="5">
        <v>3.024</v>
      </c>
      <c r="R1502" s="5">
        <v>0.35539999999999999</v>
      </c>
      <c r="S1502" s="5">
        <v>1.978</v>
      </c>
      <c r="T1502" s="5">
        <v>0.3165</v>
      </c>
      <c r="U1502" s="5">
        <v>0.34399999999999997</v>
      </c>
      <c r="V1502" s="4">
        <v>1</v>
      </c>
      <c r="W1502" s="4">
        <v>1</v>
      </c>
      <c r="X1502" s="5">
        <v>4.04</v>
      </c>
      <c r="Y1502" s="5">
        <v>3.82</v>
      </c>
      <c r="Z1502" s="6">
        <v>1000</v>
      </c>
      <c r="AA1502" s="6">
        <v>1000</v>
      </c>
      <c r="AB1502" s="4" t="s">
        <v>13</v>
      </c>
    </row>
    <row r="1503" spans="1:28">
      <c r="A1503" s="3" t="s">
        <v>160</v>
      </c>
      <c r="B1503" s="24" t="s">
        <v>2186</v>
      </c>
      <c r="C1503" s="26" t="s">
        <v>2187</v>
      </c>
      <c r="D1503" s="4">
        <v>47</v>
      </c>
      <c r="E1503" s="3" t="s">
        <v>172</v>
      </c>
      <c r="F1503" s="3" t="s">
        <v>2188</v>
      </c>
      <c r="G1503" s="4">
        <v>53.7</v>
      </c>
      <c r="H1503" s="3" t="s">
        <v>173</v>
      </c>
      <c r="I1503" s="3" t="s">
        <v>179</v>
      </c>
      <c r="J1503" s="4">
        <v>2</v>
      </c>
      <c r="K1503" s="4">
        <v>1158.5554999999999</v>
      </c>
      <c r="L1503" s="4" t="str">
        <f>HYPERLINK("http://ms.phosphosite.org:5080/cgi-bin/plot-msms.cgi?MassType=1&amp;NumAxis=1&amp;Mod7=170&amp;Mod20=147&amp;Pep=VGSSNFRGGLGGGYGGASGMGGITAV&amp;Dta=/var/www/html/dta/yong/23612.19918.2.dta&amp;Global_Mod=CS57.0215", "19918")</f>
        <v>19918</v>
      </c>
      <c r="M1503" s="4" t="str">
        <f>HYPERLINK("http://ms.phosphosite.org:5080/cgi-bin/plot-msms.cgi?MassType=1&amp;NumAxis=1&amp;Mod7=170&amp;Mod20=147&amp;Pep=VGSSNFRGGLGGGYGGASGMGGITAV&amp;Dta=/var/www/html/dta/yong/23613.23196.2.dta&amp;Global_Mod=CS57.0215", "23196")</f>
        <v>23196</v>
      </c>
      <c r="N1503" s="5">
        <v>83.12</v>
      </c>
      <c r="O1503" s="5">
        <v>98.86</v>
      </c>
      <c r="P1503" s="5">
        <v>4.8579999999999997</v>
      </c>
      <c r="Q1503" s="5">
        <v>4.1120000000000001</v>
      </c>
      <c r="R1503" s="5">
        <v>2.8915999999999999</v>
      </c>
      <c r="S1503" s="5">
        <v>1.8967000000000001</v>
      </c>
      <c r="T1503" s="5">
        <v>0.4229</v>
      </c>
      <c r="U1503" s="5">
        <v>0.45450000000000002</v>
      </c>
      <c r="V1503" s="4">
        <v>1</v>
      </c>
      <c r="W1503" s="4">
        <v>1</v>
      </c>
      <c r="X1503" s="5">
        <v>4.4400000000000004</v>
      </c>
      <c r="Y1503" s="5">
        <v>4.59</v>
      </c>
      <c r="Z1503" s="6">
        <v>1000</v>
      </c>
      <c r="AA1503" s="6">
        <v>1000</v>
      </c>
      <c r="AB1503" s="4" t="s">
        <v>13</v>
      </c>
    </row>
    <row r="1504" spans="1:28">
      <c r="A1504" s="3" t="s">
        <v>160</v>
      </c>
      <c r="B1504" s="24" t="s">
        <v>2186</v>
      </c>
      <c r="C1504" s="26" t="s">
        <v>2187</v>
      </c>
      <c r="D1504" s="4">
        <v>47</v>
      </c>
      <c r="E1504" s="3" t="s">
        <v>172</v>
      </c>
      <c r="F1504" s="3" t="s">
        <v>2188</v>
      </c>
      <c r="G1504" s="4">
        <v>53.7</v>
      </c>
      <c r="H1504" s="3" t="s">
        <v>173</v>
      </c>
      <c r="I1504" s="3" t="s">
        <v>179</v>
      </c>
      <c r="J1504" s="4">
        <v>2</v>
      </c>
      <c r="K1504" s="4">
        <v>1158.5554999999999</v>
      </c>
      <c r="L1504" s="4" t="str">
        <f>HYPERLINK("http://ms.phosphosite.org:5080/cgi-bin/plot-msms.cgi?MassType=1&amp;NumAxis=1&amp;Mod7=170&amp;Mod20=147&amp;Pep=VGSSNFRGGLGGGYGGASGMGGITAV&amp;Dta=/var/www/html/dta/yong/23612.14367.2.dta&amp;Global_Mod=CS57.0215", "14367")</f>
        <v>14367</v>
      </c>
      <c r="M1504" s="4" t="str">
        <f>HYPERLINK("http://ms.phosphosite.org:5080/cgi-bin/plot-msms.cgi?MassType=1&amp;NumAxis=1&amp;Mod7=170&amp;Mod20=147&amp;Pep=VGSSNFRGGLGGGYGGASGMGGITAV&amp;Dta=/var/www/html/dta/yong/23613.18257.2.dta&amp;Global_Mod=CS57.0215", "18257")</f>
        <v>18257</v>
      </c>
      <c r="N1504" s="5">
        <v>59.19</v>
      </c>
      <c r="O1504" s="5">
        <v>74.88</v>
      </c>
      <c r="P1504" s="5">
        <v>4.593</v>
      </c>
      <c r="Q1504" s="5">
        <v>3.8130000000000002</v>
      </c>
      <c r="R1504" s="5">
        <v>1.4555</v>
      </c>
      <c r="S1504" s="5">
        <v>0.1285</v>
      </c>
      <c r="T1504" s="5">
        <v>0.4123</v>
      </c>
      <c r="U1504" s="5">
        <v>0.35470000000000002</v>
      </c>
      <c r="V1504" s="4">
        <v>1</v>
      </c>
      <c r="W1504" s="4">
        <v>1</v>
      </c>
      <c r="X1504" s="5">
        <v>4.42</v>
      </c>
      <c r="Y1504" s="5">
        <v>4.0999999999999996</v>
      </c>
      <c r="Z1504" s="6">
        <v>1000</v>
      </c>
      <c r="AA1504" s="6">
        <v>1000</v>
      </c>
      <c r="AB1504" s="4" t="s">
        <v>13</v>
      </c>
    </row>
    <row r="1505" spans="1:28">
      <c r="A1505" s="3" t="s">
        <v>160</v>
      </c>
      <c r="B1505" s="24" t="s">
        <v>2186</v>
      </c>
      <c r="C1505" s="26" t="s">
        <v>2187</v>
      </c>
      <c r="D1505" s="4">
        <v>47</v>
      </c>
      <c r="E1505" s="3" t="s">
        <v>172</v>
      </c>
      <c r="F1505" s="3" t="s">
        <v>2188</v>
      </c>
      <c r="G1505" s="4">
        <v>53.7</v>
      </c>
      <c r="H1505" s="3" t="s">
        <v>173</v>
      </c>
      <c r="I1505" s="3" t="s">
        <v>179</v>
      </c>
      <c r="J1505" s="4">
        <v>2</v>
      </c>
      <c r="K1505" s="4">
        <v>1158.5554999999999</v>
      </c>
      <c r="L1505" s="4" t="str">
        <f>HYPERLINK("http://ms.phosphosite.org:5080/cgi-bin/plot-msms.cgi?MassType=1&amp;NumAxis=1&amp;Mod7=170&amp;Mod20=147&amp;Pep=VGSSNFRGGLGGGYGGASGMGGITAV&amp;Dta=/var/www/html/dta/yong/23612.14085.2.dta&amp;Global_Mod=CS57.0215", "14085")</f>
        <v>14085</v>
      </c>
      <c r="M1505" s="4" t="str">
        <f>HYPERLINK("http://ms.phosphosite.org:5080/cgi-bin/plot-msms.cgi?MassType=1&amp;NumAxis=1&amp;Mod7=170&amp;Mod20=147&amp;Pep=VGSSNFRGGLGGGYGGASGMGGITAV&amp;Dta=/var/www/html/dta/yong/23613.12349.2.dta&amp;Global_Mod=CS57.0215", "12349")</f>
        <v>12349</v>
      </c>
      <c r="N1505" s="5">
        <v>58.21</v>
      </c>
      <c r="O1505" s="5">
        <v>51.64</v>
      </c>
      <c r="P1505" s="5">
        <v>4.4820000000000002</v>
      </c>
      <c r="Q1505" s="5">
        <v>3.77</v>
      </c>
      <c r="R1505" s="5">
        <v>1.1837</v>
      </c>
      <c r="S1505" s="5">
        <v>0.63560000000000005</v>
      </c>
      <c r="T1505" s="5">
        <v>0.47110000000000002</v>
      </c>
      <c r="U1505" s="5">
        <v>0.41899999999999998</v>
      </c>
      <c r="V1505" s="4">
        <v>1</v>
      </c>
      <c r="W1505" s="4">
        <v>1</v>
      </c>
      <c r="X1505" s="5">
        <v>4.7</v>
      </c>
      <c r="Y1505" s="5">
        <v>4.42</v>
      </c>
      <c r="Z1505" s="6">
        <v>1000</v>
      </c>
      <c r="AA1505" s="6">
        <v>1000</v>
      </c>
      <c r="AB1505" s="4" t="s">
        <v>13</v>
      </c>
    </row>
    <row r="1506" spans="1:28">
      <c r="A1506" s="3" t="s">
        <v>160</v>
      </c>
      <c r="B1506" s="24" t="s">
        <v>2186</v>
      </c>
      <c r="C1506" s="26" t="s">
        <v>2187</v>
      </c>
      <c r="D1506" s="4">
        <v>47</v>
      </c>
      <c r="E1506" s="3" t="s">
        <v>172</v>
      </c>
      <c r="F1506" s="3" t="s">
        <v>2188</v>
      </c>
      <c r="G1506" s="4">
        <v>53.7</v>
      </c>
      <c r="H1506" s="3" t="s">
        <v>173</v>
      </c>
      <c r="I1506" s="3" t="s">
        <v>179</v>
      </c>
      <c r="J1506" s="4">
        <v>2</v>
      </c>
      <c r="K1506" s="4">
        <v>1158.5554999999999</v>
      </c>
      <c r="L1506" s="4" t="str">
        <f>HYPERLINK("http://ms.phosphosite.org:5080/cgi-bin/plot-msms.cgi?MassType=1&amp;NumAxis=1&amp;Mod7=170&amp;Mod20=147&amp;Pep=VGSSNFRGGLGGGYGGASGMGGITAV&amp;Dta=/var/www/html/dta/yong/23612.24803.2.dta&amp;Global_Mod=CS57.0215", "24803")</f>
        <v>24803</v>
      </c>
      <c r="M1506" s="4" t="str">
        <f>HYPERLINK("http://ms.phosphosite.org:5080/cgi-bin/plot-msms.cgi?MassType=1&amp;NumAxis=1&amp;Mod7=170&amp;Mod20=147&amp;Pep=VGSSNFRGGLGGGYGGASGMGGITAV&amp;Dta=/var/www/html/dta/yong/23613.21141.2.dta&amp;Global_Mod=CS57.0215", "21141")</f>
        <v>21141</v>
      </c>
      <c r="N1506" s="5">
        <v>108.56</v>
      </c>
      <c r="O1506" s="5">
        <v>88.46</v>
      </c>
      <c r="P1506" s="5">
        <v>4.5090000000000003</v>
      </c>
      <c r="Q1506" s="5">
        <v>4.0359999999999996</v>
      </c>
      <c r="R1506" s="5">
        <v>3.0011999999999999</v>
      </c>
      <c r="S1506" s="5">
        <v>1.2138</v>
      </c>
      <c r="T1506" s="5">
        <v>0.435</v>
      </c>
      <c r="U1506" s="5">
        <v>0.39340000000000003</v>
      </c>
      <c r="V1506" s="4">
        <v>1</v>
      </c>
      <c r="W1506" s="4">
        <v>1</v>
      </c>
      <c r="X1506" s="5">
        <v>4.43</v>
      </c>
      <c r="Y1506" s="5">
        <v>4.3099999999999996</v>
      </c>
      <c r="Z1506" s="6">
        <v>1000</v>
      </c>
      <c r="AA1506" s="6">
        <v>1000</v>
      </c>
      <c r="AB1506" s="4" t="s">
        <v>13</v>
      </c>
    </row>
    <row r="1507" spans="1:28">
      <c r="A1507" s="3" t="s">
        <v>160</v>
      </c>
      <c r="B1507" s="24" t="s">
        <v>2186</v>
      </c>
      <c r="C1507" s="26" t="s">
        <v>2187</v>
      </c>
      <c r="D1507" s="4">
        <v>47</v>
      </c>
      <c r="E1507" s="3" t="s">
        <v>172</v>
      </c>
      <c r="F1507" s="3" t="s">
        <v>2188</v>
      </c>
      <c r="G1507" s="4">
        <v>53.7</v>
      </c>
      <c r="H1507" s="3" t="s">
        <v>173</v>
      </c>
      <c r="I1507" s="3" t="s">
        <v>179</v>
      </c>
      <c r="J1507" s="4">
        <v>2</v>
      </c>
      <c r="K1507" s="4">
        <v>1158.5554999999999</v>
      </c>
      <c r="L1507" s="4" t="str">
        <f>HYPERLINK("http://ms.phosphosite.org:5080/cgi-bin/plot-msms.cgi?MassType=1&amp;NumAxis=1&amp;Mod7=170&amp;Mod20=147&amp;Pep=VGSSNFRGGLGGGYGGASGMGGITAV&amp;Dta=/var/www/html/dta/yong/23612.20780.2.dta&amp;Global_Mod=CS57.0215", "20780")</f>
        <v>20780</v>
      </c>
      <c r="M1507" s="4" t="str">
        <f>HYPERLINK("http://ms.phosphosite.org:5080/cgi-bin/plot-msms.cgi?MassType=1&amp;NumAxis=1&amp;Mod7=170&amp;Mod20=147&amp;Pep=VGSSNFRGGLGGGYGGASGMGGITAV&amp;Dta=/var/www/html/dta/yong/23613.23718.2.dta&amp;Global_Mod=CS57.0215", "23718")</f>
        <v>23718</v>
      </c>
      <c r="N1507" s="5">
        <v>87.17</v>
      </c>
      <c r="O1507" s="5">
        <v>101.49</v>
      </c>
      <c r="P1507" s="5">
        <v>3.1419999999999999</v>
      </c>
      <c r="Q1507" s="5">
        <v>4.0460000000000003</v>
      </c>
      <c r="R1507" s="5">
        <v>1.5375000000000001</v>
      </c>
      <c r="S1507" s="5">
        <v>1.4671000000000001</v>
      </c>
      <c r="T1507" s="5">
        <v>0.28160000000000002</v>
      </c>
      <c r="U1507" s="5">
        <v>0.41149999999999998</v>
      </c>
      <c r="V1507" s="4">
        <v>1</v>
      </c>
      <c r="W1507" s="4">
        <v>1</v>
      </c>
      <c r="X1507" s="5">
        <v>3.49</v>
      </c>
      <c r="Y1507" s="5">
        <v>4.3899999999999997</v>
      </c>
      <c r="Z1507" s="6">
        <v>1000</v>
      </c>
      <c r="AA1507" s="6">
        <v>1000</v>
      </c>
      <c r="AB1507" s="4" t="s">
        <v>13</v>
      </c>
    </row>
    <row r="1508" spans="1:28">
      <c r="A1508" s="3" t="s">
        <v>160</v>
      </c>
      <c r="B1508" s="24" t="s">
        <v>2186</v>
      </c>
      <c r="C1508" s="26" t="s">
        <v>2187</v>
      </c>
      <c r="D1508" s="4">
        <v>47</v>
      </c>
      <c r="E1508" s="3" t="s">
        <v>172</v>
      </c>
      <c r="F1508" s="3" t="s">
        <v>2188</v>
      </c>
      <c r="G1508" s="4">
        <v>53.7</v>
      </c>
      <c r="H1508" s="3" t="s">
        <v>173</v>
      </c>
      <c r="I1508" s="3" t="s">
        <v>179</v>
      </c>
      <c r="J1508" s="4">
        <v>2</v>
      </c>
      <c r="K1508" s="4">
        <v>1158.5554999999999</v>
      </c>
      <c r="L1508" s="4" t="str">
        <f>HYPERLINK("http://ms.phosphosite.org:5080/cgi-bin/plot-msms.cgi?MassType=1&amp;NumAxis=1&amp;Mod7=170&amp;Mod20=147&amp;Pep=VGSSNFRGGLGGGYGGASGMGGITAV&amp;Dta=/var/www/html/dta/yong/23612.13728.2.dta&amp;Global_Mod=CS57.0215", "13728")</f>
        <v>13728</v>
      </c>
      <c r="M1508" s="4" t="str">
        <f>HYPERLINK("http://ms.phosphosite.org:5080/cgi-bin/plot-msms.cgi?MassType=1&amp;NumAxis=1&amp;Mod7=170&amp;Mod20=147&amp;Pep=VGSSNFRGGLGGGYGGASGMGGITAV&amp;Dta=/var/www/html/dta/yong/23613.22830.2.dta&amp;Global_Mod=CS57.0215", "22830")</f>
        <v>22830</v>
      </c>
      <c r="N1508" s="5">
        <v>56.89</v>
      </c>
      <c r="O1508" s="5">
        <v>96.96</v>
      </c>
      <c r="P1508" s="5">
        <v>4.524</v>
      </c>
      <c r="Q1508" s="5">
        <v>3.774</v>
      </c>
      <c r="R1508" s="5">
        <v>1.3946000000000001</v>
      </c>
      <c r="S1508" s="5">
        <v>1.4561999999999999</v>
      </c>
      <c r="T1508" s="5">
        <v>0.48320000000000002</v>
      </c>
      <c r="U1508" s="5">
        <v>0.44569999999999999</v>
      </c>
      <c r="V1508" s="4">
        <v>1</v>
      </c>
      <c r="W1508" s="4">
        <v>1</v>
      </c>
      <c r="X1508" s="5">
        <v>4.76</v>
      </c>
      <c r="Y1508" s="5">
        <v>4.51</v>
      </c>
      <c r="Z1508" s="6">
        <v>1000</v>
      </c>
      <c r="AA1508" s="6">
        <v>1000</v>
      </c>
      <c r="AB1508" s="4" t="s">
        <v>13</v>
      </c>
    </row>
    <row r="1509" spans="1:28">
      <c r="A1509" s="3" t="s">
        <v>160</v>
      </c>
      <c r="B1509" s="24" t="s">
        <v>2186</v>
      </c>
      <c r="C1509" s="26" t="s">
        <v>2187</v>
      </c>
      <c r="D1509" s="4">
        <v>47</v>
      </c>
      <c r="E1509" s="3" t="s">
        <v>172</v>
      </c>
      <c r="F1509" s="3" t="s">
        <v>2188</v>
      </c>
      <c r="G1509" s="4">
        <v>53.7</v>
      </c>
      <c r="H1509" s="3" t="s">
        <v>173</v>
      </c>
      <c r="I1509" s="3" t="s">
        <v>179</v>
      </c>
      <c r="J1509" s="4">
        <v>2</v>
      </c>
      <c r="K1509" s="4">
        <v>1158.5554999999999</v>
      </c>
      <c r="L1509" s="4" t="str">
        <f>HYPERLINK("http://ms.phosphosite.org:5080/cgi-bin/plot-msms.cgi?MassType=1&amp;NumAxis=1&amp;Mod7=170&amp;Mod20=147&amp;Pep=VGSSNFRGGLGGGYGGASGMGGITAV&amp;Dta=/var/www/html/dta/yong/23612.13263.2.dta&amp;Global_Mod=CS57.0215", "13263")</f>
        <v>13263</v>
      </c>
      <c r="M1509" s="4" t="str">
        <f>HYPERLINK("http://ms.phosphosite.org:5080/cgi-bin/plot-msms.cgi?MassType=1&amp;NumAxis=1&amp;Mod7=170&amp;Mod20=147&amp;Pep=VGSSNFRGGLGGGYGGASGMGGITAV&amp;Dta=/var/www/html/dta/yong/23613.22371.2.dta&amp;Global_Mod=CS57.0215", "22371")</f>
        <v>22371</v>
      </c>
      <c r="N1509" s="5">
        <v>55.23</v>
      </c>
      <c r="O1509" s="5">
        <v>94.6</v>
      </c>
      <c r="P1509" s="5">
        <v>4.46</v>
      </c>
      <c r="Q1509" s="5">
        <v>4.0869999999999997</v>
      </c>
      <c r="R1509" s="5">
        <v>1.4056999999999999</v>
      </c>
      <c r="S1509" s="5">
        <v>0.9889</v>
      </c>
      <c r="T1509" s="5">
        <v>0.36359999999999998</v>
      </c>
      <c r="U1509" s="5">
        <v>0.41020000000000001</v>
      </c>
      <c r="V1509" s="4">
        <v>1</v>
      </c>
      <c r="W1509" s="4">
        <v>1</v>
      </c>
      <c r="X1509" s="5">
        <v>4.1500000000000004</v>
      </c>
      <c r="Y1509" s="5">
        <v>4.42</v>
      </c>
      <c r="Z1509" s="6">
        <v>1000</v>
      </c>
      <c r="AA1509" s="6">
        <v>1000</v>
      </c>
      <c r="AB1509" s="4" t="s">
        <v>13</v>
      </c>
    </row>
    <row r="1510" spans="1:28">
      <c r="A1510" s="3" t="s">
        <v>160</v>
      </c>
      <c r="B1510" s="24" t="s">
        <v>2186</v>
      </c>
      <c r="C1510" s="26" t="s">
        <v>2187</v>
      </c>
      <c r="D1510" s="4">
        <v>47</v>
      </c>
      <c r="E1510" s="3" t="s">
        <v>172</v>
      </c>
      <c r="F1510" s="3" t="s">
        <v>2188</v>
      </c>
      <c r="G1510" s="4">
        <v>53.7</v>
      </c>
      <c r="H1510" s="3" t="s">
        <v>173</v>
      </c>
      <c r="I1510" s="3" t="s">
        <v>179</v>
      </c>
      <c r="J1510" s="4">
        <v>2</v>
      </c>
      <c r="K1510" s="4">
        <v>1158.5554999999999</v>
      </c>
      <c r="L1510" s="4" t="str">
        <f>HYPERLINK("http://ms.phosphosite.org:5080/cgi-bin/plot-msms.cgi?MassType=1&amp;NumAxis=1&amp;Mod7=170&amp;Mod20=147&amp;Pep=VGSSNFRGGLGGGYGGASGMGGITAV&amp;Dta=/var/www/html/dta/yong/23612.24179.2.dta&amp;Global_Mod=CS57.0215", "24179")</f>
        <v>24179</v>
      </c>
      <c r="M1510" s="4" t="str">
        <f>HYPERLINK("http://ms.phosphosite.org:5080/cgi-bin/plot-msms.cgi?MassType=1&amp;NumAxis=1&amp;Mod7=170&amp;Mod20=147&amp;Pep=VGSSNFRGGLGGGYGGASGMGGITAV&amp;Dta=/var/www/html/dta/yong/23613.14735.2.dta&amp;Global_Mod=CS57.0215", "14735")</f>
        <v>14735</v>
      </c>
      <c r="N1510" s="5">
        <v>104.22</v>
      </c>
      <c r="O1510" s="5">
        <v>60.35</v>
      </c>
      <c r="P1510" s="5">
        <v>5.0410000000000004</v>
      </c>
      <c r="Q1510" s="5">
        <v>4.3410000000000002</v>
      </c>
      <c r="R1510" s="5">
        <v>1.0439000000000001</v>
      </c>
      <c r="S1510" s="5">
        <v>0.98580000000000001</v>
      </c>
      <c r="T1510" s="5">
        <v>0.4073</v>
      </c>
      <c r="U1510" s="5">
        <v>0.4819</v>
      </c>
      <c r="V1510" s="4">
        <v>1</v>
      </c>
      <c r="W1510" s="4">
        <v>1</v>
      </c>
      <c r="X1510" s="5">
        <v>4.5</v>
      </c>
      <c r="Y1510" s="5">
        <v>4.82</v>
      </c>
      <c r="Z1510" s="6">
        <v>1000</v>
      </c>
      <c r="AA1510" s="6">
        <v>1000</v>
      </c>
      <c r="AB1510" s="4" t="s">
        <v>13</v>
      </c>
    </row>
    <row r="1511" spans="1:28">
      <c r="A1511" s="3" t="s">
        <v>160</v>
      </c>
      <c r="B1511" s="24" t="s">
        <v>2186</v>
      </c>
      <c r="C1511" s="26" t="s">
        <v>2187</v>
      </c>
      <c r="D1511" s="4">
        <v>47</v>
      </c>
      <c r="E1511" s="3" t="s">
        <v>172</v>
      </c>
      <c r="F1511" s="3" t="s">
        <v>2188</v>
      </c>
      <c r="G1511" s="4">
        <v>53.7</v>
      </c>
      <c r="H1511" s="3" t="s">
        <v>173</v>
      </c>
      <c r="I1511" s="3" t="s">
        <v>179</v>
      </c>
      <c r="J1511" s="4">
        <v>2</v>
      </c>
      <c r="K1511" s="4">
        <v>1158.5554999999999</v>
      </c>
      <c r="L1511" s="4" t="str">
        <f>HYPERLINK("http://ms.phosphosite.org:5080/cgi-bin/plot-msms.cgi?MassType=1&amp;NumAxis=1&amp;Mod7=170&amp;Mod20=147&amp;Pep=VGSSNFRGGLGGGYGGASGMGGITAV&amp;Dta=/var/www/html/dta/yong/23612.14621.2.dta&amp;Global_Mod=CS57.0215", "14621")</f>
        <v>14621</v>
      </c>
      <c r="M1511" s="4" t="str">
        <f>HYPERLINK("http://ms.phosphosite.org:5080/cgi-bin/plot-msms.cgi?MassType=1&amp;NumAxis=1&amp;Mod7=170&amp;Mod20=147&amp;Pep=VGSSNFRGGLGGGYGGASGMGGITAV&amp;Dta=/var/www/html/dta/yong/23613.25114.2.dta&amp;Global_Mod=CS57.0215", "25114")</f>
        <v>25114</v>
      </c>
      <c r="N1511" s="5">
        <v>60.19</v>
      </c>
      <c r="O1511" s="5">
        <v>109.98</v>
      </c>
      <c r="P1511" s="5">
        <v>4.556</v>
      </c>
      <c r="Q1511" s="5">
        <v>3.746</v>
      </c>
      <c r="R1511" s="5">
        <v>1.5239</v>
      </c>
      <c r="S1511" s="5">
        <v>1.3243</v>
      </c>
      <c r="T1511" s="5">
        <v>0.3715</v>
      </c>
      <c r="U1511" s="5">
        <v>0.29099999999999998</v>
      </c>
      <c r="V1511" s="4">
        <v>1</v>
      </c>
      <c r="W1511" s="4">
        <v>1</v>
      </c>
      <c r="X1511" s="5">
        <v>4.2</v>
      </c>
      <c r="Y1511" s="5">
        <v>3.74</v>
      </c>
      <c r="Z1511" s="6">
        <v>1000</v>
      </c>
      <c r="AA1511" s="6">
        <v>1000</v>
      </c>
      <c r="AB1511" s="4" t="s">
        <v>13</v>
      </c>
    </row>
    <row r="1512" spans="1:28">
      <c r="A1512" s="3" t="s">
        <v>160</v>
      </c>
      <c r="B1512" s="24" t="s">
        <v>2186</v>
      </c>
      <c r="C1512" s="26" t="s">
        <v>2187</v>
      </c>
      <c r="D1512" s="4">
        <v>47</v>
      </c>
      <c r="E1512" s="3" t="s">
        <v>172</v>
      </c>
      <c r="F1512" s="3" t="s">
        <v>2188</v>
      </c>
      <c r="G1512" s="4">
        <v>53.7</v>
      </c>
      <c r="H1512" s="3" t="s">
        <v>173</v>
      </c>
      <c r="I1512" s="3" t="s">
        <v>179</v>
      </c>
      <c r="J1512" s="4">
        <v>2</v>
      </c>
      <c r="K1512" s="4">
        <v>1158.5554999999999</v>
      </c>
      <c r="L1512" s="4" t="str">
        <f>HYPERLINK("http://ms.phosphosite.org:5080/cgi-bin/plot-msms.cgi?MassType=1&amp;NumAxis=1&amp;Mod7=170&amp;Mod20=147&amp;Pep=VGSSNFRGGLGGGYGGASGMGGITAV&amp;Dta=/var/www/html/dta/yong/23612.23752.2.dta&amp;Global_Mod=CS57.0215", "23752")</f>
        <v>23752</v>
      </c>
      <c r="M1512" s="4" t="str">
        <f>HYPERLINK("http://ms.phosphosite.org:5080/cgi-bin/plot-msms.cgi?MassType=1&amp;NumAxis=1&amp;Mod7=170&amp;Mod20=147&amp;Pep=VGSSNFRGGLGGGYGGASGMGGITAV&amp;Dta=/var/www/html/dta/yong/23613.15636.2.dta&amp;Global_Mod=CS57.0215", "15636")</f>
        <v>15636</v>
      </c>
      <c r="N1512" s="5">
        <v>102.09</v>
      </c>
      <c r="O1512" s="5">
        <v>63.77</v>
      </c>
      <c r="P1512" s="5">
        <v>4.58</v>
      </c>
      <c r="Q1512" s="5">
        <v>4.3369999999999997</v>
      </c>
      <c r="R1512" s="5">
        <v>2.1084999999999998</v>
      </c>
      <c r="S1512" s="5">
        <v>1.3933</v>
      </c>
      <c r="T1512" s="5">
        <v>0.32700000000000001</v>
      </c>
      <c r="U1512" s="5">
        <v>0.42220000000000002</v>
      </c>
      <c r="V1512" s="4">
        <v>1</v>
      </c>
      <c r="W1512" s="4">
        <v>1</v>
      </c>
      <c r="X1512" s="5">
        <v>3.96</v>
      </c>
      <c r="Y1512" s="5">
        <v>4.51</v>
      </c>
      <c r="Z1512" s="6">
        <v>1000</v>
      </c>
      <c r="AA1512" s="6">
        <v>1000</v>
      </c>
      <c r="AB1512" s="4" t="s">
        <v>13</v>
      </c>
    </row>
    <row r="1513" spans="1:28">
      <c r="A1513" s="3" t="s">
        <v>160</v>
      </c>
      <c r="B1513" s="24" t="s">
        <v>2186</v>
      </c>
      <c r="C1513" s="26" t="s">
        <v>2187</v>
      </c>
      <c r="D1513" s="4">
        <v>47</v>
      </c>
      <c r="E1513" s="3" t="s">
        <v>172</v>
      </c>
      <c r="F1513" s="3" t="s">
        <v>2188</v>
      </c>
      <c r="G1513" s="4">
        <v>53.7</v>
      </c>
      <c r="H1513" s="3" t="s">
        <v>173</v>
      </c>
      <c r="I1513" s="3" t="s">
        <v>179</v>
      </c>
      <c r="J1513" s="4">
        <v>2</v>
      </c>
      <c r="K1513" s="4">
        <v>1158.5554999999999</v>
      </c>
      <c r="L1513" s="4" t="str">
        <f>HYPERLINK("http://ms.phosphosite.org:5080/cgi-bin/plot-msms.cgi?MassType=1&amp;NumAxis=1&amp;Mod7=170&amp;Mod20=147&amp;Pep=VGSSNFRGGLGGGYGGASGMGGITAV&amp;Dta=/var/www/html/dta/yong/23612.12866.2.dta&amp;Global_Mod=CS57.0215", "12866")</f>
        <v>12866</v>
      </c>
      <c r="M1513" s="4" t="str">
        <f>HYPERLINK("http://ms.phosphosite.org:5080/cgi-bin/plot-msms.cgi?MassType=1&amp;NumAxis=1&amp;Mod7=170&amp;Mod20=147&amp;Pep=VGSSNFRGGLGGGYGGASGMGGITAV&amp;Dta=/var/www/html/dta/yong/23613.25052.2.dta&amp;Global_Mod=CS57.0215", "25052")</f>
        <v>25052</v>
      </c>
      <c r="N1513" s="5">
        <v>53.77</v>
      </c>
      <c r="O1513" s="5">
        <v>109.65</v>
      </c>
      <c r="P1513" s="5">
        <v>4.5490000000000004</v>
      </c>
      <c r="Q1513" s="5">
        <v>3.161</v>
      </c>
      <c r="R1513" s="5">
        <v>1.3705000000000001</v>
      </c>
      <c r="S1513" s="5">
        <v>0.76949999999999996</v>
      </c>
      <c r="T1513" s="5">
        <v>0.22520000000000001</v>
      </c>
      <c r="U1513" s="5">
        <v>0.33729999999999999</v>
      </c>
      <c r="V1513" s="4">
        <v>1</v>
      </c>
      <c r="W1513" s="4">
        <v>1</v>
      </c>
      <c r="X1513" s="5">
        <v>3.49</v>
      </c>
      <c r="Y1513" s="5">
        <v>3.88</v>
      </c>
      <c r="Z1513" s="6">
        <v>1000</v>
      </c>
      <c r="AA1513" s="6">
        <v>1000</v>
      </c>
      <c r="AB1513" s="4" t="s">
        <v>13</v>
      </c>
    </row>
    <row r="1514" spans="1:28">
      <c r="A1514" s="3" t="s">
        <v>160</v>
      </c>
      <c r="B1514" s="24" t="s">
        <v>2186</v>
      </c>
      <c r="C1514" s="26" t="s">
        <v>2187</v>
      </c>
      <c r="D1514" s="4">
        <v>47</v>
      </c>
      <c r="E1514" s="3" t="s">
        <v>172</v>
      </c>
      <c r="F1514" s="3" t="s">
        <v>2188</v>
      </c>
      <c r="G1514" s="4">
        <v>53.7</v>
      </c>
      <c r="H1514" s="3" t="s">
        <v>173</v>
      </c>
      <c r="I1514" s="3" t="s">
        <v>179</v>
      </c>
      <c r="J1514" s="4">
        <v>2</v>
      </c>
      <c r="K1514" s="4">
        <v>1158.5554999999999</v>
      </c>
      <c r="L1514" s="4" t="str">
        <f>HYPERLINK("http://ms.phosphosite.org:5080/cgi-bin/plot-msms.cgi?MassType=1&amp;NumAxis=1&amp;Mod7=170&amp;Mod20=147&amp;Pep=VGSSNFRGGLGGGYGGASGMGGITAV&amp;Dta=/var/www/html/dta/yong/23612.15786.2.dta&amp;Global_Mod=CS57.0215", "15786")</f>
        <v>15786</v>
      </c>
      <c r="M1514" s="4" t="str">
        <f>HYPERLINK("http://ms.phosphosite.org:5080/cgi-bin/plot-msms.cgi?MassType=1&amp;NumAxis=1&amp;Mod7=170&amp;Mod20=147&amp;Pep=VGSSNFRGGLGGGYGGASGMGGITAV&amp;Dta=/var/www/html/dta/yong/23613.15910.2.dta&amp;Global_Mod=CS57.0215", "15910")</f>
        <v>15910</v>
      </c>
      <c r="N1514" s="5">
        <v>64.73</v>
      </c>
      <c r="O1514" s="5">
        <v>64.91</v>
      </c>
      <c r="P1514" s="5">
        <v>4.5330000000000004</v>
      </c>
      <c r="Q1514" s="5">
        <v>5.1710000000000003</v>
      </c>
      <c r="R1514" s="5">
        <v>1.7105999999999999</v>
      </c>
      <c r="S1514" s="5">
        <v>0.89970000000000006</v>
      </c>
      <c r="T1514" s="5">
        <v>0.39850000000000002</v>
      </c>
      <c r="U1514" s="5">
        <v>0.50860000000000005</v>
      </c>
      <c r="V1514" s="4">
        <v>1</v>
      </c>
      <c r="W1514" s="4">
        <v>1</v>
      </c>
      <c r="X1514" s="5">
        <v>4.32</v>
      </c>
      <c r="Y1514" s="5">
        <v>5.13</v>
      </c>
      <c r="Z1514" s="6">
        <v>1000</v>
      </c>
      <c r="AA1514" s="6">
        <v>1000</v>
      </c>
      <c r="AB1514" s="4" t="s">
        <v>13</v>
      </c>
    </row>
    <row r="1515" spans="1:28">
      <c r="A1515" s="3" t="s">
        <v>160</v>
      </c>
      <c r="B1515" s="24" t="s">
        <v>2186</v>
      </c>
      <c r="C1515" s="26" t="s">
        <v>2187</v>
      </c>
      <c r="D1515" s="4">
        <v>47</v>
      </c>
      <c r="E1515" s="3" t="s">
        <v>172</v>
      </c>
      <c r="F1515" s="3" t="s">
        <v>2188</v>
      </c>
      <c r="G1515" s="4">
        <v>53.7</v>
      </c>
      <c r="H1515" s="3" t="s">
        <v>173</v>
      </c>
      <c r="I1515" s="3" t="s">
        <v>179</v>
      </c>
      <c r="J1515" s="4">
        <v>2</v>
      </c>
      <c r="K1515" s="4">
        <v>1158.5554999999999</v>
      </c>
      <c r="L1515" s="4" t="str">
        <f>HYPERLINK("http://ms.phosphosite.org:5080/cgi-bin/plot-msms.cgi?MassType=1&amp;NumAxis=1&amp;Mod7=170&amp;Mod20=147&amp;Pep=VGSSNFRGGLGGGYGGASGMGGITAV&amp;Dta=/var/www/html/dta/yong/23612.22890.2.dta&amp;Global_Mod=CS57.0215", "22890")</f>
        <v>22890</v>
      </c>
      <c r="M1515" s="4" t="str">
        <f>HYPERLINK("http://ms.phosphosite.org:5080/cgi-bin/plot-msms.cgi?MassType=1&amp;NumAxis=1&amp;Mod7=170&amp;Mod20=147&amp;Pep=VGSSNFRGGLGGGYGGASGMGGITAV&amp;Dta=/var/www/html/dta/yong/23613.24828.2.dta&amp;Global_Mod=CS57.0215", "24828")</f>
        <v>24828</v>
      </c>
      <c r="N1515" s="5">
        <v>97.71</v>
      </c>
      <c r="O1515" s="5">
        <v>108.51</v>
      </c>
      <c r="P1515" s="5">
        <v>3.53</v>
      </c>
      <c r="Q1515" s="5">
        <v>5.1589999999999998</v>
      </c>
      <c r="R1515" s="5">
        <v>1.4762</v>
      </c>
      <c r="S1515" s="5">
        <v>1.5697000000000001</v>
      </c>
      <c r="T1515" s="5">
        <v>0.44090000000000001</v>
      </c>
      <c r="U1515" s="5">
        <v>0.4279</v>
      </c>
      <c r="V1515" s="4">
        <v>1</v>
      </c>
      <c r="W1515" s="4">
        <v>1</v>
      </c>
      <c r="X1515" s="5">
        <v>4.3499999999999996</v>
      </c>
      <c r="Y1515" s="5">
        <v>4.6900000000000004</v>
      </c>
      <c r="Z1515" s="6">
        <v>1000</v>
      </c>
      <c r="AA1515" s="6">
        <v>1000</v>
      </c>
      <c r="AB1515" s="4" t="s">
        <v>13</v>
      </c>
    </row>
    <row r="1516" spans="1:28">
      <c r="A1516" s="3" t="s">
        <v>160</v>
      </c>
      <c r="B1516" s="24" t="s">
        <v>2186</v>
      </c>
      <c r="C1516" s="26" t="s">
        <v>2187</v>
      </c>
      <c r="D1516" s="4">
        <v>47</v>
      </c>
      <c r="E1516" s="3" t="s">
        <v>172</v>
      </c>
      <c r="F1516" s="3" t="s">
        <v>2188</v>
      </c>
      <c r="G1516" s="4">
        <v>53.7</v>
      </c>
      <c r="H1516" s="3" t="s">
        <v>173</v>
      </c>
      <c r="I1516" s="3" t="s">
        <v>179</v>
      </c>
      <c r="J1516" s="4">
        <v>2</v>
      </c>
      <c r="K1516" s="4">
        <v>1158.5554999999999</v>
      </c>
      <c r="L1516" s="4" t="str">
        <f>HYPERLINK("http://ms.phosphosite.org:5080/cgi-bin/plot-msms.cgi?MassType=1&amp;NumAxis=1&amp;Mod7=170&amp;Mod20=147&amp;Pep=VGSSNFRGGLGGGYGGASGMGGITAV&amp;Dta=/var/www/html/dta/yong/23612.22329.2.dta&amp;Global_Mod=CS57.0215", "22329")</f>
        <v>22329</v>
      </c>
      <c r="M1516" s="4" t="str">
        <f>HYPERLINK("http://ms.phosphosite.org:5080/cgi-bin/plot-msms.cgi?MassType=1&amp;NumAxis=1&amp;Mod7=170&amp;Mod20=147&amp;Pep=VGSSNFRGGLGGGYGGASGMGGITAV&amp;Dta=/var/www/html/dta/yong/23613.19278.2.dta&amp;Global_Mod=CS57.0215", "19278")</f>
        <v>19278</v>
      </c>
      <c r="N1516" s="5">
        <v>94.83</v>
      </c>
      <c r="O1516" s="5">
        <v>79.62</v>
      </c>
      <c r="P1516" s="5">
        <v>4.0069999999999997</v>
      </c>
      <c r="Q1516" s="5">
        <v>3.98</v>
      </c>
      <c r="R1516" s="5">
        <v>2.1036999999999999</v>
      </c>
      <c r="S1516" s="5">
        <v>2.2947000000000002</v>
      </c>
      <c r="T1516" s="5">
        <v>0.2873</v>
      </c>
      <c r="U1516" s="5">
        <v>0.33150000000000002</v>
      </c>
      <c r="V1516" s="4">
        <v>1</v>
      </c>
      <c r="W1516" s="4">
        <v>1</v>
      </c>
      <c r="X1516" s="5">
        <v>3.65</v>
      </c>
      <c r="Y1516" s="5">
        <v>3.94</v>
      </c>
      <c r="Z1516" s="6">
        <v>1000</v>
      </c>
      <c r="AA1516" s="6">
        <v>1000</v>
      </c>
      <c r="AB1516" s="4" t="s">
        <v>13</v>
      </c>
    </row>
    <row r="1517" spans="1:28">
      <c r="A1517" s="3" t="s">
        <v>160</v>
      </c>
      <c r="B1517" s="24" t="s">
        <v>2186</v>
      </c>
      <c r="C1517" s="26" t="s">
        <v>2187</v>
      </c>
      <c r="D1517" s="4">
        <v>47</v>
      </c>
      <c r="E1517" s="3" t="s">
        <v>172</v>
      </c>
      <c r="F1517" s="3" t="s">
        <v>2188</v>
      </c>
      <c r="G1517" s="4">
        <v>53.7</v>
      </c>
      <c r="H1517" s="3" t="s">
        <v>173</v>
      </c>
      <c r="I1517" s="3" t="s">
        <v>179</v>
      </c>
      <c r="J1517" s="4">
        <v>2</v>
      </c>
      <c r="K1517" s="4">
        <v>1158.5554999999999</v>
      </c>
      <c r="L1517" s="4" t="str">
        <f>HYPERLINK("http://ms.phosphosite.org:5080/cgi-bin/plot-msms.cgi?MassType=1&amp;NumAxis=1&amp;Mod7=170&amp;Mod20=147&amp;Pep=VGSSNFRGGLGGGYGGASGMGGITAV&amp;Dta=/var/www/html/dta/yong/23612.22312.2.dta&amp;Global_Mod=CS57.0215", "22312")</f>
        <v>22312</v>
      </c>
      <c r="M1517" s="4" t="str">
        <f>HYPERLINK("http://ms.phosphosite.org:5080/cgi-bin/plot-msms.cgi?MassType=1&amp;NumAxis=1&amp;Mod7=170&amp;Mod20=147&amp;Pep=VGSSNFRGGLGGGYGGASGMGGITAV&amp;Dta=/var/www/html/dta/yong/23613.24061.2.dta&amp;Global_Mod=CS57.0215", "24061")</f>
        <v>24061</v>
      </c>
      <c r="N1517" s="5">
        <v>94.75</v>
      </c>
      <c r="O1517" s="5">
        <v>103.21</v>
      </c>
      <c r="P1517" s="5">
        <v>3.516</v>
      </c>
      <c r="Q1517" s="5">
        <v>4.1740000000000004</v>
      </c>
      <c r="R1517" s="5">
        <v>0.61399999999999999</v>
      </c>
      <c r="S1517" s="5">
        <v>1.5209999999999999</v>
      </c>
      <c r="T1517" s="5">
        <v>0.3392</v>
      </c>
      <c r="U1517" s="5">
        <v>0.4541</v>
      </c>
      <c r="V1517" s="4">
        <v>1</v>
      </c>
      <c r="W1517" s="4">
        <v>1</v>
      </c>
      <c r="X1517" s="5">
        <v>3.89</v>
      </c>
      <c r="Y1517" s="5">
        <v>4.63</v>
      </c>
      <c r="Z1517" s="6">
        <v>1000</v>
      </c>
      <c r="AA1517" s="6">
        <v>1000</v>
      </c>
      <c r="AB1517" s="4" t="s">
        <v>13</v>
      </c>
    </row>
    <row r="1518" spans="1:28">
      <c r="A1518" s="3" t="s">
        <v>160</v>
      </c>
      <c r="B1518" s="24" t="s">
        <v>2186</v>
      </c>
      <c r="C1518" s="26" t="s">
        <v>2187</v>
      </c>
      <c r="D1518" s="4">
        <v>47</v>
      </c>
      <c r="E1518" s="3" t="s">
        <v>172</v>
      </c>
      <c r="F1518" s="3" t="s">
        <v>2188</v>
      </c>
      <c r="G1518" s="4">
        <v>53.7</v>
      </c>
      <c r="H1518" s="3" t="s">
        <v>173</v>
      </c>
      <c r="I1518" s="3" t="s">
        <v>179</v>
      </c>
      <c r="J1518" s="4">
        <v>2</v>
      </c>
      <c r="K1518" s="4">
        <v>1158.5554999999999</v>
      </c>
      <c r="L1518" s="4" t="str">
        <f>HYPERLINK("http://ms.phosphosite.org:5080/cgi-bin/plot-msms.cgi?MassType=1&amp;NumAxis=1&amp;Mod7=170&amp;Mod20=147&amp;Pep=VGSSNFRGGLGGGYGGASGMGGITAV&amp;Dta=/var/www/html/dta/yong/23612.23819.2.dta&amp;Global_Mod=CS57.0215", "23819")</f>
        <v>23819</v>
      </c>
      <c r="M1518" s="4" t="str">
        <f>HYPERLINK("http://ms.phosphosite.org:5080/cgi-bin/plot-msms.cgi?MassType=1&amp;NumAxis=1&amp;Mod7=170&amp;Mod20=147&amp;Pep=VGSSNFRGGLGGGYGGASGMGGITAV&amp;Dta=/var/www/html/dta/yong/23613.24806.2.dta&amp;Global_Mod=CS57.0215", "24806")</f>
        <v>24806</v>
      </c>
      <c r="N1518" s="5">
        <v>102.43</v>
      </c>
      <c r="O1518" s="5">
        <v>108.38</v>
      </c>
      <c r="P1518" s="5">
        <v>4.1959999999999997</v>
      </c>
      <c r="Q1518" s="5">
        <v>3.97</v>
      </c>
      <c r="R1518" s="5">
        <v>2.0608</v>
      </c>
      <c r="S1518" s="5">
        <v>0.51349999999999996</v>
      </c>
      <c r="T1518" s="5">
        <v>0.42349999999999999</v>
      </c>
      <c r="U1518" s="5">
        <v>0.51500000000000001</v>
      </c>
      <c r="V1518" s="4">
        <v>1</v>
      </c>
      <c r="W1518" s="4">
        <v>1</v>
      </c>
      <c r="X1518" s="5">
        <v>4.3600000000000003</v>
      </c>
      <c r="Y1518" s="5">
        <v>4.9400000000000004</v>
      </c>
      <c r="Z1518" s="6">
        <v>1000</v>
      </c>
      <c r="AA1518" s="6">
        <v>1000</v>
      </c>
      <c r="AB1518" s="4" t="s">
        <v>13</v>
      </c>
    </row>
    <row r="1519" spans="1:28">
      <c r="A1519" s="3" t="s">
        <v>160</v>
      </c>
      <c r="B1519" s="24" t="s">
        <v>2186</v>
      </c>
      <c r="C1519" s="26" t="s">
        <v>2187</v>
      </c>
      <c r="D1519" s="4">
        <v>47</v>
      </c>
      <c r="E1519" s="3" t="s">
        <v>172</v>
      </c>
      <c r="F1519" s="3" t="s">
        <v>2188</v>
      </c>
      <c r="G1519" s="4">
        <v>53.7</v>
      </c>
      <c r="H1519" s="3" t="s">
        <v>173</v>
      </c>
      <c r="I1519" s="3" t="s">
        <v>179</v>
      </c>
      <c r="J1519" s="4">
        <v>2</v>
      </c>
      <c r="K1519" s="4">
        <v>1158.5554999999999</v>
      </c>
      <c r="L1519" s="4" t="str">
        <f>HYPERLINK("http://ms.phosphosite.org:5080/cgi-bin/plot-msms.cgi?MassType=1&amp;NumAxis=1&amp;Mod7=170&amp;Mod20=147&amp;Pep=VGSSNFRGGLGGGYGGASGMGGITAV&amp;Dta=/var/www/html/dta/yong/23612.22428.2.dta&amp;Global_Mod=CS57.0215", "22428")</f>
        <v>22428</v>
      </c>
      <c r="M1519" s="4" t="str">
        <f>HYPERLINK("http://ms.phosphosite.org:5080/cgi-bin/plot-msms.cgi?MassType=1&amp;NumAxis=1&amp;Mod7=170&amp;Mod20=147&amp;Pep=VGSSNFRGGLGGGYGGASGMGGITAV&amp;Dta=/var/www/html/dta/yong/23613.16329.2.dta&amp;Global_Mod=CS57.0215", "16329")</f>
        <v>16329</v>
      </c>
      <c r="N1519" s="5">
        <v>95.34</v>
      </c>
      <c r="O1519" s="5">
        <v>66.599999999999994</v>
      </c>
      <c r="P1519" s="5">
        <v>3.544</v>
      </c>
      <c r="Q1519" s="5">
        <v>5.016</v>
      </c>
      <c r="R1519" s="5">
        <v>2.4550999999999998</v>
      </c>
      <c r="S1519" s="5">
        <v>1.1395</v>
      </c>
      <c r="T1519" s="5">
        <v>0.34589999999999999</v>
      </c>
      <c r="U1519" s="5">
        <v>0.4894</v>
      </c>
      <c r="V1519" s="4">
        <v>1</v>
      </c>
      <c r="W1519" s="4">
        <v>1</v>
      </c>
      <c r="X1519" s="5">
        <v>3.83</v>
      </c>
      <c r="Y1519" s="5">
        <v>4.99</v>
      </c>
      <c r="Z1519" s="6">
        <v>1000</v>
      </c>
      <c r="AA1519" s="6">
        <v>1000</v>
      </c>
      <c r="AB1519" s="4" t="s">
        <v>13</v>
      </c>
    </row>
    <row r="1520" spans="1:28">
      <c r="A1520" s="3" t="s">
        <v>160</v>
      </c>
      <c r="B1520" s="24" t="s">
        <v>2186</v>
      </c>
      <c r="C1520" s="26" t="s">
        <v>2187</v>
      </c>
      <c r="D1520" s="4">
        <v>47</v>
      </c>
      <c r="E1520" s="3" t="s">
        <v>172</v>
      </c>
      <c r="F1520" s="3" t="s">
        <v>2188</v>
      </c>
      <c r="G1520" s="4">
        <v>53.7</v>
      </c>
      <c r="H1520" s="3" t="s">
        <v>173</v>
      </c>
      <c r="I1520" s="3" t="s">
        <v>179</v>
      </c>
      <c r="J1520" s="4">
        <v>2</v>
      </c>
      <c r="K1520" s="4">
        <v>1158.5554999999999</v>
      </c>
      <c r="L1520" s="4" t="str">
        <f>HYPERLINK("http://ms.phosphosite.org:5080/cgi-bin/plot-msms.cgi?MassType=1&amp;NumAxis=1&amp;Mod7=170&amp;Mod20=147&amp;Pep=VGSSNFRGGLGGGYGGASGMGGITAV&amp;Dta=/var/www/html/dta/yong/23612.25019.2.dta&amp;Global_Mod=CS57.0215", "25019")</f>
        <v>25019</v>
      </c>
      <c r="M1520" s="4" t="str">
        <f>HYPERLINK("http://ms.phosphosite.org:5080/cgi-bin/plot-msms.cgi?MassType=1&amp;NumAxis=1&amp;Mod7=170&amp;Mod20=147&amp;Pep=VGSSNFRGGLGGGYGGASGMGGITAV&amp;Dta=/var/www/html/dta/yong/23613.16371.2.dta&amp;Global_Mod=CS57.0215", "16371")</f>
        <v>16371</v>
      </c>
      <c r="N1520" s="5">
        <v>109.68</v>
      </c>
      <c r="O1520" s="5">
        <v>66.760000000000005</v>
      </c>
      <c r="P1520" s="5">
        <v>3.6190000000000002</v>
      </c>
      <c r="Q1520" s="5">
        <v>5.12</v>
      </c>
      <c r="R1520" s="5">
        <v>-1.1216999999999999</v>
      </c>
      <c r="S1520" s="5">
        <v>1.4810000000000001</v>
      </c>
      <c r="T1520" s="5">
        <v>0.27779999999999999</v>
      </c>
      <c r="U1520" s="5">
        <v>0.44790000000000002</v>
      </c>
      <c r="V1520" s="4">
        <v>1</v>
      </c>
      <c r="W1520" s="4">
        <v>1</v>
      </c>
      <c r="X1520" s="5">
        <v>3.54</v>
      </c>
      <c r="Y1520" s="5">
        <v>4.79</v>
      </c>
      <c r="Z1520" s="6">
        <v>1000</v>
      </c>
      <c r="AA1520" s="6">
        <v>1000</v>
      </c>
      <c r="AB1520" s="4" t="s">
        <v>13</v>
      </c>
    </row>
    <row r="1521" spans="1:28">
      <c r="A1521" s="3" t="s">
        <v>160</v>
      </c>
      <c r="B1521" s="24" t="s">
        <v>2186</v>
      </c>
      <c r="C1521" s="26" t="s">
        <v>2187</v>
      </c>
      <c r="D1521" s="4">
        <v>47</v>
      </c>
      <c r="E1521" s="3" t="s">
        <v>172</v>
      </c>
      <c r="F1521" s="3" t="s">
        <v>2188</v>
      </c>
      <c r="G1521" s="4">
        <v>53.7</v>
      </c>
      <c r="H1521" s="3" t="s">
        <v>173</v>
      </c>
      <c r="I1521" s="3" t="s">
        <v>179</v>
      </c>
      <c r="J1521" s="4">
        <v>2</v>
      </c>
      <c r="K1521" s="4">
        <v>1158.5554999999999</v>
      </c>
      <c r="L1521" s="4" t="str">
        <f>HYPERLINK("http://ms.phosphosite.org:5080/cgi-bin/plot-msms.cgi?MassType=1&amp;NumAxis=1&amp;Mod7=170&amp;Mod20=147&amp;Pep=VGSSNFRGGLGGGYGGASGMGGITAV&amp;Dta=/var/www/html/dta/yong/23612.17726.2.dta&amp;Global_Mod=CS57.0215", "17726")</f>
        <v>17726</v>
      </c>
      <c r="M1521" s="4" t="str">
        <f>HYPERLINK("http://ms.phosphosite.org:5080/cgi-bin/plot-msms.cgi?MassType=1&amp;NumAxis=1&amp;Mod7=170&amp;Mod20=147&amp;Pep=VGSSNFRGGLGGGYGGASGMGGITAV&amp;Dta=/var/www/html/dta/yong/23613.23891.2.dta&amp;Global_Mod=CS57.0215", "23891")</f>
        <v>23891</v>
      </c>
      <c r="N1521" s="5">
        <v>72.959999999999994</v>
      </c>
      <c r="O1521" s="5">
        <v>102.35</v>
      </c>
      <c r="P1521" s="5">
        <v>3.6150000000000002</v>
      </c>
      <c r="Q1521" s="5">
        <v>5.1520000000000001</v>
      </c>
      <c r="R1521" s="5">
        <v>2.0998000000000001</v>
      </c>
      <c r="S1521" s="5">
        <v>2.0994000000000002</v>
      </c>
      <c r="T1521" s="5">
        <v>0.2485</v>
      </c>
      <c r="U1521" s="5">
        <v>0.43940000000000001</v>
      </c>
      <c r="V1521" s="4">
        <v>1</v>
      </c>
      <c r="W1521" s="4">
        <v>1</v>
      </c>
      <c r="X1521" s="5">
        <v>3.38</v>
      </c>
      <c r="Y1521" s="5">
        <v>4.72</v>
      </c>
      <c r="Z1521" s="6">
        <v>1000</v>
      </c>
      <c r="AA1521" s="6">
        <v>1000</v>
      </c>
      <c r="AB1521" s="4" t="s">
        <v>13</v>
      </c>
    </row>
    <row r="1522" spans="1:28">
      <c r="A1522" s="3" t="s">
        <v>160</v>
      </c>
      <c r="B1522" s="24" t="s">
        <v>2186</v>
      </c>
      <c r="C1522" s="26" t="s">
        <v>2187</v>
      </c>
      <c r="D1522" s="4">
        <v>47</v>
      </c>
      <c r="E1522" s="3" t="s">
        <v>172</v>
      </c>
      <c r="F1522" s="3" t="s">
        <v>2188</v>
      </c>
      <c r="G1522" s="4">
        <v>53.7</v>
      </c>
      <c r="H1522" s="3" t="s">
        <v>173</v>
      </c>
      <c r="I1522" s="3" t="s">
        <v>179</v>
      </c>
      <c r="J1522" s="4">
        <v>2</v>
      </c>
      <c r="K1522" s="4">
        <v>1158.5554999999999</v>
      </c>
      <c r="L1522" s="4" t="str">
        <f>HYPERLINK("http://ms.phosphosite.org:5080/cgi-bin/plot-msms.cgi?MassType=1&amp;NumAxis=1&amp;Mod7=170&amp;Mod20=147&amp;Pep=VGSSNFRGGLGGGYGGASGMGGITAV&amp;Dta=/var/www/html/dta/yong/23612.24228.2.dta&amp;Global_Mod=CS57.0215", "24228")</f>
        <v>24228</v>
      </c>
      <c r="M1522" s="4" t="str">
        <f>HYPERLINK("http://ms.phosphosite.org:5080/cgi-bin/plot-msms.cgi?MassType=1&amp;NumAxis=1&amp;Mod7=170&amp;Mod20=147&amp;Pep=VGSSNFRGGLGGGYGGASGMGGITAV&amp;Dta=/var/www/html/dta/yong/23613.23447.2.dta&amp;Global_Mod=CS57.0215", "23447")</f>
        <v>23447</v>
      </c>
      <c r="N1522" s="5">
        <v>104.47</v>
      </c>
      <c r="O1522" s="5">
        <v>100.13</v>
      </c>
      <c r="P1522" s="5">
        <v>3.6110000000000002</v>
      </c>
      <c r="Q1522" s="5">
        <v>4.1779999999999999</v>
      </c>
      <c r="R1522" s="5">
        <v>2.1071</v>
      </c>
      <c r="S1522" s="5">
        <v>1.9334</v>
      </c>
      <c r="T1522" s="5">
        <v>0.46560000000000001</v>
      </c>
      <c r="U1522" s="5">
        <v>0.34489999999999998</v>
      </c>
      <c r="V1522" s="4">
        <v>1</v>
      </c>
      <c r="W1522" s="4">
        <v>1</v>
      </c>
      <c r="X1522" s="5">
        <v>4.46</v>
      </c>
      <c r="Y1522" s="5">
        <v>4.07</v>
      </c>
      <c r="Z1522" s="6">
        <v>1000</v>
      </c>
      <c r="AA1522" s="6">
        <v>1000</v>
      </c>
      <c r="AB1522" s="4" t="s">
        <v>13</v>
      </c>
    </row>
    <row r="1523" spans="1:28">
      <c r="A1523" s="3" t="s">
        <v>160</v>
      </c>
      <c r="B1523" s="24" t="s">
        <v>2186</v>
      </c>
      <c r="C1523" s="26" t="s">
        <v>2187</v>
      </c>
      <c r="D1523" s="4">
        <v>47</v>
      </c>
      <c r="E1523" s="3" t="s">
        <v>172</v>
      </c>
      <c r="F1523" s="3" t="s">
        <v>2188</v>
      </c>
      <c r="G1523" s="4">
        <v>53.7</v>
      </c>
      <c r="H1523" s="3" t="s">
        <v>173</v>
      </c>
      <c r="I1523" s="3" t="s">
        <v>179</v>
      </c>
      <c r="J1523" s="4">
        <v>2</v>
      </c>
      <c r="K1523" s="4">
        <v>1158.5554999999999</v>
      </c>
      <c r="L1523" s="4" t="str">
        <f>HYPERLINK("http://ms.phosphosite.org:5080/cgi-bin/plot-msms.cgi?MassType=1&amp;NumAxis=1&amp;Mod7=170&amp;Mod20=147&amp;Pep=VGSSNFRGGLGGGYGGASGMGGITAV&amp;Dta=/var/www/html/dta/yong/23612.20535.2.dta&amp;Global_Mod=CS57.0215", "20535")</f>
        <v>20535</v>
      </c>
      <c r="M1523" s="4" t="str">
        <f>HYPERLINK("http://ms.phosphosite.org:5080/cgi-bin/plot-msms.cgi?MassType=1&amp;NumAxis=1&amp;Mod7=170&amp;Mod20=147&amp;Pep=VGSSNFRGGLGGGYGGASGMGGITAV&amp;Dta=/var/www/html/dta/yong/23613.20400.2.dta&amp;Global_Mod=CS57.0215", "20400")</f>
        <v>20400</v>
      </c>
      <c r="N1523" s="5">
        <v>85.97</v>
      </c>
      <c r="O1523" s="5">
        <v>84.89</v>
      </c>
      <c r="P1523" s="5">
        <v>3.548</v>
      </c>
      <c r="Q1523" s="5">
        <v>3.9870000000000001</v>
      </c>
      <c r="R1523" s="5">
        <v>0.45450000000000002</v>
      </c>
      <c r="S1523" s="5">
        <v>1.3466</v>
      </c>
      <c r="T1523" s="5">
        <v>0.3422</v>
      </c>
      <c r="U1523" s="5">
        <v>0.45440000000000003</v>
      </c>
      <c r="V1523" s="4">
        <v>1</v>
      </c>
      <c r="W1523" s="4">
        <v>1</v>
      </c>
      <c r="X1523" s="5">
        <v>3.92</v>
      </c>
      <c r="Y1523" s="5">
        <v>4.5999999999999996</v>
      </c>
      <c r="Z1523" s="6">
        <v>1000</v>
      </c>
      <c r="AA1523" s="6">
        <v>1000</v>
      </c>
      <c r="AB1523" s="4" t="s">
        <v>13</v>
      </c>
    </row>
    <row r="1524" spans="1:28">
      <c r="A1524" s="3" t="s">
        <v>160</v>
      </c>
      <c r="B1524" s="24" t="s">
        <v>2186</v>
      </c>
      <c r="C1524" s="26" t="s">
        <v>2187</v>
      </c>
      <c r="D1524" s="4">
        <v>47</v>
      </c>
      <c r="E1524" s="3" t="s">
        <v>172</v>
      </c>
      <c r="F1524" s="3" t="s">
        <v>2188</v>
      </c>
      <c r="G1524" s="4">
        <v>53.7</v>
      </c>
      <c r="H1524" s="3" t="s">
        <v>173</v>
      </c>
      <c r="I1524" s="3" t="s">
        <v>179</v>
      </c>
      <c r="J1524" s="4">
        <v>2</v>
      </c>
      <c r="K1524" s="4">
        <v>1158.5554999999999</v>
      </c>
      <c r="L1524" s="4" t="str">
        <f>HYPERLINK("http://ms.phosphosite.org:5080/cgi-bin/plot-msms.cgi?MassType=1&amp;NumAxis=1&amp;Mod7=170&amp;Mod20=147&amp;Pep=VGSSNFRGGLGGGYGGASGMGGITAV&amp;Dta=/var/www/html/dta/yong/23612.18339.2.dta&amp;Global_Mod=CS57.0215", "18339")</f>
        <v>18339</v>
      </c>
      <c r="M1524" s="4" t="str">
        <f>HYPERLINK("http://ms.phosphosite.org:5080/cgi-bin/plot-msms.cgi?MassType=1&amp;NumAxis=1&amp;Mod7=170&amp;Mod20=147&amp;Pep=VGSSNFRGGLGGGYGGASGMGGITAV&amp;Dta=/var/www/html/dta/yong/23613.23860.2.dta&amp;Global_Mod=CS57.0215", "23860")</f>
        <v>23860</v>
      </c>
      <c r="N1524" s="5">
        <v>75.67</v>
      </c>
      <c r="O1524" s="5">
        <v>102.2</v>
      </c>
      <c r="P1524" s="5">
        <v>4.2549999999999999</v>
      </c>
      <c r="Q1524" s="5">
        <v>2.9889999999999999</v>
      </c>
      <c r="R1524" s="5">
        <v>0.37180000000000002</v>
      </c>
      <c r="S1524" s="5">
        <v>1.4567000000000001</v>
      </c>
      <c r="T1524" s="5">
        <v>0.34420000000000001</v>
      </c>
      <c r="U1524" s="5">
        <v>0.30649999999999999</v>
      </c>
      <c r="V1524" s="4">
        <v>1</v>
      </c>
      <c r="W1524" s="4">
        <v>1</v>
      </c>
      <c r="X1524" s="5">
        <v>4.07</v>
      </c>
      <c r="Y1524" s="5">
        <v>3.66</v>
      </c>
      <c r="Z1524" s="6">
        <v>1000</v>
      </c>
      <c r="AA1524" s="6">
        <v>1000</v>
      </c>
      <c r="AB1524" s="4" t="s">
        <v>13</v>
      </c>
    </row>
    <row r="1525" spans="1:28">
      <c r="A1525" s="3" t="s">
        <v>160</v>
      </c>
      <c r="B1525" s="24" t="s">
        <v>2186</v>
      </c>
      <c r="C1525" s="26" t="s">
        <v>2187</v>
      </c>
      <c r="D1525" s="4">
        <v>47</v>
      </c>
      <c r="E1525" s="3" t="s">
        <v>172</v>
      </c>
      <c r="F1525" s="3" t="s">
        <v>2188</v>
      </c>
      <c r="G1525" s="4">
        <v>53.7</v>
      </c>
      <c r="H1525" s="3" t="s">
        <v>173</v>
      </c>
      <c r="I1525" s="3" t="s">
        <v>179</v>
      </c>
      <c r="J1525" s="4">
        <v>2</v>
      </c>
      <c r="K1525" s="4">
        <v>1158.5554999999999</v>
      </c>
      <c r="L1525" s="4" t="str">
        <f>HYPERLINK("http://ms.phosphosite.org:5080/cgi-bin/plot-msms.cgi?MassType=1&amp;NumAxis=1&amp;Mod7=170&amp;Mod20=147&amp;Pep=VGSSNFRGGLGGGYGGASGMGGITAV&amp;Dta=/var/www/html/dta/yong/23612.21265.2.dta&amp;Global_Mod=CS57.0215", "21265")</f>
        <v>21265</v>
      </c>
      <c r="M1525" s="4" t="str">
        <f>HYPERLINK("http://ms.phosphosite.org:5080/cgi-bin/plot-msms.cgi?MassType=1&amp;NumAxis=1&amp;Mod7=170&amp;Mod20=147&amp;Pep=VGSSNFRGGLGGGYGGASGMGGITAV&amp;Dta=/var/www/html/dta/yong/23613.13549.2.dta&amp;Global_Mod=CS57.0215", "13549")</f>
        <v>13549</v>
      </c>
      <c r="N1525" s="5">
        <v>89.52</v>
      </c>
      <c r="O1525" s="5">
        <v>55.93</v>
      </c>
      <c r="P1525" s="5">
        <v>4.1879999999999997</v>
      </c>
      <c r="Q1525" s="5">
        <v>5.3970000000000002</v>
      </c>
      <c r="R1525" s="5">
        <v>1.2040999999999999</v>
      </c>
      <c r="S1525" s="5">
        <v>1.1629</v>
      </c>
      <c r="T1525" s="5">
        <v>0.33229999999999998</v>
      </c>
      <c r="U1525" s="5">
        <v>0.42459999999999998</v>
      </c>
      <c r="V1525" s="4">
        <v>1</v>
      </c>
      <c r="W1525" s="4">
        <v>1</v>
      </c>
      <c r="X1525" s="5">
        <v>3.96</v>
      </c>
      <c r="Y1525" s="5">
        <v>4.75</v>
      </c>
      <c r="Z1525" s="6">
        <v>1000</v>
      </c>
      <c r="AA1525" s="6">
        <v>1000</v>
      </c>
      <c r="AB1525" s="4" t="s">
        <v>13</v>
      </c>
    </row>
    <row r="1526" spans="1:28">
      <c r="A1526" s="3" t="s">
        <v>160</v>
      </c>
      <c r="B1526" s="24" t="s">
        <v>2186</v>
      </c>
      <c r="C1526" s="26" t="s">
        <v>2187</v>
      </c>
      <c r="D1526" s="4">
        <v>47</v>
      </c>
      <c r="E1526" s="3" t="s">
        <v>172</v>
      </c>
      <c r="F1526" s="3" t="s">
        <v>2188</v>
      </c>
      <c r="G1526" s="4">
        <v>53.7</v>
      </c>
      <c r="H1526" s="3" t="s">
        <v>173</v>
      </c>
      <c r="I1526" s="3" t="s">
        <v>179</v>
      </c>
      <c r="J1526" s="4">
        <v>2</v>
      </c>
      <c r="K1526" s="4">
        <v>1158.5554999999999</v>
      </c>
      <c r="L1526" s="4" t="str">
        <f>HYPERLINK("http://ms.phosphosite.org:5080/cgi-bin/plot-msms.cgi?MassType=1&amp;NumAxis=1&amp;Mod7=170&amp;Mod20=147&amp;Pep=VGSSNFRGGLGGGYGGASGMGGITAV&amp;Dta=/var/www/html/dta/yong/23612.20902.2.dta&amp;Global_Mod=CS57.0215", "20902")</f>
        <v>20902</v>
      </c>
      <c r="M1526" s="4" t="str">
        <f>HYPERLINK("http://ms.phosphosite.org:5080/cgi-bin/plot-msms.cgi?MassType=1&amp;NumAxis=1&amp;Mod7=170&amp;Mod20=147&amp;Pep=VGSSNFRGGLGGGYGGASGMGGITAV&amp;Dta=/var/www/html/dta/yong/23613.19422.2.dta&amp;Global_Mod=CS57.0215", "19422")</f>
        <v>19422</v>
      </c>
      <c r="N1526" s="5">
        <v>87.77</v>
      </c>
      <c r="O1526" s="5">
        <v>80.31</v>
      </c>
      <c r="P1526" s="5">
        <v>4.18</v>
      </c>
      <c r="Q1526" s="5">
        <v>4.141</v>
      </c>
      <c r="R1526" s="5">
        <v>-0.40529999999999999</v>
      </c>
      <c r="S1526" s="5">
        <v>1.1734</v>
      </c>
      <c r="T1526" s="5">
        <v>0.51859999999999995</v>
      </c>
      <c r="U1526" s="5">
        <v>0.39510000000000001</v>
      </c>
      <c r="V1526" s="4">
        <v>1</v>
      </c>
      <c r="W1526" s="4">
        <v>1</v>
      </c>
      <c r="X1526" s="5">
        <v>4.87</v>
      </c>
      <c r="Y1526" s="5">
        <v>4.3499999999999996</v>
      </c>
      <c r="Z1526" s="6">
        <v>1000</v>
      </c>
      <c r="AA1526" s="6">
        <v>1000</v>
      </c>
      <c r="AB1526" s="4" t="s">
        <v>13</v>
      </c>
    </row>
    <row r="1527" spans="1:28">
      <c r="A1527" s="3" t="s">
        <v>160</v>
      </c>
      <c r="B1527" s="24" t="s">
        <v>2186</v>
      </c>
      <c r="C1527" s="26" t="s">
        <v>2187</v>
      </c>
      <c r="D1527" s="4">
        <v>47</v>
      </c>
      <c r="E1527" s="3" t="s">
        <v>172</v>
      </c>
      <c r="F1527" s="3" t="s">
        <v>2188</v>
      </c>
      <c r="G1527" s="4">
        <v>53.7</v>
      </c>
      <c r="H1527" s="3" t="s">
        <v>173</v>
      </c>
      <c r="I1527" s="3" t="s">
        <v>179</v>
      </c>
      <c r="J1527" s="4">
        <v>2</v>
      </c>
      <c r="K1527" s="4">
        <v>1158.5554999999999</v>
      </c>
      <c r="L1527" s="4" t="str">
        <f>HYPERLINK("http://ms.phosphosite.org:5080/cgi-bin/plot-msms.cgi?MassType=1&amp;NumAxis=1&amp;Mod7=170&amp;Mod20=147&amp;Pep=VGSSNFRGGLGGGYGGASGMGGITAV&amp;Dta=/var/www/html/dta/yong/23612.24849.2.dta&amp;Global_Mod=CS57.0215", "24849")</f>
        <v>24849</v>
      </c>
      <c r="M1527" s="4" t="str">
        <f>HYPERLINK("http://ms.phosphosite.org:5080/cgi-bin/plot-msms.cgi?MassType=1&amp;NumAxis=1&amp;Mod7=170&amp;Mod20=147&amp;Pep=VGSSNFRGGLGGGYGGASGMGGITAV&amp;Dta=/var/www/html/dta/yong/23613.16581.2.dta&amp;Global_Mod=CS57.0215", "16581")</f>
        <v>16581</v>
      </c>
      <c r="N1527" s="5">
        <v>108.79</v>
      </c>
      <c r="O1527" s="5">
        <v>67.650000000000006</v>
      </c>
      <c r="P1527" s="5">
        <v>5.1139999999999999</v>
      </c>
      <c r="Q1527" s="5">
        <v>4.1349999999999998</v>
      </c>
      <c r="R1527" s="5">
        <v>1.7272000000000001</v>
      </c>
      <c r="S1527" s="5">
        <v>1.6377999999999999</v>
      </c>
      <c r="T1527" s="5">
        <v>0.37959999999999999</v>
      </c>
      <c r="U1527" s="5">
        <v>0.38529999999999998</v>
      </c>
      <c r="V1527" s="4">
        <v>1</v>
      </c>
      <c r="W1527" s="4">
        <v>1</v>
      </c>
      <c r="X1527" s="5">
        <v>4.34</v>
      </c>
      <c r="Y1527" s="5">
        <v>4.2699999999999996</v>
      </c>
      <c r="Z1527" s="6">
        <v>1000</v>
      </c>
      <c r="AA1527" s="6">
        <v>1000</v>
      </c>
      <c r="AB1527" s="4" t="s">
        <v>13</v>
      </c>
    </row>
    <row r="1528" spans="1:28">
      <c r="A1528" s="3" t="s">
        <v>160</v>
      </c>
      <c r="B1528" s="24" t="s">
        <v>2186</v>
      </c>
      <c r="C1528" s="26" t="s">
        <v>2187</v>
      </c>
      <c r="D1528" s="4">
        <v>47</v>
      </c>
      <c r="E1528" s="3" t="s">
        <v>172</v>
      </c>
      <c r="F1528" s="3" t="s">
        <v>2188</v>
      </c>
      <c r="G1528" s="4">
        <v>53.7</v>
      </c>
      <c r="H1528" s="3" t="s">
        <v>173</v>
      </c>
      <c r="I1528" s="3" t="s">
        <v>179</v>
      </c>
      <c r="J1528" s="4">
        <v>2</v>
      </c>
      <c r="K1528" s="4">
        <v>1158.5554999999999</v>
      </c>
      <c r="L1528" s="4" t="str">
        <f>HYPERLINK("http://ms.phosphosite.org:5080/cgi-bin/plot-msms.cgi?MassType=1&amp;NumAxis=1&amp;Mod7=170&amp;Mod20=147&amp;Pep=VGSSNFRGGLGGGYGGASGMGGITAV&amp;Dta=/var/www/html/dta/yong/23612.22776.2.dta&amp;Global_Mod=CS57.0215", "22776")</f>
        <v>22776</v>
      </c>
      <c r="M1528" s="4" t="str">
        <f>HYPERLINK("http://ms.phosphosite.org:5080/cgi-bin/plot-msms.cgi?MassType=1&amp;NumAxis=1&amp;Mod7=170&amp;Mod20=147&amp;Pep=VGSSNFRGGLGGGYGGASGMGGITAV&amp;Dta=/var/www/html/dta/yong/23613.20546.2.dta&amp;Global_Mod=CS57.0215", "20546")</f>
        <v>20546</v>
      </c>
      <c r="N1528" s="5">
        <v>97.12</v>
      </c>
      <c r="O1528" s="5">
        <v>85.57</v>
      </c>
      <c r="P1528" s="5">
        <v>4.0490000000000004</v>
      </c>
      <c r="Q1528" s="5">
        <v>4.0069999999999997</v>
      </c>
      <c r="R1528" s="5">
        <v>30.922899999999998</v>
      </c>
      <c r="S1528" s="5">
        <v>1.8917999999999999</v>
      </c>
      <c r="T1528" s="5">
        <v>0.44130000000000003</v>
      </c>
      <c r="U1528" s="5">
        <v>0.2495</v>
      </c>
      <c r="V1528" s="4">
        <v>1</v>
      </c>
      <c r="W1528" s="4">
        <v>1</v>
      </c>
      <c r="X1528" s="5">
        <v>2.92</v>
      </c>
      <c r="Y1528" s="5">
        <v>3.56</v>
      </c>
      <c r="Z1528" s="6">
        <v>1000</v>
      </c>
      <c r="AA1528" s="6">
        <v>1000</v>
      </c>
      <c r="AB1528" s="4" t="s">
        <v>13</v>
      </c>
    </row>
    <row r="1529" spans="1:28">
      <c r="A1529" s="3" t="s">
        <v>160</v>
      </c>
      <c r="B1529" s="24" t="s">
        <v>2186</v>
      </c>
      <c r="C1529" s="26" t="s">
        <v>2187</v>
      </c>
      <c r="D1529" s="4">
        <v>47</v>
      </c>
      <c r="E1529" s="3" t="s">
        <v>172</v>
      </c>
      <c r="F1529" s="3" t="s">
        <v>2188</v>
      </c>
      <c r="G1529" s="4">
        <v>53.7</v>
      </c>
      <c r="H1529" s="3" t="s">
        <v>173</v>
      </c>
      <c r="I1529" s="3" t="s">
        <v>179</v>
      </c>
      <c r="J1529" s="4">
        <v>2</v>
      </c>
      <c r="K1529" s="4">
        <v>1158.5554999999999</v>
      </c>
      <c r="L1529" s="4" t="str">
        <f>HYPERLINK("http://ms.phosphosite.org:5080/cgi-bin/plot-msms.cgi?MassType=1&amp;NumAxis=1&amp;Mod7=170&amp;Mod20=147&amp;Pep=VGSSNFRGGLGGGYGGASGMGGITAV&amp;Dta=/var/www/html/dta/yong/23612.18043.2.dta&amp;Global_Mod=CS57.0215", "18043")</f>
        <v>18043</v>
      </c>
      <c r="M1529" s="4" t="str">
        <f>HYPERLINK("http://ms.phosphosite.org:5080/cgi-bin/plot-msms.cgi?MassType=1&amp;NumAxis=1&amp;Mod7=170&amp;Mod20=147&amp;Pep=VGSSNFRGGLGGGYGGASGMGGITAV&amp;Dta=/var/www/html/dta/yong/23613.18271.2.dta&amp;Global_Mod=CS57.0215", "18271")</f>
        <v>18271</v>
      </c>
      <c r="N1529" s="5">
        <v>74.37</v>
      </c>
      <c r="O1529" s="5">
        <v>74.95</v>
      </c>
      <c r="P1529" s="5">
        <v>4.0279999999999996</v>
      </c>
      <c r="Q1529" s="5">
        <v>3.9980000000000002</v>
      </c>
      <c r="R1529" s="5">
        <v>0.30840000000000001</v>
      </c>
      <c r="S1529" s="5">
        <v>-0.2462</v>
      </c>
      <c r="T1529" s="5">
        <v>0.36609999999999998</v>
      </c>
      <c r="U1529" s="5">
        <v>0.43769999999999998</v>
      </c>
      <c r="V1529" s="4">
        <v>1</v>
      </c>
      <c r="W1529" s="4">
        <v>1</v>
      </c>
      <c r="X1529" s="5">
        <v>4.13</v>
      </c>
      <c r="Y1529" s="5">
        <v>4.53</v>
      </c>
      <c r="Z1529" s="6">
        <v>1000</v>
      </c>
      <c r="AA1529" s="6">
        <v>1000</v>
      </c>
      <c r="AB1529" s="4" t="s">
        <v>13</v>
      </c>
    </row>
    <row r="1530" spans="1:28">
      <c r="A1530" s="3" t="s">
        <v>160</v>
      </c>
      <c r="B1530" s="24" t="s">
        <v>2186</v>
      </c>
      <c r="C1530" s="26" t="s">
        <v>2187</v>
      </c>
      <c r="D1530" s="4">
        <v>47</v>
      </c>
      <c r="E1530" s="3" t="s">
        <v>172</v>
      </c>
      <c r="F1530" s="3" t="s">
        <v>2188</v>
      </c>
      <c r="G1530" s="4">
        <v>53.7</v>
      </c>
      <c r="H1530" s="3" t="s">
        <v>173</v>
      </c>
      <c r="I1530" s="3" t="s">
        <v>179</v>
      </c>
      <c r="J1530" s="4">
        <v>2</v>
      </c>
      <c r="K1530" s="4">
        <v>1158.5554999999999</v>
      </c>
      <c r="L1530" s="4" t="str">
        <f>HYPERLINK("http://ms.phosphosite.org:5080/cgi-bin/plot-msms.cgi?MassType=1&amp;NumAxis=1&amp;Mod7=170&amp;Mod20=147&amp;Pep=VGSSNFRGGLGGGYGGASGMGGITAV&amp;Dta=/var/www/html/dta/yong/23612.20896.2.dta&amp;Global_Mod=CS57.0215", "20896")</f>
        <v>20896</v>
      </c>
      <c r="M1530" s="4" t="str">
        <f>HYPERLINK("http://ms.phosphosite.org:5080/cgi-bin/plot-msms.cgi?MassType=1&amp;NumAxis=1&amp;Mod7=170&amp;Mod20=147&amp;Pep=VGSSNFRGGLGGGYGGASGMGGITAV&amp;Dta=/var/www/html/dta/yong/23613.12956.2.dta&amp;Global_Mod=CS57.0215", "12956")</f>
        <v>12956</v>
      </c>
      <c r="N1530" s="5">
        <v>87.74</v>
      </c>
      <c r="O1530" s="5">
        <v>53.77</v>
      </c>
      <c r="P1530" s="5">
        <v>4.2590000000000003</v>
      </c>
      <c r="Q1530" s="5">
        <v>5.01</v>
      </c>
      <c r="R1530" s="5">
        <v>1.4464999999999999</v>
      </c>
      <c r="S1530" s="5">
        <v>1.0817000000000001</v>
      </c>
      <c r="T1530" s="5">
        <v>0.4451</v>
      </c>
      <c r="U1530" s="5">
        <v>0.3463</v>
      </c>
      <c r="V1530" s="4">
        <v>1</v>
      </c>
      <c r="W1530" s="4">
        <v>1</v>
      </c>
      <c r="X1530" s="5">
        <v>4.51</v>
      </c>
      <c r="Y1530" s="5">
        <v>4.29</v>
      </c>
      <c r="Z1530" s="6">
        <v>1000</v>
      </c>
      <c r="AA1530" s="6">
        <v>1000</v>
      </c>
      <c r="AB1530" s="4" t="s">
        <v>13</v>
      </c>
    </row>
    <row r="1531" spans="1:28">
      <c r="A1531" s="3" t="s">
        <v>160</v>
      </c>
      <c r="B1531" s="24" t="s">
        <v>2186</v>
      </c>
      <c r="C1531" s="26" t="s">
        <v>2187</v>
      </c>
      <c r="D1531" s="4">
        <v>47</v>
      </c>
      <c r="E1531" s="3" t="s">
        <v>172</v>
      </c>
      <c r="F1531" s="3" t="s">
        <v>2188</v>
      </c>
      <c r="G1531" s="4">
        <v>53.7</v>
      </c>
      <c r="H1531" s="3" t="s">
        <v>173</v>
      </c>
      <c r="I1531" s="3" t="s">
        <v>179</v>
      </c>
      <c r="J1531" s="4">
        <v>2</v>
      </c>
      <c r="K1531" s="4">
        <v>1158.5554999999999</v>
      </c>
      <c r="L1531" s="4" t="str">
        <f>HYPERLINK("http://ms.phosphosite.org:5080/cgi-bin/plot-msms.cgi?MassType=1&amp;NumAxis=1&amp;Mod7=170&amp;Mod20=147&amp;Pep=VGSSNFRGGLGGGYGGASGMGGITAV&amp;Dta=/var/www/html/dta/yong/23612.19385.2.dta&amp;Global_Mod=CS57.0215", "19385")</f>
        <v>19385</v>
      </c>
      <c r="M1531" s="4" t="str">
        <f>HYPERLINK("http://ms.phosphosite.org:5080/cgi-bin/plot-msms.cgi?MassType=1&amp;NumAxis=1&amp;Mod7=170&amp;Mod20=147&amp;Pep=VGSSNFRGGLGGGYGGASGMGGITAV&amp;Dta=/var/www/html/dta/yong/23613.22623.2.dta&amp;Global_Mod=CS57.0215", "22623")</f>
        <v>22623</v>
      </c>
      <c r="N1531" s="5">
        <v>80.599999999999994</v>
      </c>
      <c r="O1531" s="5">
        <v>95.9</v>
      </c>
      <c r="P1531" s="5">
        <v>4.2670000000000003</v>
      </c>
      <c r="Q1531" s="5">
        <v>3.63</v>
      </c>
      <c r="R1531" s="5">
        <v>0.51770000000000005</v>
      </c>
      <c r="S1531" s="5">
        <v>2.0181</v>
      </c>
      <c r="T1531" s="5">
        <v>0.31900000000000001</v>
      </c>
      <c r="U1531" s="5">
        <v>0.30349999999999999</v>
      </c>
      <c r="V1531" s="4">
        <v>1</v>
      </c>
      <c r="W1531" s="4">
        <v>1</v>
      </c>
      <c r="X1531" s="5">
        <v>3.94</v>
      </c>
      <c r="Y1531" s="5">
        <v>3.75</v>
      </c>
      <c r="Z1531" s="6">
        <v>1000</v>
      </c>
      <c r="AA1531" s="6">
        <v>1000</v>
      </c>
      <c r="AB1531" s="4" t="s">
        <v>13</v>
      </c>
    </row>
    <row r="1532" spans="1:28">
      <c r="A1532" s="3" t="s">
        <v>160</v>
      </c>
      <c r="B1532" s="24" t="s">
        <v>2186</v>
      </c>
      <c r="C1532" s="26" t="s">
        <v>2187</v>
      </c>
      <c r="D1532" s="4">
        <v>47</v>
      </c>
      <c r="E1532" s="3" t="s">
        <v>172</v>
      </c>
      <c r="F1532" s="3" t="s">
        <v>2188</v>
      </c>
      <c r="G1532" s="4">
        <v>53.7</v>
      </c>
      <c r="H1532" s="3" t="s">
        <v>173</v>
      </c>
      <c r="I1532" s="3" t="s">
        <v>179</v>
      </c>
      <c r="J1532" s="4">
        <v>2</v>
      </c>
      <c r="K1532" s="4">
        <v>1158.5554999999999</v>
      </c>
      <c r="L1532" s="4" t="str">
        <f>HYPERLINK("http://ms.phosphosite.org:5080/cgi-bin/plot-msms.cgi?MassType=1&amp;NumAxis=1&amp;Mod7=170&amp;Mod20=147&amp;Pep=VGSSNFRGGLGGGYGGASGMGGITAV&amp;Dta=/var/www/html/dta/yong/23612.23008.2.dta&amp;Global_Mod=CS57.0215", "23008")</f>
        <v>23008</v>
      </c>
      <c r="M1532" s="4" t="str">
        <f>HYPERLINK("http://ms.phosphosite.org:5080/cgi-bin/plot-msms.cgi?MassType=1&amp;NumAxis=1&amp;Mod7=170&amp;Mod20=147&amp;Pep=VGSSNFRGGLGGGYGGASGMGGITAV&amp;Dta=/var/www/html/dta/yong/23613.18839.2.dta&amp;Global_Mod=CS57.0215", "18839")</f>
        <v>18839</v>
      </c>
      <c r="N1532" s="5">
        <v>98.31</v>
      </c>
      <c r="O1532" s="5">
        <v>77.55</v>
      </c>
      <c r="P1532" s="5">
        <v>3.6579999999999999</v>
      </c>
      <c r="Q1532" s="5">
        <v>4.3019999999999996</v>
      </c>
      <c r="R1532" s="5">
        <v>1.5945</v>
      </c>
      <c r="S1532" s="5">
        <v>1.1122000000000001</v>
      </c>
      <c r="T1532" s="5">
        <v>0.4113</v>
      </c>
      <c r="U1532" s="5">
        <v>0.31990000000000002</v>
      </c>
      <c r="V1532" s="4">
        <v>1</v>
      </c>
      <c r="W1532" s="4">
        <v>1</v>
      </c>
      <c r="X1532" s="5">
        <v>4.22</v>
      </c>
      <c r="Y1532" s="5">
        <v>4.01</v>
      </c>
      <c r="Z1532" s="6">
        <v>1000</v>
      </c>
      <c r="AA1532" s="6">
        <v>1000</v>
      </c>
      <c r="AB1532" s="4" t="s">
        <v>13</v>
      </c>
    </row>
    <row r="1533" spans="1:28">
      <c r="A1533" s="3" t="s">
        <v>160</v>
      </c>
      <c r="B1533" s="24" t="s">
        <v>2186</v>
      </c>
      <c r="C1533" s="26" t="s">
        <v>2187</v>
      </c>
      <c r="D1533" s="4">
        <v>47</v>
      </c>
      <c r="E1533" s="3" t="s">
        <v>172</v>
      </c>
      <c r="F1533" s="3" t="s">
        <v>2188</v>
      </c>
      <c r="G1533" s="4">
        <v>53.7</v>
      </c>
      <c r="H1533" s="3" t="s">
        <v>173</v>
      </c>
      <c r="I1533" s="3" t="s">
        <v>179</v>
      </c>
      <c r="J1533" s="4">
        <v>2</v>
      </c>
      <c r="K1533" s="4">
        <v>1158.5554999999999</v>
      </c>
      <c r="L1533" s="4" t="str">
        <f>HYPERLINK("http://ms.phosphosite.org:5080/cgi-bin/plot-msms.cgi?MassType=1&amp;NumAxis=1&amp;Mod7=170&amp;Mod20=147&amp;Pep=VGSSNFRGGLGGGYGGASGMGGITAV&amp;Dta=/var/www/html/dta/yong/23612.16975.2.dta&amp;Global_Mod=CS57.0215", "16975")</f>
        <v>16975</v>
      </c>
      <c r="M1533" s="4" t="str">
        <f>HYPERLINK("http://ms.phosphosite.org:5080/cgi-bin/plot-msms.cgi?MassType=1&amp;NumAxis=1&amp;Mod7=170&amp;Mod20=147&amp;Pep=VGSSNFRGGLGGGYGGASGMGGITAV&amp;Dta=/var/www/html/dta/yong/23613.23494.2.dta&amp;Global_Mod=CS57.0215", "23494")</f>
        <v>23494</v>
      </c>
      <c r="N1533" s="5">
        <v>69.69</v>
      </c>
      <c r="O1533" s="5">
        <v>100.37</v>
      </c>
      <c r="P1533" s="5">
        <v>3.6579999999999999</v>
      </c>
      <c r="Q1533" s="5">
        <v>4.2880000000000003</v>
      </c>
      <c r="R1533" s="5">
        <v>-2.3E-3</v>
      </c>
      <c r="S1533" s="5">
        <v>2.1389</v>
      </c>
      <c r="T1533" s="5">
        <v>0.41799999999999998</v>
      </c>
      <c r="U1533" s="5">
        <v>0.39290000000000003</v>
      </c>
      <c r="V1533" s="4">
        <v>1</v>
      </c>
      <c r="W1533" s="4">
        <v>1</v>
      </c>
      <c r="X1533" s="5">
        <v>4.3</v>
      </c>
      <c r="Y1533" s="5">
        <v>4.3099999999999996</v>
      </c>
      <c r="Z1533" s="6">
        <v>1000</v>
      </c>
      <c r="AA1533" s="6">
        <v>1000</v>
      </c>
      <c r="AB1533" s="4" t="s">
        <v>13</v>
      </c>
    </row>
    <row r="1534" spans="1:28">
      <c r="A1534" s="3" t="s">
        <v>160</v>
      </c>
      <c r="B1534" s="24" t="s">
        <v>2186</v>
      </c>
      <c r="C1534" s="26" t="s">
        <v>2187</v>
      </c>
      <c r="D1534" s="4">
        <v>47</v>
      </c>
      <c r="E1534" s="3" t="s">
        <v>172</v>
      </c>
      <c r="F1534" s="3" t="s">
        <v>2188</v>
      </c>
      <c r="G1534" s="4">
        <v>53.7</v>
      </c>
      <c r="H1534" s="3" t="s">
        <v>173</v>
      </c>
      <c r="I1534" s="3" t="s">
        <v>179</v>
      </c>
      <c r="J1534" s="4">
        <v>2</v>
      </c>
      <c r="K1534" s="4">
        <v>1158.5554999999999</v>
      </c>
      <c r="L1534" s="4" t="str">
        <f>HYPERLINK("http://ms.phosphosite.org:5080/cgi-bin/plot-msms.cgi?MassType=1&amp;NumAxis=1&amp;Mod7=170&amp;Mod20=147&amp;Pep=VGSSNFRGGLGGGYGGASGMGGITAV&amp;Dta=/var/www/html/dta/yong/23612.15946.2.dta&amp;Global_Mod=CS57.0215", "15946")</f>
        <v>15946</v>
      </c>
      <c r="M1534" s="4" t="str">
        <f>HYPERLINK("http://ms.phosphosite.org:5080/cgi-bin/plot-msms.cgi?MassType=1&amp;NumAxis=1&amp;Mod7=170&amp;Mod20=147&amp;Pep=VGSSNFRGGLGGGYGGASGMGGITAV&amp;Dta=/var/www/html/dta/yong/23613.14228.2.dta&amp;Global_Mod=CS57.0215", "14228")</f>
        <v>14228</v>
      </c>
      <c r="N1534" s="5">
        <v>65.42</v>
      </c>
      <c r="O1534" s="5">
        <v>58.39</v>
      </c>
      <c r="P1534" s="5">
        <v>3.7639999999999998</v>
      </c>
      <c r="Q1534" s="5">
        <v>4.5190000000000001</v>
      </c>
      <c r="R1534" s="5">
        <v>1.4339</v>
      </c>
      <c r="S1534" s="5">
        <v>1.7004999999999999</v>
      </c>
      <c r="T1534" s="5">
        <v>0.41420000000000001</v>
      </c>
      <c r="U1534" s="5">
        <v>0.443</v>
      </c>
      <c r="V1534" s="4">
        <v>1</v>
      </c>
      <c r="W1534" s="4">
        <v>1</v>
      </c>
      <c r="X1534" s="5">
        <v>4.2699999999999996</v>
      </c>
      <c r="Y1534" s="5">
        <v>4.63</v>
      </c>
      <c r="Z1534" s="6">
        <v>1000</v>
      </c>
      <c r="AA1534" s="6">
        <v>1000</v>
      </c>
      <c r="AB1534" s="4" t="s">
        <v>13</v>
      </c>
    </row>
    <row r="1535" spans="1:28">
      <c r="A1535" s="3" t="s">
        <v>160</v>
      </c>
      <c r="B1535" s="24" t="s">
        <v>2186</v>
      </c>
      <c r="C1535" s="26" t="s">
        <v>2187</v>
      </c>
      <c r="D1535" s="4">
        <v>47</v>
      </c>
      <c r="E1535" s="3" t="s">
        <v>172</v>
      </c>
      <c r="F1535" s="3" t="s">
        <v>2188</v>
      </c>
      <c r="G1535" s="4">
        <v>53.7</v>
      </c>
      <c r="H1535" s="3" t="s">
        <v>173</v>
      </c>
      <c r="I1535" s="3" t="s">
        <v>179</v>
      </c>
      <c r="J1535" s="4">
        <v>2</v>
      </c>
      <c r="K1535" s="4">
        <v>1158.5554999999999</v>
      </c>
      <c r="L1535" s="4" t="str">
        <f>HYPERLINK("http://ms.phosphosite.org:5080/cgi-bin/plot-msms.cgi?MassType=1&amp;NumAxis=1&amp;Mod7=170&amp;Mod20=147&amp;Pep=VGSSNFRGGLGGGYGGASGMGGITAV&amp;Dta=/var/www/html/dta/yong/23612.18312.2.dta&amp;Global_Mod=CS57.0215", "18312")</f>
        <v>18312</v>
      </c>
      <c r="M1535" s="4" t="str">
        <f>HYPERLINK("http://ms.phosphosite.org:5080/cgi-bin/plot-msms.cgi?MassType=1&amp;NumAxis=1&amp;Mod7=170&amp;Mod20=147&amp;Pep=VGSSNFRGGLGGGYGGASGMGGITAV&amp;Dta=/var/www/html/dta/yong/23613.16309.2.dta&amp;Global_Mod=CS57.0215", "16309")</f>
        <v>16309</v>
      </c>
      <c r="N1535" s="5">
        <v>75.540000000000006</v>
      </c>
      <c r="O1535" s="5">
        <v>66.52</v>
      </c>
      <c r="P1535" s="5">
        <v>3.774</v>
      </c>
      <c r="Q1535" s="5">
        <v>4.2969999999999997</v>
      </c>
      <c r="R1535" s="5">
        <v>0.68679999999999997</v>
      </c>
      <c r="S1535" s="5">
        <v>1.3567</v>
      </c>
      <c r="T1535" s="5">
        <v>0.32719999999999999</v>
      </c>
      <c r="U1535" s="5">
        <v>0.42449999999999999</v>
      </c>
      <c r="V1535" s="4">
        <v>1</v>
      </c>
      <c r="W1535" s="4">
        <v>1</v>
      </c>
      <c r="X1535" s="5">
        <v>3.88</v>
      </c>
      <c r="Y1535" s="5">
        <v>4.51</v>
      </c>
      <c r="Z1535" s="6">
        <v>1000</v>
      </c>
      <c r="AA1535" s="6">
        <v>1000</v>
      </c>
      <c r="AB1535" s="4" t="s">
        <v>13</v>
      </c>
    </row>
    <row r="1536" spans="1:28">
      <c r="A1536" s="3" t="s">
        <v>160</v>
      </c>
      <c r="B1536" s="24" t="s">
        <v>2186</v>
      </c>
      <c r="C1536" s="26" t="s">
        <v>2187</v>
      </c>
      <c r="D1536" s="4">
        <v>47</v>
      </c>
      <c r="E1536" s="3" t="s">
        <v>172</v>
      </c>
      <c r="F1536" s="3" t="s">
        <v>2188</v>
      </c>
      <c r="G1536" s="4">
        <v>53.7</v>
      </c>
      <c r="H1536" s="3" t="s">
        <v>173</v>
      </c>
      <c r="I1536" s="3" t="s">
        <v>179</v>
      </c>
      <c r="J1536" s="4">
        <v>2</v>
      </c>
      <c r="K1536" s="4">
        <v>1158.5554999999999</v>
      </c>
      <c r="L1536" s="4" t="str">
        <f>HYPERLINK("http://ms.phosphosite.org:5080/cgi-bin/plot-msms.cgi?MassType=1&amp;NumAxis=1&amp;Mod7=170&amp;Mod20=147&amp;Pep=VGSSNFRGGLGGGYGGASGMGGITAV&amp;Dta=/var/www/html/dta/yong/23612.18871.2.dta&amp;Global_Mod=CS57.0215", "18871")</f>
        <v>18871</v>
      </c>
      <c r="M1536" s="4" t="str">
        <f>HYPERLINK("http://ms.phosphosite.org:5080/cgi-bin/plot-msms.cgi?MassType=1&amp;NumAxis=1&amp;Mod7=170&amp;Mod20=147&amp;Pep=VGSSNFRGGLGGGYGGASGMGGITAV&amp;Dta=/var/www/html/dta/yong/23613.18068.2.dta&amp;Global_Mod=CS57.0215", "18068")</f>
        <v>18068</v>
      </c>
      <c r="N1536" s="5">
        <v>78.13</v>
      </c>
      <c r="O1536" s="5">
        <v>74.03</v>
      </c>
      <c r="P1536" s="5">
        <v>4.2279999999999998</v>
      </c>
      <c r="Q1536" s="5">
        <v>4.0739999999999998</v>
      </c>
      <c r="R1536" s="5">
        <v>1.6413</v>
      </c>
      <c r="S1536" s="5">
        <v>1.1440999999999999</v>
      </c>
      <c r="T1536" s="5">
        <v>0.43070000000000003</v>
      </c>
      <c r="U1536" s="5">
        <v>0.39400000000000002</v>
      </c>
      <c r="V1536" s="4">
        <v>1</v>
      </c>
      <c r="W1536" s="4">
        <v>1</v>
      </c>
      <c r="X1536" s="5">
        <v>4.43</v>
      </c>
      <c r="Y1536" s="5">
        <v>4.33</v>
      </c>
      <c r="Z1536" s="6">
        <v>1000</v>
      </c>
      <c r="AA1536" s="6">
        <v>1000</v>
      </c>
      <c r="AB1536" s="4" t="s">
        <v>13</v>
      </c>
    </row>
    <row r="1537" spans="1:28">
      <c r="A1537" s="3" t="s">
        <v>160</v>
      </c>
      <c r="B1537" s="24" t="s">
        <v>2186</v>
      </c>
      <c r="C1537" s="26" t="s">
        <v>2187</v>
      </c>
      <c r="D1537" s="4">
        <v>47</v>
      </c>
      <c r="E1537" s="3" t="s">
        <v>172</v>
      </c>
      <c r="F1537" s="3" t="s">
        <v>2188</v>
      </c>
      <c r="G1537" s="4">
        <v>53.7</v>
      </c>
      <c r="H1537" s="3" t="s">
        <v>173</v>
      </c>
      <c r="I1537" s="3" t="s">
        <v>179</v>
      </c>
      <c r="J1537" s="4">
        <v>2</v>
      </c>
      <c r="K1537" s="4">
        <v>1158.5554999999999</v>
      </c>
      <c r="L1537" s="4" t="str">
        <f>HYPERLINK("http://ms.phosphosite.org:5080/cgi-bin/plot-msms.cgi?MassType=1&amp;NumAxis=1&amp;Mod7=170&amp;Mod20=147&amp;Pep=VGSSNFRGGLGGGYGGASGMGGITAV&amp;Dta=/var/www/html/dta/yong/23612.14344.2.dta&amp;Global_Mod=CS57.0215", "14344")</f>
        <v>14344</v>
      </c>
      <c r="M1537" s="4" t="str">
        <f>HYPERLINK("http://ms.phosphosite.org:5080/cgi-bin/plot-msms.cgi?MassType=1&amp;NumAxis=1&amp;Mod7=170&amp;Mod20=147&amp;Pep=VGSSNFRGGLGGGYGGASGMGGITAV&amp;Dta=/var/www/html/dta/yong/23613.22631.2.dta&amp;Global_Mod=CS57.0215", "22631")</f>
        <v>22631</v>
      </c>
      <c r="N1537" s="5">
        <v>59.1</v>
      </c>
      <c r="O1537" s="5">
        <v>95.94</v>
      </c>
      <c r="P1537" s="5">
        <v>5.1870000000000003</v>
      </c>
      <c r="Q1537" s="5">
        <v>3.8849999999999998</v>
      </c>
      <c r="R1537" s="5">
        <v>1.5029999999999999</v>
      </c>
      <c r="S1537" s="5">
        <v>2.4306000000000001</v>
      </c>
      <c r="T1537" s="5">
        <v>0.44740000000000002</v>
      </c>
      <c r="U1537" s="5">
        <v>0.42309999999999998</v>
      </c>
      <c r="V1537" s="4">
        <v>1</v>
      </c>
      <c r="W1537" s="4">
        <v>1</v>
      </c>
      <c r="X1537" s="5">
        <v>4.7</v>
      </c>
      <c r="Y1537" s="5">
        <v>4.37</v>
      </c>
      <c r="Z1537" s="6">
        <v>1000</v>
      </c>
      <c r="AA1537" s="6">
        <v>1000</v>
      </c>
      <c r="AB1537" s="4" t="s">
        <v>13</v>
      </c>
    </row>
    <row r="1538" spans="1:28">
      <c r="A1538" s="3" t="s">
        <v>160</v>
      </c>
      <c r="B1538" s="24" t="s">
        <v>2186</v>
      </c>
      <c r="C1538" s="26" t="s">
        <v>2187</v>
      </c>
      <c r="D1538" s="4">
        <v>47</v>
      </c>
      <c r="E1538" s="3" t="s">
        <v>172</v>
      </c>
      <c r="F1538" s="3" t="s">
        <v>2188</v>
      </c>
      <c r="G1538" s="4">
        <v>53.7</v>
      </c>
      <c r="H1538" s="3" t="s">
        <v>173</v>
      </c>
      <c r="I1538" s="3" t="s">
        <v>179</v>
      </c>
      <c r="J1538" s="4">
        <v>2</v>
      </c>
      <c r="K1538" s="4">
        <v>1158.5554999999999</v>
      </c>
      <c r="L1538" s="4" t="str">
        <f>HYPERLINK("http://ms.phosphosite.org:5080/cgi-bin/plot-msms.cgi?MassType=1&amp;NumAxis=1&amp;Mod7=170&amp;Mod20=147&amp;Pep=VGSSNFRGGLGGGYGGASGMGGITAV&amp;Dta=/var/www/html/dta/yong/23612.18568.2.dta&amp;Global_Mod=CS57.0215", "18568")</f>
        <v>18568</v>
      </c>
      <c r="M1538" s="4" t="str">
        <f>HYPERLINK("http://ms.phosphosite.org:5080/cgi-bin/plot-msms.cgi?MassType=1&amp;NumAxis=1&amp;Mod7=170&amp;Mod20=147&amp;Pep=VGSSNFRGGLGGGYGGASGMGGITAV&amp;Dta=/var/www/html/dta/yong/23613.17903.2.dta&amp;Global_Mod=CS57.0215", "17903")</f>
        <v>17903</v>
      </c>
      <c r="N1538" s="5">
        <v>76.709999999999994</v>
      </c>
      <c r="O1538" s="5">
        <v>73.3</v>
      </c>
      <c r="P1538" s="5">
        <v>3.7879999999999998</v>
      </c>
      <c r="Q1538" s="5">
        <v>4.4379999999999997</v>
      </c>
      <c r="R1538" s="5">
        <v>1.0858000000000001</v>
      </c>
      <c r="S1538" s="5">
        <v>1.6891</v>
      </c>
      <c r="T1538" s="5">
        <v>0.26069999999999999</v>
      </c>
      <c r="U1538" s="5">
        <v>0.307</v>
      </c>
      <c r="V1538" s="4">
        <v>1</v>
      </c>
      <c r="W1538" s="4">
        <v>1</v>
      </c>
      <c r="X1538" s="5">
        <v>3.53</v>
      </c>
      <c r="Y1538" s="5">
        <v>3.94</v>
      </c>
      <c r="Z1538" s="6">
        <v>1000</v>
      </c>
      <c r="AA1538" s="6">
        <v>1000</v>
      </c>
      <c r="AB1538" s="4" t="s">
        <v>13</v>
      </c>
    </row>
    <row r="1539" spans="1:28">
      <c r="A1539" s="3" t="s">
        <v>160</v>
      </c>
      <c r="B1539" s="24" t="s">
        <v>2186</v>
      </c>
      <c r="C1539" s="26" t="s">
        <v>2187</v>
      </c>
      <c r="D1539" s="4">
        <v>47</v>
      </c>
      <c r="E1539" s="3" t="s">
        <v>172</v>
      </c>
      <c r="F1539" s="3" t="s">
        <v>2188</v>
      </c>
      <c r="G1539" s="4">
        <v>53.7</v>
      </c>
      <c r="H1539" s="3" t="s">
        <v>173</v>
      </c>
      <c r="I1539" s="3" t="s">
        <v>179</v>
      </c>
      <c r="J1539" s="4">
        <v>2</v>
      </c>
      <c r="K1539" s="4">
        <v>1158.5554999999999</v>
      </c>
      <c r="L1539" s="4" t="str">
        <f>HYPERLINK("http://ms.phosphosite.org:5080/cgi-bin/plot-msms.cgi?MassType=1&amp;NumAxis=1&amp;Mod7=170&amp;Mod20=147&amp;Pep=VGSSNFRGGLGGGYGGASGMGGITAV&amp;Dta=/var/www/html/dta/yong/23612.16444.2.dta&amp;Global_Mod=CS57.0215", "16444")</f>
        <v>16444</v>
      </c>
      <c r="M1539" s="4" t="str">
        <f>HYPERLINK("http://ms.phosphosite.org:5080/cgi-bin/plot-msms.cgi?MassType=1&amp;NumAxis=1&amp;Mod7=170&amp;Mod20=147&amp;Pep=VGSSNFRGGLGGGYGGASGMGGITAV&amp;Dta=/var/www/html/dta/yong/23613.20676.2.dta&amp;Global_Mod=CS57.0215", "20676")</f>
        <v>20676</v>
      </c>
      <c r="N1539" s="5">
        <v>67.44</v>
      </c>
      <c r="O1539" s="5">
        <v>86.22</v>
      </c>
      <c r="P1539" s="5">
        <v>3.8660000000000001</v>
      </c>
      <c r="Q1539" s="5">
        <v>4.53</v>
      </c>
      <c r="R1539" s="5">
        <v>2.7528999999999999</v>
      </c>
      <c r="S1539" s="5">
        <v>1.0595000000000001</v>
      </c>
      <c r="T1539" s="5">
        <v>0.40989999999999999</v>
      </c>
      <c r="U1539" s="5">
        <v>0.40870000000000001</v>
      </c>
      <c r="V1539" s="4">
        <v>1</v>
      </c>
      <c r="W1539" s="4">
        <v>1</v>
      </c>
      <c r="X1539" s="5">
        <v>4.2</v>
      </c>
      <c r="Y1539" s="5">
        <v>4.5</v>
      </c>
      <c r="Z1539" s="6">
        <v>1000</v>
      </c>
      <c r="AA1539" s="6">
        <v>1000</v>
      </c>
      <c r="AB1539" s="4" t="s">
        <v>13</v>
      </c>
    </row>
    <row r="1540" spans="1:28">
      <c r="A1540" s="3" t="s">
        <v>160</v>
      </c>
      <c r="B1540" s="24" t="s">
        <v>2186</v>
      </c>
      <c r="C1540" s="26" t="s">
        <v>2187</v>
      </c>
      <c r="D1540" s="4">
        <v>47</v>
      </c>
      <c r="E1540" s="3" t="s">
        <v>172</v>
      </c>
      <c r="F1540" s="3" t="s">
        <v>2188</v>
      </c>
      <c r="G1540" s="4">
        <v>53.7</v>
      </c>
      <c r="H1540" s="3" t="s">
        <v>173</v>
      </c>
      <c r="I1540" s="3" t="s">
        <v>179</v>
      </c>
      <c r="J1540" s="4">
        <v>2</v>
      </c>
      <c r="K1540" s="4">
        <v>1158.5554999999999</v>
      </c>
      <c r="L1540" s="4" t="str">
        <f>HYPERLINK("http://ms.phosphosite.org:5080/cgi-bin/plot-msms.cgi?MassType=1&amp;NumAxis=1&amp;Mod7=170&amp;Mod20=147&amp;Pep=VGSSNFRGGLGGGYGGASGMGGITAV&amp;Dta=/var/www/html/dta/yong/23612.14307.2.dta&amp;Global_Mod=CS57.0215", "14307")</f>
        <v>14307</v>
      </c>
      <c r="M1540" s="4" t="str">
        <f>HYPERLINK("http://ms.phosphosite.org:5080/cgi-bin/plot-msms.cgi?MassType=1&amp;NumAxis=1&amp;Mod7=170&amp;Mod20=147&amp;Pep=VGSSNFRGGLGGGYGGASGMGGITAV&amp;Dta=/var/www/html/dta/yong/23613.22646.2.dta&amp;Global_Mod=CS57.0215", "22646")</f>
        <v>22646</v>
      </c>
      <c r="N1540" s="5">
        <v>58.98</v>
      </c>
      <c r="O1540" s="5">
        <v>96.02</v>
      </c>
      <c r="P1540" s="5">
        <v>4.1989999999999998</v>
      </c>
      <c r="Q1540" s="5">
        <v>4.5279999999999996</v>
      </c>
      <c r="R1540" s="5">
        <v>1.2095</v>
      </c>
      <c r="S1540" s="5">
        <v>2.0451000000000001</v>
      </c>
      <c r="T1540" s="5">
        <v>0.39639999999999997</v>
      </c>
      <c r="U1540" s="5">
        <v>0.35410000000000003</v>
      </c>
      <c r="V1540" s="4">
        <v>1</v>
      </c>
      <c r="W1540" s="4">
        <v>1</v>
      </c>
      <c r="X1540" s="5">
        <v>4.2699999999999996</v>
      </c>
      <c r="Y1540" s="5">
        <v>4.18</v>
      </c>
      <c r="Z1540" s="6">
        <v>1000</v>
      </c>
      <c r="AA1540" s="6">
        <v>1000</v>
      </c>
      <c r="AB1540" s="4" t="s">
        <v>13</v>
      </c>
    </row>
    <row r="1541" spans="1:28">
      <c r="A1541" s="3" t="s">
        <v>160</v>
      </c>
      <c r="B1541" s="24" t="s">
        <v>2186</v>
      </c>
      <c r="C1541" s="26" t="s">
        <v>2187</v>
      </c>
      <c r="D1541" s="4">
        <v>47</v>
      </c>
      <c r="E1541" s="3" t="s">
        <v>172</v>
      </c>
      <c r="F1541" s="3" t="s">
        <v>2188</v>
      </c>
      <c r="G1541" s="4">
        <v>53.7</v>
      </c>
      <c r="H1541" s="3" t="s">
        <v>173</v>
      </c>
      <c r="I1541" s="3" t="s">
        <v>179</v>
      </c>
      <c r="J1541" s="4">
        <v>2</v>
      </c>
      <c r="K1541" s="4">
        <v>1158.5554999999999</v>
      </c>
      <c r="L1541" s="4" t="str">
        <f>HYPERLINK("http://ms.phosphosite.org:5080/cgi-bin/plot-msms.cgi?MassType=1&amp;NumAxis=1&amp;Mod7=170&amp;Mod20=147&amp;Pep=VGSSNFRGGLGGGYGGASGMGGITAV&amp;Dta=/var/www/html/dta/yong/23612.24376.2.dta&amp;Global_Mod=CS57.0215", "24376")</f>
        <v>24376</v>
      </c>
      <c r="M1541" s="4" t="str">
        <f>HYPERLINK("http://ms.phosphosite.org:5080/cgi-bin/plot-msms.cgi?MassType=1&amp;NumAxis=1&amp;Mod7=170&amp;Mod20=147&amp;Pep=VGSSNFRGGLGGGYGGASGMGGITAV&amp;Dta=/var/www/html/dta/yong/23613.22958.2.dta&amp;Global_Mod=CS57.0215", "22958")</f>
        <v>22958</v>
      </c>
      <c r="N1541" s="5">
        <v>105.38</v>
      </c>
      <c r="O1541" s="5">
        <v>97.63</v>
      </c>
      <c r="P1541" s="5">
        <v>3.8159999999999998</v>
      </c>
      <c r="Q1541" s="5">
        <v>3.8650000000000002</v>
      </c>
      <c r="R1541" s="5">
        <v>1.6878</v>
      </c>
      <c r="S1541" s="5">
        <v>1.718</v>
      </c>
      <c r="T1541" s="5">
        <v>0.44429999999999997</v>
      </c>
      <c r="U1541" s="5">
        <v>0.37490000000000001</v>
      </c>
      <c r="V1541" s="4">
        <v>1</v>
      </c>
      <c r="W1541" s="4">
        <v>1</v>
      </c>
      <c r="X1541" s="5">
        <v>4.41</v>
      </c>
      <c r="Y1541" s="5">
        <v>4.16</v>
      </c>
      <c r="Z1541" s="6">
        <v>1000</v>
      </c>
      <c r="AA1541" s="6">
        <v>1000</v>
      </c>
      <c r="AB1541" s="4" t="s">
        <v>13</v>
      </c>
    </row>
    <row r="1542" spans="1:28">
      <c r="A1542" s="3" t="s">
        <v>160</v>
      </c>
      <c r="B1542" s="24" t="s">
        <v>2186</v>
      </c>
      <c r="C1542" s="26" t="s">
        <v>2187</v>
      </c>
      <c r="D1542" s="4">
        <v>47</v>
      </c>
      <c r="E1542" s="3" t="s">
        <v>172</v>
      </c>
      <c r="F1542" s="3" t="s">
        <v>2188</v>
      </c>
      <c r="G1542" s="4">
        <v>53.7</v>
      </c>
      <c r="H1542" s="3" t="s">
        <v>173</v>
      </c>
      <c r="I1542" s="3" t="s">
        <v>179</v>
      </c>
      <c r="J1542" s="4">
        <v>2</v>
      </c>
      <c r="K1542" s="4">
        <v>1158.5554999999999</v>
      </c>
      <c r="L1542" s="4" t="str">
        <f>HYPERLINK("http://ms.phosphosite.org:5080/cgi-bin/plot-msms.cgi?MassType=1&amp;NumAxis=1&amp;Mod7=170&amp;Mod20=147&amp;Pep=VGSSNFRGGLGGGYGGASGMGGITAV&amp;Dta=/var/www/html/dta/yong/23612.20426.2.dta&amp;Global_Mod=CS57.0215", "20426")</f>
        <v>20426</v>
      </c>
      <c r="M1542" s="4" t="str">
        <f>HYPERLINK("http://ms.phosphosite.org:5080/cgi-bin/plot-msms.cgi?MassType=1&amp;NumAxis=1&amp;Mod7=170&amp;Mod20=147&amp;Pep=VGSSNFRGGLGGGYGGASGMGGITAV&amp;Dta=/var/www/html/dta/yong/23613.25015.2.dta&amp;Global_Mod=CS57.0215", "25015")</f>
        <v>25015</v>
      </c>
      <c r="N1542" s="5">
        <v>85.45</v>
      </c>
      <c r="O1542" s="5">
        <v>109.45</v>
      </c>
      <c r="P1542" s="5">
        <v>3.79</v>
      </c>
      <c r="Q1542" s="5">
        <v>3.923</v>
      </c>
      <c r="R1542" s="5">
        <v>3.2008999999999999</v>
      </c>
      <c r="S1542" s="5">
        <v>0.51090000000000002</v>
      </c>
      <c r="T1542" s="5">
        <v>0.44569999999999999</v>
      </c>
      <c r="U1542" s="5">
        <v>0.40589999999999998</v>
      </c>
      <c r="V1542" s="4">
        <v>1</v>
      </c>
      <c r="W1542" s="4">
        <v>1</v>
      </c>
      <c r="X1542" s="5">
        <v>4.34</v>
      </c>
      <c r="Y1542" s="5">
        <v>4.3899999999999997</v>
      </c>
      <c r="Z1542" s="6">
        <v>1000</v>
      </c>
      <c r="AA1542" s="6">
        <v>1000</v>
      </c>
      <c r="AB1542" s="4" t="s">
        <v>13</v>
      </c>
    </row>
    <row r="1543" spans="1:28">
      <c r="A1543" s="3" t="s">
        <v>160</v>
      </c>
      <c r="B1543" s="24" t="s">
        <v>2186</v>
      </c>
      <c r="C1543" s="26" t="s">
        <v>2187</v>
      </c>
      <c r="D1543" s="4">
        <v>47</v>
      </c>
      <c r="E1543" s="3" t="s">
        <v>172</v>
      </c>
      <c r="F1543" s="3" t="s">
        <v>2188</v>
      </c>
      <c r="G1543" s="4">
        <v>53.7</v>
      </c>
      <c r="H1543" s="3" t="s">
        <v>173</v>
      </c>
      <c r="I1543" s="3" t="s">
        <v>179</v>
      </c>
      <c r="J1543" s="4">
        <v>2</v>
      </c>
      <c r="K1543" s="4">
        <v>1158.5554999999999</v>
      </c>
      <c r="L1543" s="4" t="str">
        <f>HYPERLINK("http://ms.phosphosite.org:5080/cgi-bin/plot-msms.cgi?MassType=1&amp;NumAxis=1&amp;Mod7=170&amp;Mod20=147&amp;Pep=VGSSNFRGGLGGGYGGASGMGGITAV&amp;Dta=/var/www/html/dta/yong/23612.13856.2.dta&amp;Global_Mod=CS57.0215", "13856")</f>
        <v>13856</v>
      </c>
      <c r="M1543" s="4" t="str">
        <f>HYPERLINK("http://ms.phosphosite.org:5080/cgi-bin/plot-msms.cgi?MassType=1&amp;NumAxis=1&amp;Mod7=170&amp;Mod20=147&amp;Pep=VGSSNFRGGLGGGYGGASGMGGITAV&amp;Dta=/var/www/html/dta/yong/23613.13608.2.dta&amp;Global_Mod=CS57.0215", "13608")</f>
        <v>13608</v>
      </c>
      <c r="N1543" s="5">
        <v>57.39</v>
      </c>
      <c r="O1543" s="5">
        <v>56.12</v>
      </c>
      <c r="P1543" s="5">
        <v>5.3259999999999996</v>
      </c>
      <c r="Q1543" s="5">
        <v>4.3040000000000003</v>
      </c>
      <c r="R1543" s="5">
        <v>1.2587999999999999</v>
      </c>
      <c r="S1543" s="5">
        <v>1.1877</v>
      </c>
      <c r="T1543" s="5">
        <v>0.40970000000000001</v>
      </c>
      <c r="U1543" s="5">
        <v>0.43969999999999998</v>
      </c>
      <c r="V1543" s="4">
        <v>1</v>
      </c>
      <c r="W1543" s="4">
        <v>1</v>
      </c>
      <c r="X1543" s="5">
        <v>4.55</v>
      </c>
      <c r="Y1543" s="5">
        <v>4.5999999999999996</v>
      </c>
      <c r="Z1543" s="6">
        <v>1000</v>
      </c>
      <c r="AA1543" s="6">
        <v>1000</v>
      </c>
      <c r="AB1543" s="4" t="s">
        <v>13</v>
      </c>
    </row>
    <row r="1544" spans="1:28">
      <c r="A1544" s="3" t="s">
        <v>160</v>
      </c>
      <c r="B1544" s="24" t="s">
        <v>2186</v>
      </c>
      <c r="C1544" s="26" t="s">
        <v>2187</v>
      </c>
      <c r="D1544" s="4">
        <v>47</v>
      </c>
      <c r="E1544" s="3" t="s">
        <v>172</v>
      </c>
      <c r="F1544" s="3" t="s">
        <v>2188</v>
      </c>
      <c r="G1544" s="4">
        <v>53.7</v>
      </c>
      <c r="H1544" s="3" t="s">
        <v>173</v>
      </c>
      <c r="I1544" s="3" t="s">
        <v>179</v>
      </c>
      <c r="J1544" s="4">
        <v>2</v>
      </c>
      <c r="K1544" s="4">
        <v>1158.5554999999999</v>
      </c>
      <c r="L1544" s="4" t="str">
        <f>HYPERLINK("http://ms.phosphosite.org:5080/cgi-bin/plot-msms.cgi?MassType=1&amp;NumAxis=1&amp;Mod7=170&amp;Mod20=147&amp;Pep=VGSSNFRGGLGGGYGGASGMGGITAV&amp;Dta=/var/www/html/dta/yong/23612.17780.2.dta&amp;Global_Mod=CS57.0215", "17780")</f>
        <v>17780</v>
      </c>
      <c r="M1544" s="4" t="str">
        <f>HYPERLINK("http://ms.phosphosite.org:5080/cgi-bin/plot-msms.cgi?MassType=1&amp;NumAxis=1&amp;Mod7=170&amp;Mod20=147&amp;Pep=VGSSNFRGGLGGGYGGASGMGGITAV&amp;Dta=/var/www/html/dta/yong/23613.24211.2.dta&amp;Global_Mod=CS57.0215", "24211")</f>
        <v>24211</v>
      </c>
      <c r="N1544" s="5">
        <v>73.2</v>
      </c>
      <c r="O1544" s="5">
        <v>103.95</v>
      </c>
      <c r="P1544" s="5">
        <v>3.956</v>
      </c>
      <c r="Q1544" s="5">
        <v>4.3109999999999999</v>
      </c>
      <c r="R1544" s="5">
        <v>4.7923999999999998</v>
      </c>
      <c r="S1544" s="5">
        <v>0.34449999999999997</v>
      </c>
      <c r="T1544" s="5">
        <v>0.4486</v>
      </c>
      <c r="U1544" s="5">
        <v>0.39029999999999998</v>
      </c>
      <c r="V1544" s="4">
        <v>1</v>
      </c>
      <c r="W1544" s="4">
        <v>1</v>
      </c>
      <c r="X1544" s="5">
        <v>4.3</v>
      </c>
      <c r="Y1544" s="5">
        <v>4.3899999999999997</v>
      </c>
      <c r="Z1544" s="6">
        <v>1000</v>
      </c>
      <c r="AA1544" s="6">
        <v>1000</v>
      </c>
      <c r="AB1544" s="4" t="s">
        <v>13</v>
      </c>
    </row>
    <row r="1545" spans="1:28">
      <c r="A1545" s="3" t="s">
        <v>160</v>
      </c>
      <c r="B1545" s="24" t="s">
        <v>2186</v>
      </c>
      <c r="C1545" s="26" t="s">
        <v>2187</v>
      </c>
      <c r="D1545" s="4">
        <v>47</v>
      </c>
      <c r="E1545" s="3" t="s">
        <v>172</v>
      </c>
      <c r="F1545" s="3" t="s">
        <v>2188</v>
      </c>
      <c r="G1545" s="4">
        <v>53.7</v>
      </c>
      <c r="H1545" s="3" t="s">
        <v>173</v>
      </c>
      <c r="I1545" s="3" t="s">
        <v>179</v>
      </c>
      <c r="J1545" s="4">
        <v>2</v>
      </c>
      <c r="K1545" s="4">
        <v>1158.5554999999999</v>
      </c>
      <c r="L1545" s="4" t="str">
        <f>HYPERLINK("http://ms.phosphosite.org:5080/cgi-bin/plot-msms.cgi?MassType=1&amp;NumAxis=1&amp;Mod7=170&amp;Mod20=147&amp;Pep=VGSSNFRGGLGGGYGGASGMGGITAV&amp;Dta=/var/www/html/dta/yong/23612.24318.2.dta&amp;Global_Mod=CS57.0215", "24318")</f>
        <v>24318</v>
      </c>
      <c r="M1545" s="4" t="str">
        <f>HYPERLINK("http://ms.phosphosite.org:5080/cgi-bin/plot-msms.cgi?MassType=1&amp;NumAxis=1&amp;Mod7=170&amp;Mod20=147&amp;Pep=VGSSNFRGGLGGGYGGASGMGGITAV&amp;Dta=/var/www/html/dta/yong/23613.22208.2.dta&amp;Global_Mod=CS57.0215", "22208")</f>
        <v>22208</v>
      </c>
      <c r="N1545" s="5">
        <v>104.89</v>
      </c>
      <c r="O1545" s="5">
        <v>93.77</v>
      </c>
      <c r="P1545" s="5">
        <v>4.2430000000000003</v>
      </c>
      <c r="Q1545" s="5">
        <v>3.8319999999999999</v>
      </c>
      <c r="R1545" s="5">
        <v>2.4655</v>
      </c>
      <c r="S1545" s="5">
        <v>1.2890999999999999</v>
      </c>
      <c r="T1545" s="5">
        <v>0.47060000000000002</v>
      </c>
      <c r="U1545" s="5">
        <v>0.45340000000000003</v>
      </c>
      <c r="V1545" s="4">
        <v>1</v>
      </c>
      <c r="W1545" s="4">
        <v>1</v>
      </c>
      <c r="X1545" s="5">
        <v>4.58</v>
      </c>
      <c r="Y1545" s="5">
        <v>4.5599999999999996</v>
      </c>
      <c r="Z1545" s="6">
        <v>1000</v>
      </c>
      <c r="AA1545" s="6">
        <v>1000</v>
      </c>
      <c r="AB1545" s="4" t="s">
        <v>13</v>
      </c>
    </row>
    <row r="1546" spans="1:28">
      <c r="A1546" s="3" t="s">
        <v>160</v>
      </c>
      <c r="B1546" s="24" t="s">
        <v>2186</v>
      </c>
      <c r="C1546" s="26" t="s">
        <v>2187</v>
      </c>
      <c r="D1546" s="4">
        <v>47</v>
      </c>
      <c r="E1546" s="3" t="s">
        <v>172</v>
      </c>
      <c r="F1546" s="3" t="s">
        <v>2188</v>
      </c>
      <c r="G1546" s="4">
        <v>53.7</v>
      </c>
      <c r="H1546" s="3" t="s">
        <v>173</v>
      </c>
      <c r="I1546" s="3" t="s">
        <v>179</v>
      </c>
      <c r="J1546" s="4">
        <v>2</v>
      </c>
      <c r="K1546" s="4">
        <v>1158.5554999999999</v>
      </c>
      <c r="L1546" s="4" t="str">
        <f>HYPERLINK("http://ms.phosphosite.org:5080/cgi-bin/plot-msms.cgi?MassType=1&amp;NumAxis=1&amp;Mod7=170&amp;Mod20=147&amp;Pep=VGSSNFRGGLGGGYGGASGMGGITAV&amp;Dta=/var/www/html/dta/yong/23612.24855.2.dta&amp;Global_Mod=CS57.0215", "24855")</f>
        <v>24855</v>
      </c>
      <c r="M1546" s="4" t="str">
        <f>HYPERLINK("http://ms.phosphosite.org:5080/cgi-bin/plot-msms.cgi?MassType=1&amp;NumAxis=1&amp;Mod7=170&amp;Mod20=147&amp;Pep=VGSSNFRGGLGGGYGGASGMGGITAV&amp;Dta=/var/www/html/dta/yong/23613.18510.2.dta&amp;Global_Mod=CS57.0215", "18510")</f>
        <v>18510</v>
      </c>
      <c r="N1546" s="5">
        <v>108.82</v>
      </c>
      <c r="O1546" s="5">
        <v>76.02</v>
      </c>
      <c r="P1546" s="5">
        <v>4.2489999999999997</v>
      </c>
      <c r="Q1546" s="5">
        <v>4.4710000000000001</v>
      </c>
      <c r="R1546" s="5">
        <v>0.68130000000000002</v>
      </c>
      <c r="S1546" s="5">
        <v>3.0436999999999999</v>
      </c>
      <c r="T1546" s="5">
        <v>0.39219999999999999</v>
      </c>
      <c r="U1546" s="5">
        <v>0.4098</v>
      </c>
      <c r="V1546" s="4">
        <v>1</v>
      </c>
      <c r="W1546" s="4">
        <v>1</v>
      </c>
      <c r="X1546" s="5">
        <v>4.29</v>
      </c>
      <c r="Y1546" s="5">
        <v>4.3899999999999997</v>
      </c>
      <c r="Z1546" s="6">
        <v>1000</v>
      </c>
      <c r="AA1546" s="6">
        <v>1000</v>
      </c>
      <c r="AB1546" s="4" t="s">
        <v>13</v>
      </c>
    </row>
    <row r="1547" spans="1:28">
      <c r="A1547" s="3" t="s">
        <v>160</v>
      </c>
      <c r="B1547" s="24" t="s">
        <v>2186</v>
      </c>
      <c r="C1547" s="26" t="s">
        <v>2187</v>
      </c>
      <c r="D1547" s="4">
        <v>47</v>
      </c>
      <c r="E1547" s="3" t="s">
        <v>172</v>
      </c>
      <c r="F1547" s="3" t="s">
        <v>2188</v>
      </c>
      <c r="G1547" s="4">
        <v>53.7</v>
      </c>
      <c r="H1547" s="3" t="s">
        <v>173</v>
      </c>
      <c r="I1547" s="3" t="s">
        <v>179</v>
      </c>
      <c r="J1547" s="4">
        <v>2</v>
      </c>
      <c r="K1547" s="4">
        <v>1158.5554999999999</v>
      </c>
      <c r="L1547" s="4" t="str">
        <f>HYPERLINK("http://ms.phosphosite.org:5080/cgi-bin/plot-msms.cgi?MassType=1&amp;NumAxis=1&amp;Mod7=170&amp;Mod20=147&amp;Pep=VGSSNFRGGLGGGYGGASGMGGITAV&amp;Dta=/var/www/html/dta/yong/23612.22572.2.dta&amp;Global_Mod=CS57.0215", "22572")</f>
        <v>22572</v>
      </c>
      <c r="M1547" s="4" t="str">
        <f>HYPERLINK("http://ms.phosphosite.org:5080/cgi-bin/plot-msms.cgi?MassType=1&amp;NumAxis=1&amp;Mod7=170&amp;Mod20=147&amp;Pep=VGSSNFRGGLGGGYGGASGMGGITAV&amp;Dta=/var/www/html/dta/yong/23613.22166.2.dta&amp;Global_Mod=CS57.0215", "22166")</f>
        <v>22166</v>
      </c>
      <c r="N1547" s="5">
        <v>96.08</v>
      </c>
      <c r="O1547" s="5">
        <v>93.56</v>
      </c>
      <c r="P1547" s="5">
        <v>4.2480000000000002</v>
      </c>
      <c r="Q1547" s="5">
        <v>4.4580000000000002</v>
      </c>
      <c r="R1547" s="5">
        <v>0.52690000000000003</v>
      </c>
      <c r="S1547" s="5">
        <v>1.2830999999999999</v>
      </c>
      <c r="T1547" s="5">
        <v>0.38679999999999998</v>
      </c>
      <c r="U1547" s="5">
        <v>0.437</v>
      </c>
      <c r="V1547" s="4">
        <v>1</v>
      </c>
      <c r="W1547" s="4">
        <v>1</v>
      </c>
      <c r="X1547" s="5">
        <v>4.2699999999999996</v>
      </c>
      <c r="Y1547" s="5">
        <v>4.6100000000000003</v>
      </c>
      <c r="Z1547" s="6">
        <v>1000</v>
      </c>
      <c r="AA1547" s="6">
        <v>1000</v>
      </c>
      <c r="AB1547" s="4" t="s">
        <v>13</v>
      </c>
    </row>
    <row r="1548" spans="1:28">
      <c r="A1548" s="3" t="s">
        <v>160</v>
      </c>
      <c r="B1548" s="24" t="s">
        <v>2186</v>
      </c>
      <c r="C1548" s="26" t="s">
        <v>2187</v>
      </c>
      <c r="D1548" s="4">
        <v>47</v>
      </c>
      <c r="E1548" s="3" t="s">
        <v>172</v>
      </c>
      <c r="F1548" s="3" t="s">
        <v>2188</v>
      </c>
      <c r="G1548" s="4">
        <v>53.7</v>
      </c>
      <c r="H1548" s="3" t="s">
        <v>173</v>
      </c>
      <c r="I1548" s="3" t="s">
        <v>179</v>
      </c>
      <c r="J1548" s="4">
        <v>2</v>
      </c>
      <c r="K1548" s="4">
        <v>1158.5554999999999</v>
      </c>
      <c r="L1548" s="4" t="str">
        <f>HYPERLINK("http://ms.phosphosite.org:5080/cgi-bin/plot-msms.cgi?MassType=1&amp;NumAxis=1&amp;Mod7=170&amp;Mod20=147&amp;Pep=VGSSNFRGGLGGGYGGASGMGGITAV&amp;Dta=/var/www/html/dta/yong/23612.16253.2.dta&amp;Global_Mod=CS57.0215", "16253")</f>
        <v>16253</v>
      </c>
      <c r="M1548" s="4" t="str">
        <f>HYPERLINK("http://ms.phosphosite.org:5080/cgi-bin/plot-msms.cgi?MassType=1&amp;NumAxis=1&amp;Mod7=170&amp;Mod20=147&amp;Pep=VGSSNFRGGLGGGYGGASGMGGITAV&amp;Dta=/var/www/html/dta/yong/23613.16515.2.dta&amp;Global_Mod=CS57.0215", "16515")</f>
        <v>16515</v>
      </c>
      <c r="N1548" s="5">
        <v>66.66</v>
      </c>
      <c r="O1548" s="5">
        <v>67.37</v>
      </c>
      <c r="P1548" s="5">
        <v>3.9489999999999998</v>
      </c>
      <c r="Q1548" s="5">
        <v>3.448</v>
      </c>
      <c r="R1548" s="5">
        <v>1.893</v>
      </c>
      <c r="S1548" s="5">
        <v>1.5254000000000001</v>
      </c>
      <c r="T1548" s="5">
        <v>0.31559999999999999</v>
      </c>
      <c r="U1548" s="5">
        <v>0.35870000000000002</v>
      </c>
      <c r="V1548" s="4">
        <v>1</v>
      </c>
      <c r="W1548" s="4">
        <v>1</v>
      </c>
      <c r="X1548" s="5">
        <v>3.79</v>
      </c>
      <c r="Y1548" s="5">
        <v>4.01</v>
      </c>
      <c r="Z1548" s="6">
        <v>1000</v>
      </c>
      <c r="AA1548" s="6">
        <v>1000</v>
      </c>
      <c r="AB1548" s="4" t="s">
        <v>13</v>
      </c>
    </row>
    <row r="1549" spans="1:28">
      <c r="A1549" s="3" t="s">
        <v>160</v>
      </c>
      <c r="B1549" s="24" t="s">
        <v>2186</v>
      </c>
      <c r="C1549" s="26" t="s">
        <v>2187</v>
      </c>
      <c r="D1549" s="4">
        <v>47</v>
      </c>
      <c r="E1549" s="3" t="s">
        <v>172</v>
      </c>
      <c r="F1549" s="3" t="s">
        <v>2188</v>
      </c>
      <c r="G1549" s="4">
        <v>53.7</v>
      </c>
      <c r="H1549" s="3" t="s">
        <v>173</v>
      </c>
      <c r="I1549" s="3" t="s">
        <v>179</v>
      </c>
      <c r="J1549" s="4">
        <v>2</v>
      </c>
      <c r="K1549" s="4">
        <v>1158.5554999999999</v>
      </c>
      <c r="L1549" s="4" t="str">
        <f>HYPERLINK("http://ms.phosphosite.org:5080/cgi-bin/plot-msms.cgi?MassType=1&amp;NumAxis=1&amp;Mod7=170&amp;Mod20=147&amp;Pep=VGSSNFRGGLGGGYGGASGMGGITAV&amp;Dta=/var/www/html/dta/yong/23612.17583.2.dta&amp;Global_Mod=CS57.0215", "17583")</f>
        <v>17583</v>
      </c>
      <c r="M1549" s="4" t="str">
        <f>HYPERLINK("http://ms.phosphosite.org:5080/cgi-bin/plot-msms.cgi?MassType=1&amp;NumAxis=1&amp;Mod7=170&amp;Mod20=147&amp;Pep=VGSSNFRGGLGGGYGGASGMGGITAV&amp;Dta=/var/www/html/dta/yong/23613.17704.2.dta&amp;Global_Mod=CS57.0215", "17704")</f>
        <v>17704</v>
      </c>
      <c r="N1549" s="5">
        <v>72.33</v>
      </c>
      <c r="O1549" s="5">
        <v>72.42</v>
      </c>
      <c r="P1549" s="5">
        <v>3.6869999999999998</v>
      </c>
      <c r="Q1549" s="5">
        <v>3.431</v>
      </c>
      <c r="R1549" s="5">
        <v>3.9226999999999999</v>
      </c>
      <c r="S1549" s="5">
        <v>0.7651</v>
      </c>
      <c r="T1549" s="5">
        <v>0.43430000000000002</v>
      </c>
      <c r="U1549" s="5">
        <v>0.37469999999999998</v>
      </c>
      <c r="V1549" s="4">
        <v>1</v>
      </c>
      <c r="W1549" s="4">
        <v>1</v>
      </c>
      <c r="X1549" s="5">
        <v>4.22</v>
      </c>
      <c r="Y1549" s="5">
        <v>4.12</v>
      </c>
      <c r="Z1549" s="6">
        <v>1000</v>
      </c>
      <c r="AA1549" s="6">
        <v>1000</v>
      </c>
      <c r="AB1549" s="4" t="s">
        <v>13</v>
      </c>
    </row>
    <row r="1550" spans="1:28">
      <c r="A1550" s="3" t="s">
        <v>160</v>
      </c>
      <c r="B1550" s="24" t="s">
        <v>2186</v>
      </c>
      <c r="C1550" s="26" t="s">
        <v>2187</v>
      </c>
      <c r="D1550" s="4">
        <v>47</v>
      </c>
      <c r="E1550" s="3" t="s">
        <v>172</v>
      </c>
      <c r="F1550" s="3" t="s">
        <v>2188</v>
      </c>
      <c r="G1550" s="4">
        <v>53.7</v>
      </c>
      <c r="H1550" s="3" t="s">
        <v>173</v>
      </c>
      <c r="I1550" s="3" t="s">
        <v>179</v>
      </c>
      <c r="J1550" s="4">
        <v>2</v>
      </c>
      <c r="K1550" s="4">
        <v>1158.5554999999999</v>
      </c>
      <c r="L1550" s="4" t="str">
        <f>HYPERLINK("http://ms.phosphosite.org:5080/cgi-bin/plot-msms.cgi?MassType=1&amp;NumAxis=1&amp;Mod7=170&amp;Mod20=147&amp;Pep=VGSSNFRGGLGGGYGGASGMGGITAV&amp;Dta=/var/www/html/dta/yong/23612.18651.2.dta&amp;Global_Mod=CS57.0215", "18651")</f>
        <v>18651</v>
      </c>
      <c r="M1550" s="4" t="str">
        <f>HYPERLINK("http://ms.phosphosite.org:5080/cgi-bin/plot-msms.cgi?MassType=1&amp;NumAxis=1&amp;Mod7=170&amp;Mod20=147&amp;Pep=VGSSNFRGGLGGGYGGASGMGGITAV&amp;Dta=/var/www/html/dta/yong/23613.24425.2.dta&amp;Global_Mod=CS57.0215", "24425")</f>
        <v>24425</v>
      </c>
      <c r="N1550" s="5">
        <v>77.099999999999994</v>
      </c>
      <c r="O1550" s="5">
        <v>105.31</v>
      </c>
      <c r="P1550" s="5">
        <v>3.9329999999999998</v>
      </c>
      <c r="Q1550" s="5">
        <v>4.4889999999999999</v>
      </c>
      <c r="R1550" s="5">
        <v>1.0755999999999999</v>
      </c>
      <c r="S1550" s="5">
        <v>1.4859</v>
      </c>
      <c r="T1550" s="5">
        <v>0.32069999999999999</v>
      </c>
      <c r="U1550" s="5">
        <v>0.47420000000000001</v>
      </c>
      <c r="V1550" s="4">
        <v>1</v>
      </c>
      <c r="W1550" s="4">
        <v>1</v>
      </c>
      <c r="X1550" s="5">
        <v>3.86</v>
      </c>
      <c r="Y1550" s="5">
        <v>4.79</v>
      </c>
      <c r="Z1550" s="6">
        <v>1000</v>
      </c>
      <c r="AA1550" s="6">
        <v>1000</v>
      </c>
      <c r="AB1550" s="4" t="s">
        <v>13</v>
      </c>
    </row>
    <row r="1551" spans="1:28">
      <c r="A1551" s="3" t="s">
        <v>160</v>
      </c>
      <c r="B1551" s="24" t="s">
        <v>2186</v>
      </c>
      <c r="C1551" s="26" t="s">
        <v>2187</v>
      </c>
      <c r="D1551" s="4">
        <v>47</v>
      </c>
      <c r="E1551" s="3" t="s">
        <v>172</v>
      </c>
      <c r="F1551" s="3" t="s">
        <v>2188</v>
      </c>
      <c r="G1551" s="4">
        <v>53.7</v>
      </c>
      <c r="H1551" s="3" t="s">
        <v>173</v>
      </c>
      <c r="I1551" s="3" t="s">
        <v>179</v>
      </c>
      <c r="J1551" s="4">
        <v>2</v>
      </c>
      <c r="K1551" s="4">
        <v>1158.5554999999999</v>
      </c>
      <c r="L1551" s="4" t="str">
        <f>HYPERLINK("http://ms.phosphosite.org:5080/cgi-bin/plot-msms.cgi?MassType=1&amp;NumAxis=1&amp;Mod7=170&amp;Mod20=147&amp;Pep=VGSSNFRGGLGGGYGGASGMGGITAV&amp;Dta=/var/www/html/dta/yong/23612.18629.2.dta&amp;Global_Mod=CS57.0215", "18629")</f>
        <v>18629</v>
      </c>
      <c r="M1551" s="4" t="str">
        <f>HYPERLINK("http://ms.phosphosite.org:5080/cgi-bin/plot-msms.cgi?MassType=1&amp;NumAxis=1&amp;Mod7=170&amp;Mod20=147&amp;Pep=VGSSNFRGGLGGGYGGASGMGGITAV&amp;Dta=/var/www/html/dta/yong/23613.24191.2.dta&amp;Global_Mod=CS57.0215", "24191")</f>
        <v>24191</v>
      </c>
      <c r="N1551" s="5">
        <v>77</v>
      </c>
      <c r="O1551" s="5">
        <v>103.86</v>
      </c>
      <c r="P1551" s="5">
        <v>3.931</v>
      </c>
      <c r="Q1551" s="5">
        <v>4.4889999999999999</v>
      </c>
      <c r="R1551" s="5">
        <v>1.4805999999999999</v>
      </c>
      <c r="S1551" s="5">
        <v>1.8891</v>
      </c>
      <c r="T1551" s="5">
        <v>0.40150000000000002</v>
      </c>
      <c r="U1551" s="5">
        <v>0.46860000000000002</v>
      </c>
      <c r="V1551" s="4">
        <v>1</v>
      </c>
      <c r="W1551" s="4">
        <v>1</v>
      </c>
      <c r="X1551" s="5">
        <v>4.2300000000000004</v>
      </c>
      <c r="Y1551" s="5">
        <v>4.74</v>
      </c>
      <c r="Z1551" s="6">
        <v>1000</v>
      </c>
      <c r="AA1551" s="6">
        <v>1000</v>
      </c>
      <c r="AB1551" s="4" t="s">
        <v>13</v>
      </c>
    </row>
    <row r="1552" spans="1:28">
      <c r="A1552" s="3" t="s">
        <v>160</v>
      </c>
      <c r="B1552" s="24" t="s">
        <v>2186</v>
      </c>
      <c r="C1552" s="26" t="s">
        <v>2187</v>
      </c>
      <c r="D1552" s="4">
        <v>47</v>
      </c>
      <c r="E1552" s="3" t="s">
        <v>172</v>
      </c>
      <c r="F1552" s="3" t="s">
        <v>2188</v>
      </c>
      <c r="G1552" s="4">
        <v>53.7</v>
      </c>
      <c r="H1552" s="3" t="s">
        <v>173</v>
      </c>
      <c r="I1552" s="3" t="s">
        <v>179</v>
      </c>
      <c r="J1552" s="4">
        <v>2</v>
      </c>
      <c r="K1552" s="4">
        <v>1158.5554999999999</v>
      </c>
      <c r="L1552" s="4" t="str">
        <f>HYPERLINK("http://ms.phosphosite.org:5080/cgi-bin/plot-msms.cgi?MassType=1&amp;NumAxis=1&amp;Mod7=170&amp;Mod20=147&amp;Pep=VGSSNFRGGLGGGYGGASGMGGITAV&amp;Dta=/var/www/html/dta/yong/23612.21774.2.dta&amp;Global_Mod=CS57.0215", "21774")</f>
        <v>21774</v>
      </c>
      <c r="M1552" s="4" t="str">
        <f>HYPERLINK("http://ms.phosphosite.org:5080/cgi-bin/plot-msms.cgi?MassType=1&amp;NumAxis=1&amp;Mod7=170&amp;Mod20=147&amp;Pep=VGSSNFRGGLGGGYGGASGMGGITAV&amp;Dta=/var/www/html/dta/yong/23613.14523.2.dta&amp;Global_Mod=CS57.0215", "14523")</f>
        <v>14523</v>
      </c>
      <c r="N1552" s="5">
        <v>92.04</v>
      </c>
      <c r="O1552" s="5">
        <v>59.48</v>
      </c>
      <c r="P1552" s="5">
        <v>3.9470000000000001</v>
      </c>
      <c r="Q1552" s="5">
        <v>3.879</v>
      </c>
      <c r="R1552" s="5">
        <v>3.4544000000000001</v>
      </c>
      <c r="S1552" s="5">
        <v>1.2364999999999999</v>
      </c>
      <c r="T1552" s="5">
        <v>0.4229</v>
      </c>
      <c r="U1552" s="5">
        <v>0.2908</v>
      </c>
      <c r="V1552" s="4">
        <v>1</v>
      </c>
      <c r="W1552" s="4">
        <v>1</v>
      </c>
      <c r="X1552" s="5">
        <v>4.24</v>
      </c>
      <c r="Y1552" s="5">
        <v>3.77</v>
      </c>
      <c r="Z1552" s="6">
        <v>1000</v>
      </c>
      <c r="AA1552" s="6">
        <v>1000</v>
      </c>
      <c r="AB1552" s="4" t="s">
        <v>13</v>
      </c>
    </row>
    <row r="1553" spans="1:28">
      <c r="A1553" s="3" t="s">
        <v>160</v>
      </c>
      <c r="B1553" s="24" t="s">
        <v>2186</v>
      </c>
      <c r="C1553" s="26" t="s">
        <v>2187</v>
      </c>
      <c r="D1553" s="4">
        <v>47</v>
      </c>
      <c r="E1553" s="3" t="s">
        <v>172</v>
      </c>
      <c r="F1553" s="3" t="s">
        <v>2188</v>
      </c>
      <c r="G1553" s="4">
        <v>53.7</v>
      </c>
      <c r="H1553" s="3" t="s">
        <v>173</v>
      </c>
      <c r="I1553" s="3" t="s">
        <v>179</v>
      </c>
      <c r="J1553" s="4">
        <v>2</v>
      </c>
      <c r="K1553" s="4">
        <v>1158.5554999999999</v>
      </c>
      <c r="L1553" s="4" t="str">
        <f>HYPERLINK("http://ms.phosphosite.org:5080/cgi-bin/plot-msms.cgi?MassType=1&amp;NumAxis=1&amp;Mod7=170&amp;Mod20=147&amp;Pep=VGSSNFRGGLGGGYGGASGMGGITAV&amp;Dta=/var/www/html/dta/yong/23612.21143.2.dta&amp;Global_Mod=CS57.0215", "21143")</f>
        <v>21143</v>
      </c>
      <c r="M1553" s="4" t="str">
        <f>HYPERLINK("http://ms.phosphosite.org:5080/cgi-bin/plot-msms.cgi?MassType=1&amp;NumAxis=1&amp;Mod7=170&amp;Mod20=147&amp;Pep=VGSSNFRGGLGGGYGGASGMGGITAV&amp;Dta=/var/www/html/dta/yong/23613.24222.2.dta&amp;Global_Mod=CS57.0215", "24222")</f>
        <v>24222</v>
      </c>
      <c r="N1553" s="5">
        <v>88.92</v>
      </c>
      <c r="O1553" s="5">
        <v>104.01</v>
      </c>
      <c r="P1553" s="5">
        <v>3.698</v>
      </c>
      <c r="Q1553" s="5">
        <v>4.4880000000000004</v>
      </c>
      <c r="R1553" s="5">
        <v>3.8704000000000001</v>
      </c>
      <c r="S1553" s="5">
        <v>1.7508999999999999</v>
      </c>
      <c r="T1553" s="5">
        <v>0.39169999999999999</v>
      </c>
      <c r="U1553" s="5">
        <v>0.28179999999999999</v>
      </c>
      <c r="V1553" s="4">
        <v>1</v>
      </c>
      <c r="W1553" s="4">
        <v>1</v>
      </c>
      <c r="X1553" s="5">
        <v>4.0199999999999996</v>
      </c>
      <c r="Y1553" s="5">
        <v>3.83</v>
      </c>
      <c r="Z1553" s="6">
        <v>1000</v>
      </c>
      <c r="AA1553" s="6">
        <v>1000</v>
      </c>
      <c r="AB1553" s="4" t="s">
        <v>13</v>
      </c>
    </row>
    <row r="1554" spans="1:28">
      <c r="A1554" s="3" t="s">
        <v>160</v>
      </c>
      <c r="B1554" s="24" t="s">
        <v>2186</v>
      </c>
      <c r="C1554" s="26" t="s">
        <v>2187</v>
      </c>
      <c r="D1554" s="4">
        <v>47</v>
      </c>
      <c r="E1554" s="3" t="s">
        <v>172</v>
      </c>
      <c r="F1554" s="3" t="s">
        <v>2188</v>
      </c>
      <c r="G1554" s="4">
        <v>53.7</v>
      </c>
      <c r="H1554" s="3" t="s">
        <v>173</v>
      </c>
      <c r="I1554" s="3" t="s">
        <v>179</v>
      </c>
      <c r="J1554" s="4">
        <v>2</v>
      </c>
      <c r="K1554" s="4">
        <v>1158.5554999999999</v>
      </c>
      <c r="L1554" s="4" t="str">
        <f>HYPERLINK("http://ms.phosphosite.org:5080/cgi-bin/plot-msms.cgi?MassType=1&amp;NumAxis=1&amp;Mod7=170&amp;Mod20=147&amp;Pep=VGSSNFRGGLGGGYGGASGMGGITAV&amp;Dta=/var/www/html/dta/yong/23612.23483.2.dta&amp;Global_Mod=CS57.0215", "23483")</f>
        <v>23483</v>
      </c>
      <c r="M1554" s="4" t="str">
        <f>HYPERLINK("http://ms.phosphosite.org:5080/cgi-bin/plot-msms.cgi?MassType=1&amp;NumAxis=1&amp;Mod7=170&amp;Mod20=147&amp;Pep=VGSSNFRGGLGGGYGGASGMGGITAV&amp;Dta=/var/www/html/dta/yong/23613.23350.2.dta&amp;Global_Mod=CS57.0215", "23350")</f>
        <v>23350</v>
      </c>
      <c r="N1554" s="5">
        <v>100.75</v>
      </c>
      <c r="O1554" s="5">
        <v>99.65</v>
      </c>
      <c r="P1554" s="5">
        <v>3.51</v>
      </c>
      <c r="Q1554" s="5">
        <v>4.5490000000000004</v>
      </c>
      <c r="R1554" s="5">
        <v>45.153300000000002</v>
      </c>
      <c r="S1554" s="5">
        <v>1.0578000000000001</v>
      </c>
      <c r="T1554" s="5">
        <v>0.4042</v>
      </c>
      <c r="U1554" s="5">
        <v>0.38950000000000001</v>
      </c>
      <c r="V1554" s="4">
        <v>1</v>
      </c>
      <c r="W1554" s="4">
        <v>1</v>
      </c>
      <c r="X1554" s="5">
        <v>1.9</v>
      </c>
      <c r="Y1554" s="5">
        <v>4.41</v>
      </c>
      <c r="Z1554" s="6">
        <v>1000</v>
      </c>
      <c r="AA1554" s="6">
        <v>1000</v>
      </c>
      <c r="AB1554" s="4" t="s">
        <v>13</v>
      </c>
    </row>
    <row r="1555" spans="1:28">
      <c r="A1555" s="3" t="s">
        <v>160</v>
      </c>
      <c r="B1555" s="24" t="s">
        <v>2186</v>
      </c>
      <c r="C1555" s="26" t="s">
        <v>2187</v>
      </c>
      <c r="D1555" s="4">
        <v>47</v>
      </c>
      <c r="E1555" s="3" t="s">
        <v>172</v>
      </c>
      <c r="F1555" s="3" t="s">
        <v>2188</v>
      </c>
      <c r="G1555" s="4">
        <v>53.7</v>
      </c>
      <c r="H1555" s="3" t="s">
        <v>173</v>
      </c>
      <c r="I1555" s="3" t="s">
        <v>179</v>
      </c>
      <c r="J1555" s="4">
        <v>2</v>
      </c>
      <c r="K1555" s="4">
        <v>1158.5554999999999</v>
      </c>
      <c r="L1555" s="4" t="str">
        <f>HYPERLINK("http://ms.phosphosite.org:5080/cgi-bin/plot-msms.cgi?MassType=1&amp;NumAxis=1&amp;Mod7=170&amp;Mod20=147&amp;Pep=VGSSNFRGGLGGGYGGASGMGGITAV&amp;Dta=/var/www/html/dta/yong/23612.16081.2.dta&amp;Global_Mod=CS57.0215", "16081")</f>
        <v>16081</v>
      </c>
      <c r="M1555" s="4" t="str">
        <f>HYPERLINK("http://ms.phosphosite.org:5080/cgi-bin/plot-msms.cgi?MassType=1&amp;NumAxis=1&amp;Mod7=170&amp;Mod20=147&amp;Pep=VGSSNFRGGLGGGYGGASGMGGITAV&amp;Dta=/var/www/html/dta/yong/23613.22758.2.dta&amp;Global_Mod=CS57.0215", "22758")</f>
        <v>22758</v>
      </c>
      <c r="N1555" s="5">
        <v>65.95</v>
      </c>
      <c r="O1555" s="5">
        <v>96.59</v>
      </c>
      <c r="P1555" s="5">
        <v>4.1509999999999998</v>
      </c>
      <c r="Q1555" s="5">
        <v>4.266</v>
      </c>
      <c r="R1555" s="5">
        <v>1.5783</v>
      </c>
      <c r="S1555" s="5">
        <v>1.1642999999999999</v>
      </c>
      <c r="T1555" s="5">
        <v>0.34799999999999998</v>
      </c>
      <c r="U1555" s="5">
        <v>0.3397</v>
      </c>
      <c r="V1555" s="4">
        <v>1</v>
      </c>
      <c r="W1555" s="4">
        <v>1</v>
      </c>
      <c r="X1555" s="5">
        <v>4.01</v>
      </c>
      <c r="Y1555" s="5">
        <v>4.0999999999999996</v>
      </c>
      <c r="Z1555" s="6">
        <v>1000</v>
      </c>
      <c r="AA1555" s="6">
        <v>1000</v>
      </c>
      <c r="AB1555" s="4" t="s">
        <v>13</v>
      </c>
    </row>
    <row r="1556" spans="1:28">
      <c r="A1556" s="3" t="s">
        <v>160</v>
      </c>
      <c r="B1556" s="24" t="s">
        <v>2186</v>
      </c>
      <c r="C1556" s="26" t="s">
        <v>2187</v>
      </c>
      <c r="D1556" s="4">
        <v>47</v>
      </c>
      <c r="E1556" s="3" t="s">
        <v>172</v>
      </c>
      <c r="F1556" s="3" t="s">
        <v>2188</v>
      </c>
      <c r="G1556" s="4">
        <v>53.7</v>
      </c>
      <c r="H1556" s="3" t="s">
        <v>173</v>
      </c>
      <c r="I1556" s="3" t="s">
        <v>179</v>
      </c>
      <c r="J1556" s="4">
        <v>2</v>
      </c>
      <c r="K1556" s="4">
        <v>1158.5554999999999</v>
      </c>
      <c r="L1556" s="4" t="str">
        <f>HYPERLINK("http://ms.phosphosite.org:5080/cgi-bin/plot-msms.cgi?MassType=1&amp;NumAxis=1&amp;Mod7=170&amp;Mod20=147&amp;Pep=VGSSNFRGGLGGGYGGASGMGGITAV&amp;Dta=/var/www/html/dta/yong/23612.25049.2.dta&amp;Global_Mod=CS57.0215", "25049")</f>
        <v>25049</v>
      </c>
      <c r="M1556" s="4" t="str">
        <f>HYPERLINK("http://ms.phosphosite.org:5080/cgi-bin/plot-msms.cgi?MassType=1&amp;NumAxis=1&amp;Mod7=170&amp;Mod20=147&amp;Pep=VGSSNFRGGLGGGYGGASGMGGITAV&amp;Dta=/var/www/html/dta/yong/23613.23100.2.dta&amp;Global_Mod=CS57.0215", "23100")</f>
        <v>23100</v>
      </c>
      <c r="N1556" s="5">
        <v>109.84</v>
      </c>
      <c r="O1556" s="5">
        <v>98.37</v>
      </c>
      <c r="P1556" s="5">
        <v>3.206</v>
      </c>
      <c r="Q1556" s="5">
        <v>4.6909999999999998</v>
      </c>
      <c r="R1556" s="5">
        <v>1.7813000000000001</v>
      </c>
      <c r="S1556" s="5">
        <v>1.5965</v>
      </c>
      <c r="T1556" s="5">
        <v>0.28270000000000001</v>
      </c>
      <c r="U1556" s="5">
        <v>0.39510000000000001</v>
      </c>
      <c r="V1556" s="4">
        <v>1</v>
      </c>
      <c r="W1556" s="4">
        <v>1</v>
      </c>
      <c r="X1556" s="5">
        <v>3.49</v>
      </c>
      <c r="Y1556" s="5">
        <v>4.4400000000000004</v>
      </c>
      <c r="Z1556" s="6">
        <v>1000</v>
      </c>
      <c r="AA1556" s="6">
        <v>1000</v>
      </c>
      <c r="AB1556" s="4" t="s">
        <v>13</v>
      </c>
    </row>
    <row r="1557" spans="1:28">
      <c r="A1557" s="3" t="s">
        <v>160</v>
      </c>
      <c r="B1557" s="24" t="s">
        <v>2186</v>
      </c>
      <c r="C1557" s="26" t="s">
        <v>2187</v>
      </c>
      <c r="D1557" s="4">
        <v>47</v>
      </c>
      <c r="E1557" s="3" t="s">
        <v>172</v>
      </c>
      <c r="F1557" s="3" t="s">
        <v>2188</v>
      </c>
      <c r="G1557" s="4">
        <v>53.7</v>
      </c>
      <c r="H1557" s="3" t="s">
        <v>173</v>
      </c>
      <c r="I1557" s="3" t="s">
        <v>179</v>
      </c>
      <c r="J1557" s="4">
        <v>2</v>
      </c>
      <c r="K1557" s="4">
        <v>1158.5554999999999</v>
      </c>
      <c r="L1557" s="4" t="str">
        <f>HYPERLINK("http://ms.phosphosite.org:5080/cgi-bin/plot-msms.cgi?MassType=1&amp;NumAxis=1&amp;Mod7=170&amp;Mod20=147&amp;Pep=VGSSNFRGGLGGGYGGASGMGGITAV&amp;Dta=/var/www/html/dta/yong/23612.25013.2.dta&amp;Global_Mod=CS57.0215", "25013")</f>
        <v>25013</v>
      </c>
      <c r="M1557" s="4" t="str">
        <f>HYPERLINK("http://ms.phosphosite.org:5080/cgi-bin/plot-msms.cgi?MassType=1&amp;NumAxis=1&amp;Mod7=170&amp;Mod20=147&amp;Pep=VGSSNFRGGLGGGYGGASGMGGITAV&amp;Dta=/var/www/html/dta/yong/23613.24030.2.dta&amp;Global_Mod=CS57.0215", "24030")</f>
        <v>24030</v>
      </c>
      <c r="N1557" s="5">
        <v>109.65</v>
      </c>
      <c r="O1557" s="5">
        <v>103.05</v>
      </c>
      <c r="P1557" s="5">
        <v>3.25</v>
      </c>
      <c r="Q1557" s="5">
        <v>4.2610000000000001</v>
      </c>
      <c r="R1557" s="5">
        <v>4.1875</v>
      </c>
      <c r="S1557" s="5">
        <v>1.8499000000000001</v>
      </c>
      <c r="T1557" s="5">
        <v>0.3478</v>
      </c>
      <c r="U1557" s="5">
        <v>0.34489999999999998</v>
      </c>
      <c r="V1557" s="4">
        <v>1</v>
      </c>
      <c r="W1557" s="4">
        <v>1</v>
      </c>
      <c r="X1557" s="5">
        <v>3.7</v>
      </c>
      <c r="Y1557" s="5">
        <v>4.09</v>
      </c>
      <c r="Z1557" s="6">
        <v>1000</v>
      </c>
      <c r="AA1557" s="6">
        <v>1000</v>
      </c>
      <c r="AB1557" s="4" t="s">
        <v>13</v>
      </c>
    </row>
    <row r="1558" spans="1:28">
      <c r="A1558" s="3" t="s">
        <v>160</v>
      </c>
      <c r="B1558" s="24" t="s">
        <v>2186</v>
      </c>
      <c r="C1558" s="26" t="s">
        <v>2187</v>
      </c>
      <c r="D1558" s="4">
        <v>47</v>
      </c>
      <c r="E1558" s="3" t="s">
        <v>172</v>
      </c>
      <c r="F1558" s="3" t="s">
        <v>2188</v>
      </c>
      <c r="G1558" s="4">
        <v>53.7</v>
      </c>
      <c r="H1558" s="3" t="s">
        <v>173</v>
      </c>
      <c r="I1558" s="3" t="s">
        <v>179</v>
      </c>
      <c r="J1558" s="4">
        <v>2</v>
      </c>
      <c r="K1558" s="4">
        <v>1158.5554999999999</v>
      </c>
      <c r="L1558" s="4" t="str">
        <f>HYPERLINK("http://ms.phosphosite.org:5080/cgi-bin/plot-msms.cgi?MassType=1&amp;NumAxis=1&amp;Mod7=170&amp;Mod20=147&amp;Pep=VGSSNFRGGLGGGYGGASGMGGITAV&amp;Dta=/var/www/html/dta/yong/23612.12447.2.dta&amp;Global_Mod=CS57.0215", "12447")</f>
        <v>12447</v>
      </c>
      <c r="M1558" s="4" t="str">
        <f>HYPERLINK("http://ms.phosphosite.org:5080/cgi-bin/plot-msms.cgi?MassType=1&amp;NumAxis=1&amp;Mod7=170&amp;Mod20=147&amp;Pep=VGSSNFRGGLGGGYGGASGMGGITAV&amp;Dta=/var/www/html/dta/yong/23613.19206.2.dta&amp;Global_Mod=CS57.0215", "19206")</f>
        <v>19206</v>
      </c>
      <c r="N1558" s="5">
        <v>52.34</v>
      </c>
      <c r="O1558" s="5">
        <v>79.27</v>
      </c>
      <c r="P1558" s="5">
        <v>4.952</v>
      </c>
      <c r="Q1558" s="5">
        <v>3.552</v>
      </c>
      <c r="R1558" s="5">
        <v>1.2148000000000001</v>
      </c>
      <c r="S1558" s="5">
        <v>0.7984</v>
      </c>
      <c r="T1558" s="5">
        <v>0.42159999999999997</v>
      </c>
      <c r="U1558" s="5">
        <v>0.32029999999999997</v>
      </c>
      <c r="V1558" s="4">
        <v>1</v>
      </c>
      <c r="W1558" s="4">
        <v>1</v>
      </c>
      <c r="X1558" s="5">
        <v>4.54</v>
      </c>
      <c r="Y1558" s="5">
        <v>3.88</v>
      </c>
      <c r="Z1558" s="6">
        <v>1000</v>
      </c>
      <c r="AA1558" s="6">
        <v>1000</v>
      </c>
      <c r="AB1558" s="4" t="s">
        <v>13</v>
      </c>
    </row>
    <row r="1559" spans="1:28">
      <c r="A1559" s="3" t="s">
        <v>160</v>
      </c>
      <c r="B1559" s="24" t="s">
        <v>2186</v>
      </c>
      <c r="C1559" s="26" t="s">
        <v>2187</v>
      </c>
      <c r="D1559" s="4">
        <v>47</v>
      </c>
      <c r="E1559" s="3" t="s">
        <v>172</v>
      </c>
      <c r="F1559" s="3" t="s">
        <v>2188</v>
      </c>
      <c r="G1559" s="4">
        <v>53.7</v>
      </c>
      <c r="H1559" s="3" t="s">
        <v>173</v>
      </c>
      <c r="I1559" s="3" t="s">
        <v>179</v>
      </c>
      <c r="J1559" s="4">
        <v>2</v>
      </c>
      <c r="K1559" s="4">
        <v>1158.5554999999999</v>
      </c>
      <c r="L1559" s="4" t="str">
        <f>HYPERLINK("http://ms.phosphosite.org:5080/cgi-bin/plot-msms.cgi?MassType=1&amp;NumAxis=1&amp;Mod7=170&amp;Mod20=147&amp;Pep=VGSSNFRGGLGGGYGGASGMGGITAV&amp;Dta=/var/www/html/dta/yong/23612.15536.2.dta&amp;Global_Mod=CS57.0215", "15536")</f>
        <v>15536</v>
      </c>
      <c r="M1559" s="4" t="str">
        <f>HYPERLINK("http://ms.phosphosite.org:5080/cgi-bin/plot-msms.cgi?MassType=1&amp;NumAxis=1&amp;Mod7=170&amp;Mod20=147&amp;Pep=VGSSNFRGGLGGGYGGASGMGGITAV&amp;Dta=/var/www/html/dta/yong/23613.13838.2.dta&amp;Global_Mod=CS57.0215", "13838")</f>
        <v>13838</v>
      </c>
      <c r="N1559" s="5">
        <v>63.69</v>
      </c>
      <c r="O1559" s="5">
        <v>56.91</v>
      </c>
      <c r="P1559" s="5">
        <v>4.1420000000000003</v>
      </c>
      <c r="Q1559" s="5">
        <v>4.6289999999999996</v>
      </c>
      <c r="R1559" s="5">
        <v>1.6594</v>
      </c>
      <c r="S1559" s="5">
        <v>1.4908999999999999</v>
      </c>
      <c r="T1559" s="5">
        <v>0.44469999999999998</v>
      </c>
      <c r="U1559" s="5">
        <v>0.41139999999999999</v>
      </c>
      <c r="V1559" s="4">
        <v>1</v>
      </c>
      <c r="W1559" s="4">
        <v>1</v>
      </c>
      <c r="X1559" s="5">
        <v>4.4800000000000004</v>
      </c>
      <c r="Y1559" s="5">
        <v>4.51</v>
      </c>
      <c r="Z1559" s="6">
        <v>1000</v>
      </c>
      <c r="AA1559" s="6">
        <v>1000</v>
      </c>
      <c r="AB1559" s="4" t="s">
        <v>13</v>
      </c>
    </row>
    <row r="1560" spans="1:28">
      <c r="A1560" s="3" t="s">
        <v>160</v>
      </c>
      <c r="B1560" s="24" t="s">
        <v>2186</v>
      </c>
      <c r="C1560" s="26" t="s">
        <v>2187</v>
      </c>
      <c r="D1560" s="4">
        <v>47</v>
      </c>
      <c r="E1560" s="3" t="s">
        <v>172</v>
      </c>
      <c r="F1560" s="3" t="s">
        <v>2188</v>
      </c>
      <c r="G1560" s="4">
        <v>53.7</v>
      </c>
      <c r="H1560" s="3" t="s">
        <v>173</v>
      </c>
      <c r="I1560" s="3" t="s">
        <v>179</v>
      </c>
      <c r="J1560" s="4">
        <v>2</v>
      </c>
      <c r="K1560" s="4">
        <v>1158.5554999999999</v>
      </c>
      <c r="L1560" s="4" t="str">
        <f>HYPERLINK("http://ms.phosphosite.org:5080/cgi-bin/plot-msms.cgi?MassType=1&amp;NumAxis=1&amp;Mod7=170&amp;Mod20=147&amp;Pep=VGSSNFRGGLGGGYGGASGMGGITAV&amp;Dta=/var/www/html/dta/yong/23612.21026.2.dta&amp;Global_Mod=CS57.0215", "21026")</f>
        <v>21026</v>
      </c>
      <c r="M1560" s="4" t="str">
        <f>HYPERLINK("http://ms.phosphosite.org:5080/cgi-bin/plot-msms.cgi?MassType=1&amp;NumAxis=1&amp;Mod7=170&amp;Mod20=147&amp;Pep=VGSSNFRGGLGGGYGGASGMGGITAV&amp;Dta=/var/www/html/dta/yong/23613.15617.2.dta&amp;Global_Mod=CS57.0215", "15617")</f>
        <v>15617</v>
      </c>
      <c r="N1560" s="5">
        <v>88.34</v>
      </c>
      <c r="O1560" s="5">
        <v>63.69</v>
      </c>
      <c r="P1560" s="5">
        <v>3.2530000000000001</v>
      </c>
      <c r="Q1560" s="5">
        <v>4.2679999999999998</v>
      </c>
      <c r="R1560" s="5">
        <v>2.0199999999999999E-2</v>
      </c>
      <c r="S1560" s="5">
        <v>1.228</v>
      </c>
      <c r="T1560" s="5">
        <v>0.35639999999999999</v>
      </c>
      <c r="U1560" s="5">
        <v>0.30809999999999998</v>
      </c>
      <c r="V1560" s="4">
        <v>1</v>
      </c>
      <c r="W1560" s="4">
        <v>1</v>
      </c>
      <c r="X1560" s="5">
        <v>3.92</v>
      </c>
      <c r="Y1560" s="5">
        <v>3.94</v>
      </c>
      <c r="Z1560" s="6">
        <v>1000</v>
      </c>
      <c r="AA1560" s="6">
        <v>1000</v>
      </c>
      <c r="AB1560" s="4" t="s">
        <v>13</v>
      </c>
    </row>
    <row r="1561" spans="1:28">
      <c r="A1561" s="3" t="s">
        <v>160</v>
      </c>
      <c r="B1561" s="24" t="s">
        <v>2186</v>
      </c>
      <c r="C1561" s="26" t="s">
        <v>2187</v>
      </c>
      <c r="D1561" s="4">
        <v>47</v>
      </c>
      <c r="E1561" s="3" t="s">
        <v>172</v>
      </c>
      <c r="F1561" s="3" t="s">
        <v>2188</v>
      </c>
      <c r="G1561" s="4">
        <v>53.7</v>
      </c>
      <c r="H1561" s="3" t="s">
        <v>173</v>
      </c>
      <c r="I1561" s="3" t="s">
        <v>179</v>
      </c>
      <c r="J1561" s="4">
        <v>2</v>
      </c>
      <c r="K1561" s="4">
        <v>1158.5554999999999</v>
      </c>
      <c r="L1561" s="4" t="str">
        <f>HYPERLINK("http://ms.phosphosite.org:5080/cgi-bin/plot-msms.cgi?MassType=1&amp;NumAxis=1&amp;Mod7=170&amp;Mod20=147&amp;Pep=VGSSNFRGGLGGGYGGASGMGGITAV&amp;Dta=/var/www/html/dta/yong/23612.12657.2.dta&amp;Global_Mod=CS57.0215", "12657")</f>
        <v>12657</v>
      </c>
      <c r="M1561" s="4" t="str">
        <f>HYPERLINK("http://ms.phosphosite.org:5080/cgi-bin/plot-msms.cgi?MassType=1&amp;NumAxis=1&amp;Mod7=170&amp;Mod20=147&amp;Pep=VGSSNFRGGLGGGYGGASGMGGITAV&amp;Dta=/var/www/html/dta/yong/23613.18090.2.dta&amp;Global_Mod=CS57.0215", "18090")</f>
        <v>18090</v>
      </c>
      <c r="N1561" s="5">
        <v>53.08</v>
      </c>
      <c r="O1561" s="5">
        <v>74.13</v>
      </c>
      <c r="P1561" s="5">
        <v>4.1180000000000003</v>
      </c>
      <c r="Q1561" s="5">
        <v>4.577</v>
      </c>
      <c r="R1561" s="5">
        <v>1.3971</v>
      </c>
      <c r="S1561" s="5">
        <v>1.0286</v>
      </c>
      <c r="T1561" s="5">
        <v>0.32850000000000001</v>
      </c>
      <c r="U1561" s="5">
        <v>0.44330000000000003</v>
      </c>
      <c r="V1561" s="4">
        <v>1</v>
      </c>
      <c r="W1561" s="4">
        <v>1</v>
      </c>
      <c r="X1561" s="5">
        <v>3.91</v>
      </c>
      <c r="Y1561" s="5">
        <v>4.68</v>
      </c>
      <c r="Z1561" s="6">
        <v>1000</v>
      </c>
      <c r="AA1561" s="6">
        <v>1000</v>
      </c>
      <c r="AB1561" s="4" t="s">
        <v>13</v>
      </c>
    </row>
    <row r="1562" spans="1:28">
      <c r="A1562" s="3" t="s">
        <v>160</v>
      </c>
      <c r="B1562" s="24" t="s">
        <v>2186</v>
      </c>
      <c r="C1562" s="26" t="s">
        <v>2187</v>
      </c>
      <c r="D1562" s="4">
        <v>47</v>
      </c>
      <c r="E1562" s="3" t="s">
        <v>172</v>
      </c>
      <c r="F1562" s="3" t="s">
        <v>2188</v>
      </c>
      <c r="G1562" s="4">
        <v>53.7</v>
      </c>
      <c r="H1562" s="3" t="s">
        <v>173</v>
      </c>
      <c r="I1562" s="3" t="s">
        <v>179</v>
      </c>
      <c r="J1562" s="4">
        <v>2</v>
      </c>
      <c r="K1562" s="4">
        <v>1158.5554999999999</v>
      </c>
      <c r="L1562" s="4" t="str">
        <f>HYPERLINK("http://ms.phosphosite.org:5080/cgi-bin/plot-msms.cgi?MassType=1&amp;NumAxis=1&amp;Mod7=170&amp;Mod20=147&amp;Pep=VGSSNFRGGLGGGYGGASGMGGITAV&amp;Dta=/var/www/html/dta/yong/23612.23790.2.dta&amp;Global_Mod=CS57.0215", "23790")</f>
        <v>23790</v>
      </c>
      <c r="M1562" s="4" t="str">
        <f>HYPERLINK("http://ms.phosphosite.org:5080/cgi-bin/plot-msms.cgi?MassType=1&amp;NumAxis=1&amp;Mod7=170&amp;Mod20=147&amp;Pep=VGSSNFRGGLGGGYGGASGMGGITAV&amp;Dta=/var/www/html/dta/yong/23613.24297.2.dta&amp;Global_Mod=CS57.0215", "24297")</f>
        <v>24297</v>
      </c>
      <c r="N1562" s="5">
        <v>102.28</v>
      </c>
      <c r="O1562" s="5">
        <v>104.37</v>
      </c>
      <c r="P1562" s="5">
        <v>4.1509999999999998</v>
      </c>
      <c r="Q1562" s="5">
        <v>4.6959999999999997</v>
      </c>
      <c r="R1562" s="5">
        <v>1.2936000000000001</v>
      </c>
      <c r="S1562" s="5">
        <v>2.117</v>
      </c>
      <c r="T1562" s="5">
        <v>0.27179999999999999</v>
      </c>
      <c r="U1562" s="5">
        <v>0.39419999999999999</v>
      </c>
      <c r="V1562" s="4">
        <v>1</v>
      </c>
      <c r="W1562" s="4">
        <v>1</v>
      </c>
      <c r="X1562" s="5">
        <v>3.64</v>
      </c>
      <c r="Y1562" s="5">
        <v>4.41</v>
      </c>
      <c r="Z1562" s="6">
        <v>1000</v>
      </c>
      <c r="AA1562" s="6">
        <v>1000</v>
      </c>
      <c r="AB1562" s="4" t="s">
        <v>13</v>
      </c>
    </row>
    <row r="1563" spans="1:28">
      <c r="A1563" s="3" t="s">
        <v>160</v>
      </c>
      <c r="B1563" s="24" t="s">
        <v>2186</v>
      </c>
      <c r="C1563" s="26" t="s">
        <v>2187</v>
      </c>
      <c r="D1563" s="4">
        <v>47</v>
      </c>
      <c r="E1563" s="3" t="s">
        <v>172</v>
      </c>
      <c r="F1563" s="3" t="s">
        <v>2188</v>
      </c>
      <c r="G1563" s="4">
        <v>53.7</v>
      </c>
      <c r="H1563" s="3" t="s">
        <v>173</v>
      </c>
      <c r="I1563" s="3" t="s">
        <v>179</v>
      </c>
      <c r="J1563" s="4">
        <v>2</v>
      </c>
      <c r="K1563" s="4">
        <v>1158.5554999999999</v>
      </c>
      <c r="L1563" s="4" t="str">
        <f>HYPERLINK("http://ms.phosphosite.org:5080/cgi-bin/plot-msms.cgi?MassType=1&amp;NumAxis=1&amp;Mod7=170&amp;Mod20=147&amp;Pep=VGSSNFRGGLGGGYGGASGMGGITAV&amp;Dta=/var/www/html/dta/yong/23612.19879.2.dta&amp;Global_Mod=CS57.0215", "19879")</f>
        <v>19879</v>
      </c>
      <c r="M1563" s="4" t="str">
        <f>HYPERLINK("http://ms.phosphosite.org:5080/cgi-bin/plot-msms.cgi?MassType=1&amp;NumAxis=1&amp;Mod7=170&amp;Mod20=147&amp;Pep=VGSSNFRGGLGGGYGGASGMGGITAV&amp;Dta=/var/www/html/dta/yong/23613.21197.2.dta&amp;Global_Mod=CS57.0215", "21197")</f>
        <v>21197</v>
      </c>
      <c r="N1563" s="5">
        <v>82.93</v>
      </c>
      <c r="O1563" s="5">
        <v>88.73</v>
      </c>
      <c r="P1563" s="5">
        <v>4.2729999999999997</v>
      </c>
      <c r="Q1563" s="5">
        <v>4.6230000000000002</v>
      </c>
      <c r="R1563" s="5">
        <v>1.2906</v>
      </c>
      <c r="S1563" s="5">
        <v>1.6081000000000001</v>
      </c>
      <c r="T1563" s="5">
        <v>0.39129999999999998</v>
      </c>
      <c r="U1563" s="5">
        <v>0.36020000000000002</v>
      </c>
      <c r="V1563" s="4">
        <v>1</v>
      </c>
      <c r="W1563" s="4">
        <v>1</v>
      </c>
      <c r="X1563" s="5">
        <v>4.26</v>
      </c>
      <c r="Y1563" s="5">
        <v>4.25</v>
      </c>
      <c r="Z1563" s="6">
        <v>1000</v>
      </c>
      <c r="AA1563" s="6">
        <v>1000</v>
      </c>
      <c r="AB1563" s="4" t="s">
        <v>13</v>
      </c>
    </row>
    <row r="1564" spans="1:28">
      <c r="A1564" s="3" t="s">
        <v>160</v>
      </c>
      <c r="B1564" s="24" t="s">
        <v>2186</v>
      </c>
      <c r="C1564" s="26" t="s">
        <v>2187</v>
      </c>
      <c r="D1564" s="4">
        <v>47</v>
      </c>
      <c r="E1564" s="3" t="s">
        <v>172</v>
      </c>
      <c r="F1564" s="3" t="s">
        <v>2188</v>
      </c>
      <c r="G1564" s="4">
        <v>53.7</v>
      </c>
      <c r="H1564" s="3" t="s">
        <v>173</v>
      </c>
      <c r="I1564" s="3" t="s">
        <v>179</v>
      </c>
      <c r="J1564" s="4">
        <v>2</v>
      </c>
      <c r="K1564" s="4">
        <v>1158.5554999999999</v>
      </c>
      <c r="L1564" s="4" t="str">
        <f>HYPERLINK("http://ms.phosphosite.org:5080/cgi-bin/plot-msms.cgi?MassType=1&amp;NumAxis=1&amp;Mod7=170&amp;Mod20=147&amp;Pep=VGSSNFRGGLGGGYGGASGMGGITAV&amp;Dta=/var/www/html/dta/yong/23612.24136.2.dta&amp;Global_Mod=CS57.0215", "24136")</f>
        <v>24136</v>
      </c>
      <c r="M1564" s="4" t="str">
        <f>HYPERLINK("http://ms.phosphosite.org:5080/cgi-bin/plot-msms.cgi?MassType=1&amp;NumAxis=1&amp;Mod7=170&amp;Mod20=147&amp;Pep=VGSSNFRGGLGGGYGGASGMGGITAV&amp;Dta=/var/www/html/dta/yong/23613.22995.2.dta&amp;Global_Mod=CS57.0215", "22995")</f>
        <v>22995</v>
      </c>
      <c r="N1564" s="5">
        <v>104.02</v>
      </c>
      <c r="O1564" s="5">
        <v>97.81</v>
      </c>
      <c r="P1564" s="5">
        <v>4.0819999999999999</v>
      </c>
      <c r="Q1564" s="5">
        <v>3.5390000000000001</v>
      </c>
      <c r="R1564" s="5">
        <v>1.6612</v>
      </c>
      <c r="S1564" s="5">
        <v>2.1667999999999998</v>
      </c>
      <c r="T1564" s="5">
        <v>0.36759999999999998</v>
      </c>
      <c r="U1564" s="5">
        <v>0.26250000000000001</v>
      </c>
      <c r="V1564" s="4">
        <v>1</v>
      </c>
      <c r="W1564" s="4">
        <v>1</v>
      </c>
      <c r="X1564" s="5">
        <v>4.09</v>
      </c>
      <c r="Y1564" s="5">
        <v>3.52</v>
      </c>
      <c r="Z1564" s="6">
        <v>1000</v>
      </c>
      <c r="AA1564" s="6">
        <v>1000</v>
      </c>
      <c r="AB1564" s="4" t="s">
        <v>13</v>
      </c>
    </row>
    <row r="1565" spans="1:28">
      <c r="A1565" s="3" t="s">
        <v>160</v>
      </c>
      <c r="B1565" s="24" t="s">
        <v>2186</v>
      </c>
      <c r="C1565" s="26" t="s">
        <v>2187</v>
      </c>
      <c r="D1565" s="4">
        <v>47</v>
      </c>
      <c r="E1565" s="3" t="s">
        <v>172</v>
      </c>
      <c r="F1565" s="3" t="s">
        <v>2188</v>
      </c>
      <c r="G1565" s="4">
        <v>53.7</v>
      </c>
      <c r="H1565" s="3" t="s">
        <v>173</v>
      </c>
      <c r="I1565" s="3" t="s">
        <v>179</v>
      </c>
      <c r="J1565" s="4">
        <v>2</v>
      </c>
      <c r="K1565" s="4">
        <v>1158.5554999999999</v>
      </c>
      <c r="L1565" s="4" t="str">
        <f>HYPERLINK("http://ms.phosphosite.org:5080/cgi-bin/plot-msms.cgi?MassType=1&amp;NumAxis=1&amp;Mod7=170&amp;Mod20=147&amp;Pep=VGSSNFRGGLGGGYGGASGMGGITAV&amp;Dta=/var/www/html/dta/yong/23612.22706.2.dta&amp;Global_Mod=CS57.0215", "22706")</f>
        <v>22706</v>
      </c>
      <c r="M1565" s="4" t="str">
        <f>HYPERLINK("http://ms.phosphosite.org:5080/cgi-bin/plot-msms.cgi?MassType=1&amp;NumAxis=1&amp;Mod7=170&amp;Mod20=147&amp;Pep=VGSSNFRGGLGGGYGGASGMGGITAV&amp;Dta=/var/www/html/dta/yong/23613.21733.2.dta&amp;Global_Mod=CS57.0215", "21733")</f>
        <v>21733</v>
      </c>
      <c r="N1565" s="5">
        <v>96.77</v>
      </c>
      <c r="O1565" s="5">
        <v>91.36</v>
      </c>
      <c r="P1565" s="5">
        <v>3.3759999999999999</v>
      </c>
      <c r="Q1565" s="5">
        <v>3.3530000000000002</v>
      </c>
      <c r="R1565" s="5">
        <v>-0.92610000000000003</v>
      </c>
      <c r="S1565" s="5">
        <v>2.58</v>
      </c>
      <c r="T1565" s="5">
        <v>0.4758</v>
      </c>
      <c r="U1565" s="5">
        <v>0.36230000000000001</v>
      </c>
      <c r="V1565" s="4">
        <v>1</v>
      </c>
      <c r="W1565" s="4">
        <v>1</v>
      </c>
      <c r="X1565" s="5">
        <v>4.4800000000000004</v>
      </c>
      <c r="Y1565" s="5">
        <v>3.95</v>
      </c>
      <c r="Z1565" s="6">
        <v>1000</v>
      </c>
      <c r="AA1565" s="6">
        <v>1000</v>
      </c>
      <c r="AB1565" s="4" t="s">
        <v>13</v>
      </c>
    </row>
    <row r="1566" spans="1:28">
      <c r="A1566" s="3" t="s">
        <v>160</v>
      </c>
      <c r="B1566" s="24" t="s">
        <v>2186</v>
      </c>
      <c r="C1566" s="26" t="s">
        <v>2187</v>
      </c>
      <c r="D1566" s="4">
        <v>47</v>
      </c>
      <c r="E1566" s="3" t="s">
        <v>172</v>
      </c>
      <c r="F1566" s="3" t="s">
        <v>2188</v>
      </c>
      <c r="G1566" s="4">
        <v>53.7</v>
      </c>
      <c r="H1566" s="3" t="s">
        <v>173</v>
      </c>
      <c r="I1566" s="3" t="s">
        <v>179</v>
      </c>
      <c r="J1566" s="4">
        <v>2</v>
      </c>
      <c r="K1566" s="4">
        <v>1158.5554999999999</v>
      </c>
      <c r="L1566" s="4" t="str">
        <f>HYPERLINK("http://ms.phosphosite.org:5080/cgi-bin/plot-msms.cgi?MassType=1&amp;NumAxis=1&amp;Mod7=170&amp;Mod20=147&amp;Pep=VGSSNFRGGLGGGYGGASGMGGITAV&amp;Dta=/var/www/html/dta/yong/23612.13460.2.dta&amp;Global_Mod=CS57.0215", "13460")</f>
        <v>13460</v>
      </c>
      <c r="M1566" s="4" t="str">
        <f>HYPERLINK("http://ms.phosphosite.org:5080/cgi-bin/plot-msms.cgi?MassType=1&amp;NumAxis=1&amp;Mod7=170&amp;Mod20=147&amp;Pep=VGSSNFRGGLGGGYGGASGMGGITAV&amp;Dta=/var/www/html/dta/yong/23613.24432.2.dta&amp;Global_Mod=CS57.0215", "24432")</f>
        <v>24432</v>
      </c>
      <c r="N1566" s="5">
        <v>55.93</v>
      </c>
      <c r="O1566" s="5">
        <v>105.38</v>
      </c>
      <c r="P1566" s="5">
        <v>3.3759999999999999</v>
      </c>
      <c r="Q1566" s="5">
        <v>4.6859999999999999</v>
      </c>
      <c r="R1566" s="5">
        <v>0.81810000000000005</v>
      </c>
      <c r="S1566" s="5">
        <v>2.0697999999999999</v>
      </c>
      <c r="T1566" s="5">
        <v>0.19070000000000001</v>
      </c>
      <c r="U1566" s="5">
        <v>0.38950000000000001</v>
      </c>
      <c r="V1566" s="4">
        <v>1</v>
      </c>
      <c r="W1566" s="4">
        <v>1</v>
      </c>
      <c r="X1566" s="5">
        <v>3.12</v>
      </c>
      <c r="Y1566" s="5">
        <v>4.38</v>
      </c>
      <c r="Z1566" s="6">
        <v>1000</v>
      </c>
      <c r="AA1566" s="6">
        <v>1000</v>
      </c>
      <c r="AB1566" s="4" t="s">
        <v>13</v>
      </c>
    </row>
    <row r="1567" spans="1:28">
      <c r="A1567" s="3" t="s">
        <v>160</v>
      </c>
      <c r="B1567" s="24" t="s">
        <v>2186</v>
      </c>
      <c r="C1567" s="26" t="s">
        <v>2187</v>
      </c>
      <c r="D1567" s="4">
        <v>47</v>
      </c>
      <c r="E1567" s="3" t="s">
        <v>172</v>
      </c>
      <c r="F1567" s="3" t="s">
        <v>2188</v>
      </c>
      <c r="G1567" s="4">
        <v>53.7</v>
      </c>
      <c r="H1567" s="3" t="s">
        <v>173</v>
      </c>
      <c r="I1567" s="3" t="s">
        <v>179</v>
      </c>
      <c r="J1567" s="4">
        <v>2</v>
      </c>
      <c r="K1567" s="4">
        <v>1158.5554999999999</v>
      </c>
      <c r="L1567" s="4" t="str">
        <f>HYPERLINK("http://ms.phosphosite.org:5080/cgi-bin/plot-msms.cgi?MassType=1&amp;NumAxis=1&amp;Mod7=170&amp;Mod20=147&amp;Pep=VGSSNFRGGLGGGYGGASGMGGITAV&amp;Dta=/var/www/html/dta/yong/23612.24316.2.dta&amp;Global_Mod=CS57.0215", "24316")</f>
        <v>24316</v>
      </c>
      <c r="M1567" s="4" t="str">
        <f>HYPERLINK("http://ms.phosphosite.org:5080/cgi-bin/plot-msms.cgi?MassType=1&amp;NumAxis=1&amp;Mod7=170&amp;Mod20=147&amp;Pep=VGSSNFRGGLGGGYGGASGMGGITAV&amp;Dta=/var/www/html/dta/yong/23613.21001.2.dta&amp;Global_Mod=CS57.0215", "21001")</f>
        <v>21001</v>
      </c>
      <c r="N1567" s="5">
        <v>104.88</v>
      </c>
      <c r="O1567" s="5">
        <v>87.78</v>
      </c>
      <c r="P1567" s="5">
        <v>3.3860000000000001</v>
      </c>
      <c r="Q1567" s="5">
        <v>3.863</v>
      </c>
      <c r="R1567" s="5">
        <v>2.5190999999999999</v>
      </c>
      <c r="S1567" s="5">
        <v>2.9554</v>
      </c>
      <c r="T1567" s="5">
        <v>0.3412</v>
      </c>
      <c r="U1567" s="5">
        <v>0.31480000000000002</v>
      </c>
      <c r="V1567" s="4">
        <v>1</v>
      </c>
      <c r="W1567" s="4">
        <v>1</v>
      </c>
      <c r="X1567" s="5">
        <v>3.78</v>
      </c>
      <c r="Y1567" s="5">
        <v>3.8</v>
      </c>
      <c r="Z1567" s="6">
        <v>1000</v>
      </c>
      <c r="AA1567" s="6">
        <v>1000</v>
      </c>
      <c r="AB1567" s="4" t="s">
        <v>13</v>
      </c>
    </row>
    <row r="1568" spans="1:28">
      <c r="A1568" s="3" t="s">
        <v>160</v>
      </c>
      <c r="B1568" s="24" t="s">
        <v>2186</v>
      </c>
      <c r="C1568" s="26" t="s">
        <v>2187</v>
      </c>
      <c r="D1568" s="4">
        <v>47</v>
      </c>
      <c r="E1568" s="3" t="s">
        <v>172</v>
      </c>
      <c r="F1568" s="3" t="s">
        <v>2188</v>
      </c>
      <c r="G1568" s="4">
        <v>53.7</v>
      </c>
      <c r="H1568" s="3" t="s">
        <v>173</v>
      </c>
      <c r="I1568" s="3" t="s">
        <v>179</v>
      </c>
      <c r="J1568" s="4">
        <v>2</v>
      </c>
      <c r="K1568" s="4">
        <v>1158.5554999999999</v>
      </c>
      <c r="L1568" s="4"/>
      <c r="M1568" s="4" t="str">
        <f>HYPERLINK("http://ms.phosphosite.org:5080/cgi-bin/plot-msms.cgi?MassType=1&amp;NumAxis=1&amp;Mod7=170&amp;Mod20=147&amp;Pep=VGSSNFRGGLGGGYGGASGMGGITAV&amp;Dta=/var/www/html/dta/yong/23613.14610.2.dta&amp;Global_Mod=CS57.0215", "14610")</f>
        <v>14610</v>
      </c>
      <c r="N1568" s="5"/>
      <c r="O1568" s="5">
        <v>59.83</v>
      </c>
      <c r="P1568" s="5"/>
      <c r="Q1568" s="5">
        <v>4.5629999999999997</v>
      </c>
      <c r="R1568" s="5"/>
      <c r="S1568" s="5">
        <v>1.0576000000000001</v>
      </c>
      <c r="T1568" s="5"/>
      <c r="U1568" s="5">
        <v>0.42770000000000002</v>
      </c>
      <c r="V1568" s="4"/>
      <c r="W1568" s="4">
        <v>1</v>
      </c>
      <c r="X1568" s="5"/>
      <c r="Y1568" s="5">
        <v>4.5999999999999996</v>
      </c>
      <c r="Z1568" s="6"/>
      <c r="AA1568" s="6">
        <v>1000</v>
      </c>
      <c r="AB1568" s="4" t="s">
        <v>13</v>
      </c>
    </row>
    <row r="1569" spans="1:28">
      <c r="A1569" s="3" t="s">
        <v>160</v>
      </c>
      <c r="B1569" s="24" t="s">
        <v>2186</v>
      </c>
      <c r="C1569" s="26" t="s">
        <v>2187</v>
      </c>
      <c r="D1569" s="4">
        <v>47</v>
      </c>
      <c r="E1569" s="3" t="s">
        <v>172</v>
      </c>
      <c r="F1569" s="3" t="s">
        <v>2188</v>
      </c>
      <c r="G1569" s="4">
        <v>53.7</v>
      </c>
      <c r="H1569" s="3" t="s">
        <v>173</v>
      </c>
      <c r="I1569" s="3" t="s">
        <v>179</v>
      </c>
      <c r="J1569" s="4">
        <v>2</v>
      </c>
      <c r="K1569" s="4">
        <v>1158.5554999999999</v>
      </c>
      <c r="L1569" s="4"/>
      <c r="M1569" s="4" t="str">
        <f>HYPERLINK("http://ms.phosphosite.org:5080/cgi-bin/plot-msms.cgi?MassType=1&amp;NumAxis=1&amp;Mod7=170&amp;Mod20=147&amp;Pep=VGSSNFRGGLGGGYGGASGMGGITAV&amp;Dta=/var/www/html/dta/yong/23613.24968.2.dta&amp;Global_Mod=CS57.0215", "24968")</f>
        <v>24968</v>
      </c>
      <c r="N1569" s="5"/>
      <c r="O1569" s="5">
        <v>109.22</v>
      </c>
      <c r="P1569" s="5"/>
      <c r="Q1569" s="5">
        <v>4.5629999999999997</v>
      </c>
      <c r="R1569" s="5"/>
      <c r="S1569" s="5">
        <v>1.2111000000000001</v>
      </c>
      <c r="T1569" s="5"/>
      <c r="U1569" s="5">
        <v>0.2651</v>
      </c>
      <c r="V1569" s="4"/>
      <c r="W1569" s="4">
        <v>1</v>
      </c>
      <c r="X1569" s="5"/>
      <c r="Y1569" s="5">
        <v>3.79</v>
      </c>
      <c r="Z1569" s="6"/>
      <c r="AA1569" s="6">
        <v>1000</v>
      </c>
      <c r="AB1569" s="4" t="s">
        <v>13</v>
      </c>
    </row>
    <row r="1570" spans="1:28">
      <c r="A1570" s="3" t="s">
        <v>160</v>
      </c>
      <c r="B1570" s="24" t="s">
        <v>2186</v>
      </c>
      <c r="C1570" s="26" t="s">
        <v>2187</v>
      </c>
      <c r="D1570" s="4">
        <v>47</v>
      </c>
      <c r="E1570" s="3" t="s">
        <v>172</v>
      </c>
      <c r="F1570" s="3" t="s">
        <v>2188</v>
      </c>
      <c r="G1570" s="4">
        <v>53.7</v>
      </c>
      <c r="H1570" s="3" t="s">
        <v>173</v>
      </c>
      <c r="I1570" s="3" t="s">
        <v>179</v>
      </c>
      <c r="J1570" s="4">
        <v>2</v>
      </c>
      <c r="K1570" s="4">
        <v>1158.5554999999999</v>
      </c>
      <c r="L1570" s="4"/>
      <c r="M1570" s="4" t="str">
        <f>HYPERLINK("http://ms.phosphosite.org:5080/cgi-bin/plot-msms.cgi?MassType=1&amp;NumAxis=1&amp;Mod7=170&amp;Mod20=147&amp;Pep=VGSSNFRGGLGGGYGGASGMGGITAV&amp;Dta=/var/www/html/dta/yong/23613.15346.2.dta&amp;Global_Mod=CS57.0215", "15346")</f>
        <v>15346</v>
      </c>
      <c r="N1570" s="5"/>
      <c r="O1570" s="5">
        <v>62.64</v>
      </c>
      <c r="P1570" s="5"/>
      <c r="Q1570" s="5">
        <v>4.5650000000000004</v>
      </c>
      <c r="R1570" s="5"/>
      <c r="S1570" s="5">
        <v>1.9863999999999999</v>
      </c>
      <c r="T1570" s="5"/>
      <c r="U1570" s="5">
        <v>0.44790000000000002</v>
      </c>
      <c r="V1570" s="4"/>
      <c r="W1570" s="4">
        <v>1</v>
      </c>
      <c r="X1570" s="5"/>
      <c r="Y1570" s="5">
        <v>4.6500000000000004</v>
      </c>
      <c r="Z1570" s="6"/>
      <c r="AA1570" s="6">
        <v>1000</v>
      </c>
      <c r="AB1570" s="4" t="s">
        <v>13</v>
      </c>
    </row>
    <row r="1571" spans="1:28">
      <c r="A1571" s="3" t="s">
        <v>160</v>
      </c>
      <c r="B1571" s="24" t="s">
        <v>2186</v>
      </c>
      <c r="C1571" s="26" t="s">
        <v>2187</v>
      </c>
      <c r="D1571" s="4">
        <v>47</v>
      </c>
      <c r="E1571" s="3" t="s">
        <v>172</v>
      </c>
      <c r="F1571" s="3" t="s">
        <v>2188</v>
      </c>
      <c r="G1571" s="4">
        <v>53.7</v>
      </c>
      <c r="H1571" s="3" t="s">
        <v>173</v>
      </c>
      <c r="I1571" s="3" t="s">
        <v>179</v>
      </c>
      <c r="J1571" s="4">
        <v>2</v>
      </c>
      <c r="K1571" s="4">
        <v>1158.5554999999999</v>
      </c>
      <c r="L1571" s="4"/>
      <c r="M1571" s="4" t="str">
        <f>HYPERLINK("http://ms.phosphosite.org:5080/cgi-bin/plot-msms.cgi?MassType=1&amp;NumAxis=1&amp;Mod7=170&amp;Mod20=147&amp;Pep=VGSSNFRGGLGGGYGGASGMGGITAV&amp;Dta=/var/www/html/dta/yong/23613.17352.2.dta&amp;Global_Mod=CS57.0215", "17352")</f>
        <v>17352</v>
      </c>
      <c r="N1571" s="5"/>
      <c r="O1571" s="5">
        <v>70.849999999999994</v>
      </c>
      <c r="P1571" s="5"/>
      <c r="Q1571" s="5">
        <v>4.2759999999999998</v>
      </c>
      <c r="R1571" s="5"/>
      <c r="S1571" s="5">
        <v>1.0182</v>
      </c>
      <c r="T1571" s="5"/>
      <c r="U1571" s="5">
        <v>0.47949999999999998</v>
      </c>
      <c r="V1571" s="4"/>
      <c r="W1571" s="4">
        <v>1</v>
      </c>
      <c r="X1571" s="5"/>
      <c r="Y1571" s="5">
        <v>4.8</v>
      </c>
      <c r="Z1571" s="6"/>
      <c r="AA1571" s="6">
        <v>1000</v>
      </c>
      <c r="AB1571" s="4" t="s">
        <v>13</v>
      </c>
    </row>
    <row r="1572" spans="1:28">
      <c r="A1572" s="3" t="s">
        <v>160</v>
      </c>
      <c r="B1572" s="24" t="s">
        <v>2186</v>
      </c>
      <c r="C1572" s="26" t="s">
        <v>2187</v>
      </c>
      <c r="D1572" s="4">
        <v>47</v>
      </c>
      <c r="E1572" s="3" t="s">
        <v>172</v>
      </c>
      <c r="F1572" s="3" t="s">
        <v>2188</v>
      </c>
      <c r="G1572" s="4">
        <v>53.7</v>
      </c>
      <c r="H1572" s="3" t="s">
        <v>173</v>
      </c>
      <c r="I1572" s="3" t="s">
        <v>179</v>
      </c>
      <c r="J1572" s="4">
        <v>3</v>
      </c>
      <c r="K1572" s="4">
        <v>772.70609999999999</v>
      </c>
      <c r="L1572" s="4" t="str">
        <f>HYPERLINK("http://ms.phosphosite.org:5080/cgi-bin/plot-msms.cgi?MassType=1&amp;NumAxis=1&amp;Mod7=170&amp;Mod20=147&amp;Pep=VGSSNFRGGLGGGYGGASGMGGITAV&amp;Dta=/var/www/html/dta/yong/23612.23915.3.dta&amp;Global_Mod=CS57.0215", "23915")</f>
        <v>23915</v>
      </c>
      <c r="M1572" s="4" t="str">
        <f>HYPERLINK("http://ms.phosphosite.org:5080/cgi-bin/plot-msms.cgi?MassType=1&amp;NumAxis=1&amp;Mod7=170&amp;Mod20=147&amp;Pep=VGSSNFRGGLGGGYGGASGMGGITAV&amp;Dta=/var/www/html/dta/yong/23613.23011.3.dta&amp;Global_Mod=CS57.0215", "23011")</f>
        <v>23011</v>
      </c>
      <c r="N1572" s="5">
        <v>102.91</v>
      </c>
      <c r="O1572" s="5">
        <v>97.9</v>
      </c>
      <c r="P1572" s="5">
        <v>2.319</v>
      </c>
      <c r="Q1572" s="5">
        <v>2.5870000000000002</v>
      </c>
      <c r="R1572" s="5">
        <v>0.93279999999999996</v>
      </c>
      <c r="S1572" s="5">
        <v>1.0317000000000001</v>
      </c>
      <c r="T1572" s="5">
        <v>6.7000000000000002E-3</v>
      </c>
      <c r="U1572" s="5">
        <v>0.1188</v>
      </c>
      <c r="V1572" s="4">
        <v>39</v>
      </c>
      <c r="W1572" s="4">
        <v>193</v>
      </c>
      <c r="X1572" s="5">
        <v>2.0299999999999998</v>
      </c>
      <c r="Y1572" s="5">
        <v>2.61</v>
      </c>
      <c r="Z1572" s="6">
        <v>1000</v>
      </c>
      <c r="AA1572" s="6">
        <v>1000</v>
      </c>
      <c r="AB1572" s="4" t="s">
        <v>13</v>
      </c>
    </row>
    <row r="1573" spans="1:28">
      <c r="A1573" s="3" t="s">
        <v>160</v>
      </c>
      <c r="B1573" s="24" t="s">
        <v>2186</v>
      </c>
      <c r="C1573" s="26" t="s">
        <v>2187</v>
      </c>
      <c r="D1573" s="4">
        <v>47</v>
      </c>
      <c r="E1573" s="3" t="s">
        <v>172</v>
      </c>
      <c r="F1573" s="3" t="s">
        <v>2188</v>
      </c>
      <c r="G1573" s="4">
        <v>53.7</v>
      </c>
      <c r="H1573" s="3" t="s">
        <v>173</v>
      </c>
      <c r="I1573" s="3" t="s">
        <v>179</v>
      </c>
      <c r="J1573" s="4">
        <v>3</v>
      </c>
      <c r="K1573" s="4">
        <v>772.70609999999999</v>
      </c>
      <c r="L1573" s="4" t="str">
        <f>HYPERLINK("http://ms.phosphosite.org:5080/cgi-bin/plot-msms.cgi?MassType=1&amp;NumAxis=1&amp;Mod7=170&amp;Mod20=147&amp;Pep=VGSSNFRGGLGGGYGGASGMGGITAV&amp;Dta=/var/www/html/dta/yong/23612.19992.3.dta&amp;Global_Mod=CS57.0215", "19992")</f>
        <v>19992</v>
      </c>
      <c r="M1573" s="4" t="str">
        <f>HYPERLINK("http://ms.phosphosite.org:5080/cgi-bin/plot-msms.cgi?MassType=1&amp;NumAxis=1&amp;Mod7=170&amp;Mod20=147&amp;Pep=VGSSNFRGGLGGGYGGASGMGGITAV&amp;Dta=/var/www/html/dta/yong/23613.23965.3.dta&amp;Global_Mod=CS57.0215", "23965")</f>
        <v>23965</v>
      </c>
      <c r="N1573" s="5">
        <v>83.47</v>
      </c>
      <c r="O1573" s="5">
        <v>102.72</v>
      </c>
      <c r="P1573" s="5">
        <v>2.222</v>
      </c>
      <c r="Q1573" s="5">
        <v>2.4089999999999998</v>
      </c>
      <c r="R1573" s="5">
        <v>0.98299999999999998</v>
      </c>
      <c r="S1573" s="5">
        <v>1.0832999999999999</v>
      </c>
      <c r="T1573" s="5">
        <v>5.96E-2</v>
      </c>
      <c r="U1573" s="5">
        <v>0.2142</v>
      </c>
      <c r="V1573" s="4">
        <v>290</v>
      </c>
      <c r="W1573" s="4">
        <v>28</v>
      </c>
      <c r="X1573" s="5">
        <v>2.12</v>
      </c>
      <c r="Y1573" s="5">
        <v>3.13</v>
      </c>
      <c r="Z1573" s="6">
        <v>1000</v>
      </c>
      <c r="AA1573" s="6">
        <v>1000</v>
      </c>
      <c r="AB1573" s="4" t="s">
        <v>13</v>
      </c>
    </row>
    <row r="1574" spans="1:28">
      <c r="A1574" s="3" t="s">
        <v>160</v>
      </c>
      <c r="B1574" s="24" t="s">
        <v>2186</v>
      </c>
      <c r="C1574" s="26" t="s">
        <v>2187</v>
      </c>
      <c r="D1574" s="4">
        <v>47</v>
      </c>
      <c r="E1574" s="3" t="s">
        <v>172</v>
      </c>
      <c r="F1574" s="3" t="s">
        <v>2188</v>
      </c>
      <c r="G1574" s="4">
        <v>53.7</v>
      </c>
      <c r="H1574" s="3" t="s">
        <v>173</v>
      </c>
      <c r="I1574" s="3" t="s">
        <v>179</v>
      </c>
      <c r="J1574" s="4">
        <v>3</v>
      </c>
      <c r="K1574" s="4">
        <v>772.70609999999999</v>
      </c>
      <c r="L1574" s="4" t="str">
        <f>HYPERLINK("http://ms.phosphosite.org:5080/cgi-bin/plot-msms.cgi?MassType=1&amp;NumAxis=1&amp;Mod7=170&amp;Mod20=147&amp;Pep=VGSSNFRGGLGGGYGGASGMGGITAV&amp;Dta=/var/www/html/dta/yong/23612.14945.3.dta&amp;Global_Mod=CS57.0215", "14945")</f>
        <v>14945</v>
      </c>
      <c r="M1574" s="4" t="str">
        <f>HYPERLINK("http://ms.phosphosite.org:5080/cgi-bin/plot-msms.cgi?MassType=1&amp;NumAxis=1&amp;Mod7=170&amp;Mod20=147&amp;Pep=VGSSNFRGGLGGGYGGASGMGGITAV&amp;Dta=/var/www/html/dta/yong/23613.12744.3.dta&amp;Global_Mod=CS57.0215", "12744")</f>
        <v>12744</v>
      </c>
      <c r="N1574" s="5">
        <v>61.46</v>
      </c>
      <c r="O1574" s="5">
        <v>53.06</v>
      </c>
      <c r="P1574" s="5">
        <v>2.1989999999999998</v>
      </c>
      <c r="Q1574" s="5">
        <v>2.3119999999999998</v>
      </c>
      <c r="R1574" s="5">
        <v>6.6E-3</v>
      </c>
      <c r="S1574" s="5">
        <v>0.62360000000000004</v>
      </c>
      <c r="T1574" s="5">
        <v>4.3E-3</v>
      </c>
      <c r="U1574" s="5">
        <v>0.12920000000000001</v>
      </c>
      <c r="V1574" s="4">
        <v>11</v>
      </c>
      <c r="W1574" s="4">
        <v>7</v>
      </c>
      <c r="X1574" s="5">
        <v>2.02</v>
      </c>
      <c r="Y1574" s="5">
        <v>2.73</v>
      </c>
      <c r="Z1574" s="6">
        <v>1000</v>
      </c>
      <c r="AA1574" s="6">
        <v>1000</v>
      </c>
      <c r="AB1574" s="4" t="s">
        <v>13</v>
      </c>
    </row>
    <row r="1575" spans="1:28">
      <c r="A1575" s="3" t="s">
        <v>160</v>
      </c>
      <c r="B1575" s="24" t="s">
        <v>2186</v>
      </c>
      <c r="C1575" s="26" t="s">
        <v>2187</v>
      </c>
      <c r="D1575" s="4">
        <v>47</v>
      </c>
      <c r="E1575" s="3" t="s">
        <v>172</v>
      </c>
      <c r="F1575" s="3" t="s">
        <v>2188</v>
      </c>
      <c r="G1575" s="4">
        <v>53.7</v>
      </c>
      <c r="H1575" s="3" t="s">
        <v>173</v>
      </c>
      <c r="I1575" s="3" t="s">
        <v>179</v>
      </c>
      <c r="J1575" s="4">
        <v>3</v>
      </c>
      <c r="K1575" s="4">
        <v>772.70609999999999</v>
      </c>
      <c r="L1575" s="4" t="str">
        <f>HYPERLINK("http://ms.phosphosite.org:5080/cgi-bin/plot-msms.cgi?MassType=1&amp;NumAxis=1&amp;Mod7=170&amp;Mod20=147&amp;Pep=VGSSNFRGGLGGGYGGASGMGGITAV&amp;Dta=/var/www/html/dta/yong/23612.22398.3.dta&amp;Global_Mod=CS57.0215", "22398")</f>
        <v>22398</v>
      </c>
      <c r="M1575" s="4" t="str">
        <f>HYPERLINK("http://ms.phosphosite.org:5080/cgi-bin/plot-msms.cgi?MassType=1&amp;NumAxis=1&amp;Mod7=170&amp;Mod20=147&amp;Pep=VGSSNFRGGLGGGYGGASGMGGITAV&amp;Dta=/var/www/html/dta/yong/23613.22401.3.dta&amp;Global_Mod=CS57.0215", "22401")</f>
        <v>22401</v>
      </c>
      <c r="N1575" s="5">
        <v>95.18</v>
      </c>
      <c r="O1575" s="5">
        <v>94.75</v>
      </c>
      <c r="P1575" s="5">
        <v>2.234</v>
      </c>
      <c r="Q1575" s="5">
        <v>2.3639999999999999</v>
      </c>
      <c r="R1575" s="5">
        <v>0.85950000000000004</v>
      </c>
      <c r="S1575" s="5">
        <v>1.1149</v>
      </c>
      <c r="T1575" s="5">
        <v>0.1234</v>
      </c>
      <c r="U1575" s="5">
        <v>2.4400000000000002E-2</v>
      </c>
      <c r="V1575" s="4">
        <v>133</v>
      </c>
      <c r="W1575" s="4">
        <v>2</v>
      </c>
      <c r="X1575" s="5">
        <v>2.54</v>
      </c>
      <c r="Y1575" s="5">
        <v>2.2000000000000002</v>
      </c>
      <c r="Z1575" s="6">
        <v>1000</v>
      </c>
      <c r="AA1575" s="6">
        <v>1000</v>
      </c>
      <c r="AB1575" s="4" t="s">
        <v>13</v>
      </c>
    </row>
    <row r="1576" spans="1:28">
      <c r="A1576" s="3" t="s">
        <v>160</v>
      </c>
      <c r="B1576" s="24" t="s">
        <v>2186</v>
      </c>
      <c r="C1576" s="26" t="s">
        <v>2187</v>
      </c>
      <c r="D1576" s="4">
        <v>47</v>
      </c>
      <c r="E1576" s="3" t="s">
        <v>172</v>
      </c>
      <c r="F1576" s="3" t="s">
        <v>2188</v>
      </c>
      <c r="G1576" s="4">
        <v>53.7</v>
      </c>
      <c r="H1576" s="3" t="s">
        <v>173</v>
      </c>
      <c r="I1576" s="3" t="s">
        <v>179</v>
      </c>
      <c r="J1576" s="4">
        <v>3</v>
      </c>
      <c r="K1576" s="4">
        <v>772.70609999999999</v>
      </c>
      <c r="L1576" s="4" t="str">
        <f>HYPERLINK("http://ms.phosphosite.org:5080/cgi-bin/plot-msms.cgi?MassType=1&amp;NumAxis=1&amp;Mod7=170&amp;Mod20=147&amp;Pep=VGSSNFRGGLGGGYGGASGMGGITAV&amp;Dta=/var/www/html/dta/yong/23612.14586.3.dta&amp;Global_Mod=CS57.0215", "14586")</f>
        <v>14586</v>
      </c>
      <c r="M1576" s="4" t="str">
        <f>HYPERLINK("http://ms.phosphosite.org:5080/cgi-bin/plot-msms.cgi?MassType=1&amp;NumAxis=1&amp;Mod7=170&amp;Mod20=147&amp;Pep=VGSSNFRGGLGGGYGGASGMGGITAV&amp;Dta=/var/www/html/dta/yong/23613.23828.3.dta&amp;Global_Mod=CS57.0215", "23828")</f>
        <v>23828</v>
      </c>
      <c r="N1576" s="5">
        <v>60.04</v>
      </c>
      <c r="O1576" s="5">
        <v>102.04</v>
      </c>
      <c r="P1576" s="5">
        <v>2.226</v>
      </c>
      <c r="Q1576" s="5">
        <v>2.798</v>
      </c>
      <c r="R1576" s="5">
        <v>0.17599999999999999</v>
      </c>
      <c r="S1576" s="5">
        <v>1.2802</v>
      </c>
      <c r="T1576" s="5">
        <v>0.1537</v>
      </c>
      <c r="U1576" s="5">
        <v>0.26190000000000002</v>
      </c>
      <c r="V1576" s="4">
        <v>2</v>
      </c>
      <c r="W1576" s="4">
        <v>18</v>
      </c>
      <c r="X1576" s="5">
        <v>2.78</v>
      </c>
      <c r="Y1576" s="5">
        <v>3.44</v>
      </c>
      <c r="Z1576" s="6">
        <v>1000</v>
      </c>
      <c r="AA1576" s="6">
        <v>1000</v>
      </c>
      <c r="AB1576" s="4" t="s">
        <v>13</v>
      </c>
    </row>
    <row r="1577" spans="1:28">
      <c r="A1577" s="3" t="s">
        <v>160</v>
      </c>
      <c r="B1577" s="24" t="s">
        <v>2186</v>
      </c>
      <c r="C1577" s="26" t="s">
        <v>2187</v>
      </c>
      <c r="D1577" s="4">
        <v>47</v>
      </c>
      <c r="E1577" s="3" t="s">
        <v>172</v>
      </c>
      <c r="F1577" s="3" t="s">
        <v>2188</v>
      </c>
      <c r="G1577" s="4">
        <v>53.7</v>
      </c>
      <c r="H1577" s="3" t="s">
        <v>173</v>
      </c>
      <c r="I1577" s="3" t="s">
        <v>179</v>
      </c>
      <c r="J1577" s="4">
        <v>3</v>
      </c>
      <c r="K1577" s="4">
        <v>772.70609999999999</v>
      </c>
      <c r="L1577" s="4" t="str">
        <f>HYPERLINK("http://ms.phosphosite.org:5080/cgi-bin/plot-msms.cgi?MassType=1&amp;NumAxis=1&amp;Mod7=170&amp;Mod20=147&amp;Pep=VGSSNFRGGLGGGYGGASGMGGITAV&amp;Dta=/var/www/html/dta/yong/23612.24795.3.dta&amp;Global_Mod=CS57.0215", "24795")</f>
        <v>24795</v>
      </c>
      <c r="M1577" s="4" t="str">
        <f>HYPERLINK("http://ms.phosphosite.org:5080/cgi-bin/plot-msms.cgi?MassType=1&amp;NumAxis=1&amp;Mod7=170&amp;Mod20=147&amp;Pep=VGSSNFRGGLGGGYGGASGMGGITAV&amp;Dta=/var/www/html/dta/yong/23613.12954.3.dta&amp;Global_Mod=CS57.0215", "12954")</f>
        <v>12954</v>
      </c>
      <c r="N1577" s="5">
        <v>108.52</v>
      </c>
      <c r="O1577" s="5">
        <v>53.76</v>
      </c>
      <c r="P1577" s="5">
        <v>2.4460000000000002</v>
      </c>
      <c r="Q1577" s="5">
        <v>1.843</v>
      </c>
      <c r="R1577" s="5">
        <v>0.60040000000000004</v>
      </c>
      <c r="S1577" s="5">
        <v>0.55610000000000004</v>
      </c>
      <c r="T1577" s="5">
        <v>4.7E-2</v>
      </c>
      <c r="U1577" s="5">
        <v>2.92E-2</v>
      </c>
      <c r="V1577" s="4">
        <v>42</v>
      </c>
      <c r="W1577" s="4">
        <v>9</v>
      </c>
      <c r="X1577" s="5">
        <v>2.27</v>
      </c>
      <c r="Y1577" s="5">
        <v>2.14</v>
      </c>
      <c r="Z1577" s="6">
        <v>1000</v>
      </c>
      <c r="AA1577" s="6">
        <v>1000</v>
      </c>
      <c r="AB1577" s="4" t="s">
        <v>13</v>
      </c>
    </row>
    <row r="1578" spans="1:28">
      <c r="A1578" s="3" t="s">
        <v>160</v>
      </c>
      <c r="B1578" s="24" t="s">
        <v>2186</v>
      </c>
      <c r="C1578" s="26" t="s">
        <v>2187</v>
      </c>
      <c r="D1578" s="4">
        <v>47</v>
      </c>
      <c r="E1578" s="3" t="s">
        <v>172</v>
      </c>
      <c r="F1578" s="3" t="s">
        <v>2188</v>
      </c>
      <c r="G1578" s="4">
        <v>53.7</v>
      </c>
      <c r="H1578" s="3" t="s">
        <v>173</v>
      </c>
      <c r="I1578" s="3" t="s">
        <v>179</v>
      </c>
      <c r="J1578" s="4">
        <v>3</v>
      </c>
      <c r="K1578" s="4">
        <v>772.70609999999999</v>
      </c>
      <c r="L1578" s="4" t="str">
        <f>HYPERLINK("http://ms.phosphosite.org:5080/cgi-bin/plot-msms.cgi?MassType=1&amp;NumAxis=1&amp;Mod7=170&amp;Mod20=147&amp;Pep=VGSSNFRGGLGGGYGGASGMGGITAV&amp;Dta=/var/www/html/dta/yong/23612.12865.3.dta&amp;Global_Mod=CS57.0215", "12865")</f>
        <v>12865</v>
      </c>
      <c r="M1578" s="4" t="str">
        <f>HYPERLINK("http://ms.phosphosite.org:5080/cgi-bin/plot-msms.cgi?MassType=1&amp;NumAxis=1&amp;Mod7=170&amp;Mod20=147&amp;Pep=VGSSNFRGGLGGGYGGASGMGGITAV&amp;Dta=/var/www/html/dta/yong/23613.23414.3.dta&amp;Global_Mod=CS57.0215", "23414")</f>
        <v>23414</v>
      </c>
      <c r="N1578" s="5">
        <v>53.77</v>
      </c>
      <c r="O1578" s="5">
        <v>99.97</v>
      </c>
      <c r="P1578" s="5">
        <v>2.74</v>
      </c>
      <c r="Q1578" s="5">
        <v>2.6419999999999999</v>
      </c>
      <c r="R1578" s="5">
        <v>0.73550000000000004</v>
      </c>
      <c r="S1578" s="5">
        <v>1.1676</v>
      </c>
      <c r="T1578" s="5">
        <v>0.21879999999999999</v>
      </c>
      <c r="U1578" s="5">
        <v>0.22969999999999999</v>
      </c>
      <c r="V1578" s="4">
        <v>1</v>
      </c>
      <c r="W1578" s="4">
        <v>173</v>
      </c>
      <c r="X1578" s="5">
        <v>3.2</v>
      </c>
      <c r="Y1578" s="5">
        <v>3.18</v>
      </c>
      <c r="Z1578" s="6">
        <v>1000</v>
      </c>
      <c r="AA1578" s="6">
        <v>1000</v>
      </c>
      <c r="AB1578" s="4" t="s">
        <v>13</v>
      </c>
    </row>
    <row r="1579" spans="1:28">
      <c r="A1579" s="3" t="s">
        <v>160</v>
      </c>
      <c r="B1579" s="24" t="s">
        <v>2186</v>
      </c>
      <c r="C1579" s="26" t="s">
        <v>2187</v>
      </c>
      <c r="D1579" s="4">
        <v>47</v>
      </c>
      <c r="E1579" s="3" t="s">
        <v>172</v>
      </c>
      <c r="F1579" s="3" t="s">
        <v>2188</v>
      </c>
      <c r="G1579" s="4">
        <v>53.7</v>
      </c>
      <c r="H1579" s="3" t="s">
        <v>173</v>
      </c>
      <c r="I1579" s="3" t="s">
        <v>179</v>
      </c>
      <c r="J1579" s="4">
        <v>3</v>
      </c>
      <c r="K1579" s="4">
        <v>772.70609999999999</v>
      </c>
      <c r="L1579" s="4" t="str">
        <f>HYPERLINK("http://ms.phosphosite.org:5080/cgi-bin/plot-msms.cgi?MassType=1&amp;NumAxis=1&amp;Mod7=170&amp;Mod20=147&amp;Pep=VGSSNFRGGLGGGYGGASGMGGITAV&amp;Dta=/var/www/html/dta/yong/23612.22676.3.dta&amp;Global_Mod=CS57.0215", "22676")</f>
        <v>22676</v>
      </c>
      <c r="M1579" s="4" t="str">
        <f>HYPERLINK("http://ms.phosphosite.org:5080/cgi-bin/plot-msms.cgi?MassType=1&amp;NumAxis=1&amp;Mod7=170&amp;Mod20=147&amp;Pep=VGSSNFRGGLGGGYGGASGMGGITAV&amp;Dta=/var/www/html/dta/yong/23613.17119.3.dta&amp;Global_Mod=CS57.0215", "17119")</f>
        <v>17119</v>
      </c>
      <c r="N1579" s="5">
        <v>96.61</v>
      </c>
      <c r="O1579" s="5">
        <v>69.89</v>
      </c>
      <c r="P1579" s="5">
        <v>1.9590000000000001</v>
      </c>
      <c r="Q1579" s="5">
        <v>2.786</v>
      </c>
      <c r="R1579" s="5">
        <v>0.7208</v>
      </c>
      <c r="S1579" s="5">
        <v>0.55969999999999998</v>
      </c>
      <c r="T1579" s="5">
        <v>0.11749999999999999</v>
      </c>
      <c r="U1579" s="5">
        <v>4.7199999999999999E-2</v>
      </c>
      <c r="V1579" s="4">
        <v>270</v>
      </c>
      <c r="W1579" s="4">
        <v>3</v>
      </c>
      <c r="X1579" s="5">
        <v>2.38</v>
      </c>
      <c r="Y1579" s="5">
        <v>2.4300000000000002</v>
      </c>
      <c r="Z1579" s="6">
        <v>1000</v>
      </c>
      <c r="AA1579" s="6">
        <v>1000</v>
      </c>
      <c r="AB1579" s="4" t="s">
        <v>13</v>
      </c>
    </row>
    <row r="1580" spans="1:28">
      <c r="A1580" s="3" t="s">
        <v>160</v>
      </c>
      <c r="B1580" s="24" t="s">
        <v>2186</v>
      </c>
      <c r="C1580" s="26" t="s">
        <v>2187</v>
      </c>
      <c r="D1580" s="4">
        <v>47</v>
      </c>
      <c r="E1580" s="3" t="s">
        <v>172</v>
      </c>
      <c r="F1580" s="3" t="s">
        <v>2188</v>
      </c>
      <c r="G1580" s="4">
        <v>53.7</v>
      </c>
      <c r="H1580" s="3" t="s">
        <v>173</v>
      </c>
      <c r="I1580" s="3" t="s">
        <v>179</v>
      </c>
      <c r="J1580" s="4">
        <v>3</v>
      </c>
      <c r="K1580" s="4">
        <v>772.70609999999999</v>
      </c>
      <c r="L1580" s="4" t="str">
        <f>HYPERLINK("http://ms.phosphosite.org:5080/cgi-bin/plot-msms.cgi?MassType=1&amp;NumAxis=1&amp;Mod7=170&amp;Mod20=147&amp;Pep=VGSSNFRGGLGGGYGGASGMGGITAV&amp;Dta=/var/www/html/dta/yong/23612.14986.3.dta&amp;Global_Mod=CS57.0215", "14986")</f>
        <v>14986</v>
      </c>
      <c r="M1580" s="4" t="str">
        <f>HYPERLINK("http://ms.phosphosite.org:5080/cgi-bin/plot-msms.cgi?MassType=1&amp;NumAxis=1&amp;Mod7=170&amp;Mod20=147&amp;Pep=VGSSNFRGGLGGGYGGASGMGGITAV&amp;Dta=/var/www/html/dta/yong/23613.21339.3.dta&amp;Global_Mod=CS57.0215", "21339")</f>
        <v>21339</v>
      </c>
      <c r="N1580" s="5">
        <v>61.61</v>
      </c>
      <c r="O1580" s="5">
        <v>89.43</v>
      </c>
      <c r="P1580" s="5">
        <v>2.1230000000000002</v>
      </c>
      <c r="Q1580" s="5">
        <v>2.0409999999999999</v>
      </c>
      <c r="R1580" s="5">
        <v>-0.1108</v>
      </c>
      <c r="S1580" s="5">
        <v>1.085</v>
      </c>
      <c r="T1580" s="5">
        <v>9.1300000000000006E-2</v>
      </c>
      <c r="U1580" s="5">
        <v>1.95E-2</v>
      </c>
      <c r="V1580" s="4">
        <v>81</v>
      </c>
      <c r="W1580" s="4">
        <v>280</v>
      </c>
      <c r="X1580" s="5">
        <v>2.39</v>
      </c>
      <c r="Y1580" s="5">
        <v>1.96</v>
      </c>
      <c r="Z1580" s="6">
        <v>1000</v>
      </c>
      <c r="AA1580" s="6">
        <v>1000</v>
      </c>
      <c r="AB1580" s="4" t="s">
        <v>13</v>
      </c>
    </row>
    <row r="1581" spans="1:28">
      <c r="A1581" s="3" t="s">
        <v>160</v>
      </c>
      <c r="B1581" s="24" t="s">
        <v>2186</v>
      </c>
      <c r="C1581" s="26" t="s">
        <v>2187</v>
      </c>
      <c r="D1581" s="4">
        <v>47</v>
      </c>
      <c r="E1581" s="3" t="s">
        <v>172</v>
      </c>
      <c r="F1581" s="3" t="s">
        <v>2188</v>
      </c>
      <c r="G1581" s="4">
        <v>53.7</v>
      </c>
      <c r="H1581" s="3" t="s">
        <v>173</v>
      </c>
      <c r="I1581" s="3" t="s">
        <v>179</v>
      </c>
      <c r="J1581" s="4">
        <v>3</v>
      </c>
      <c r="K1581" s="4">
        <v>772.70609999999999</v>
      </c>
      <c r="L1581" s="4" t="str">
        <f>HYPERLINK("http://ms.phosphosite.org:5080/cgi-bin/plot-msms.cgi?MassType=1&amp;NumAxis=1&amp;Mod7=170&amp;Mod20=147&amp;Pep=VGSSNFRGGLGGGYGGASGMGGITAV&amp;Dta=/var/www/html/dta/yong/23612.22736.3.dta&amp;Global_Mod=CS57.0215", "22736")</f>
        <v>22736</v>
      </c>
      <c r="M1581" s="4" t="str">
        <f>HYPERLINK("http://ms.phosphosite.org:5080/cgi-bin/plot-msms.cgi?MassType=1&amp;NumAxis=1&amp;Mod7=170&amp;Mod20=147&amp;Pep=VGSSNFRGGLGGGYGGASGMGGITAV&amp;Dta=/var/www/html/dta/yong/23613.12534.3.dta&amp;Global_Mod=CS57.0215", "12534")</f>
        <v>12534</v>
      </c>
      <c r="N1581" s="5">
        <v>96.92</v>
      </c>
      <c r="O1581" s="5">
        <v>52.32</v>
      </c>
      <c r="P1581" s="5">
        <v>1.9770000000000001</v>
      </c>
      <c r="Q1581" s="5">
        <v>1.8740000000000001</v>
      </c>
      <c r="R1581" s="5">
        <v>0.8226</v>
      </c>
      <c r="S1581" s="5">
        <v>0.65139999999999998</v>
      </c>
      <c r="T1581" s="5">
        <v>6.5000000000000002E-2</v>
      </c>
      <c r="U1581" s="5">
        <v>0.1113</v>
      </c>
      <c r="V1581" s="4">
        <v>135</v>
      </c>
      <c r="W1581" s="4">
        <v>3</v>
      </c>
      <c r="X1581" s="5">
        <v>2.2000000000000002</v>
      </c>
      <c r="Y1581" s="5">
        <v>2.5499999999999998</v>
      </c>
      <c r="Z1581" s="6">
        <v>1000</v>
      </c>
      <c r="AA1581" s="6">
        <v>1000</v>
      </c>
      <c r="AB1581" s="4" t="s">
        <v>13</v>
      </c>
    </row>
    <row r="1582" spans="1:28">
      <c r="A1582" s="3" t="s">
        <v>160</v>
      </c>
      <c r="B1582" s="24" t="s">
        <v>2186</v>
      </c>
      <c r="C1582" s="26" t="s">
        <v>2187</v>
      </c>
      <c r="D1582" s="4">
        <v>47</v>
      </c>
      <c r="E1582" s="3" t="s">
        <v>172</v>
      </c>
      <c r="F1582" s="3" t="s">
        <v>2188</v>
      </c>
      <c r="G1582" s="4">
        <v>53.7</v>
      </c>
      <c r="H1582" s="3" t="s">
        <v>173</v>
      </c>
      <c r="I1582" s="3" t="s">
        <v>179</v>
      </c>
      <c r="J1582" s="4">
        <v>3</v>
      </c>
      <c r="K1582" s="4">
        <v>772.70609999999999</v>
      </c>
      <c r="L1582" s="4" t="str">
        <f>HYPERLINK("http://ms.phosphosite.org:5080/cgi-bin/plot-msms.cgi?MassType=1&amp;NumAxis=1&amp;Mod7=170&amp;Mod20=147&amp;Pep=VGSSNFRGGLGGGYGGASGMGGITAV&amp;Dta=/var/www/html/dta/yong/23612.22885.3.dta&amp;Global_Mod=CS57.0215", "22885")</f>
        <v>22885</v>
      </c>
      <c r="M1582" s="4"/>
      <c r="N1582" s="5">
        <v>97.68</v>
      </c>
      <c r="O1582" s="5"/>
      <c r="P1582" s="5">
        <v>2.13</v>
      </c>
      <c r="Q1582" s="5"/>
      <c r="R1582" s="5">
        <v>0.77510000000000001</v>
      </c>
      <c r="S1582" s="5"/>
      <c r="T1582" s="5">
        <v>0.1011</v>
      </c>
      <c r="U1582" s="5"/>
      <c r="V1582" s="4">
        <v>21</v>
      </c>
      <c r="W1582" s="4"/>
      <c r="X1582" s="5">
        <v>2.48</v>
      </c>
      <c r="Y1582" s="5"/>
      <c r="Z1582" s="6">
        <v>1000</v>
      </c>
      <c r="AA1582" s="6"/>
      <c r="AB1582" s="4" t="s">
        <v>13</v>
      </c>
    </row>
    <row r="1583" spans="1:28">
      <c r="A1583" s="3" t="s">
        <v>160</v>
      </c>
      <c r="B1583" s="24" t="s">
        <v>2186</v>
      </c>
      <c r="C1583" s="26" t="s">
        <v>2187</v>
      </c>
      <c r="D1583" s="4">
        <v>47</v>
      </c>
      <c r="E1583" s="3" t="s">
        <v>172</v>
      </c>
      <c r="F1583" s="3" t="s">
        <v>2188</v>
      </c>
      <c r="G1583" s="4">
        <v>53.7</v>
      </c>
      <c r="H1583" s="3" t="s">
        <v>173</v>
      </c>
      <c r="I1583" s="3" t="s">
        <v>179</v>
      </c>
      <c r="J1583" s="4">
        <v>3</v>
      </c>
      <c r="K1583" s="4">
        <v>772.70609999999999</v>
      </c>
      <c r="L1583" s="4" t="str">
        <f>HYPERLINK("http://ms.phosphosite.org:5080/cgi-bin/plot-msms.cgi?MassType=1&amp;NumAxis=1&amp;Mod7=170&amp;Mod20=147&amp;Pep=VGSSNFRGGLGGGYGGASGMGGITAV&amp;Dta=/var/www/html/dta/yong/23612.20794.3.dta&amp;Global_Mod=CS57.0215", "20794")</f>
        <v>20794</v>
      </c>
      <c r="M1583" s="4"/>
      <c r="N1583" s="5">
        <v>87.24</v>
      </c>
      <c r="O1583" s="5"/>
      <c r="P1583" s="5">
        <v>2.2869999999999999</v>
      </c>
      <c r="Q1583" s="5"/>
      <c r="R1583" s="5">
        <v>1.147</v>
      </c>
      <c r="S1583" s="5"/>
      <c r="T1583" s="5">
        <v>1.4E-3</v>
      </c>
      <c r="U1583" s="5"/>
      <c r="V1583" s="4">
        <v>18</v>
      </c>
      <c r="W1583" s="4"/>
      <c r="X1583" s="5">
        <v>2</v>
      </c>
      <c r="Y1583" s="5"/>
      <c r="Z1583" s="6">
        <v>1000</v>
      </c>
      <c r="AA1583" s="6"/>
      <c r="AB1583" s="4" t="s">
        <v>13</v>
      </c>
    </row>
    <row r="1584" spans="1:28">
      <c r="A1584" s="3" t="s">
        <v>160</v>
      </c>
      <c r="B1584" s="24" t="s">
        <v>2186</v>
      </c>
      <c r="C1584" s="26" t="s">
        <v>2187</v>
      </c>
      <c r="D1584" s="4">
        <v>47</v>
      </c>
      <c r="E1584" s="3" t="s">
        <v>172</v>
      </c>
      <c r="F1584" s="3" t="s">
        <v>2188</v>
      </c>
      <c r="G1584" s="4">
        <v>53.7</v>
      </c>
      <c r="H1584" s="3" t="s">
        <v>173</v>
      </c>
      <c r="I1584" s="3" t="s">
        <v>179</v>
      </c>
      <c r="J1584" s="4">
        <v>3</v>
      </c>
      <c r="K1584" s="4">
        <v>772.70609999999999</v>
      </c>
      <c r="L1584" s="4" t="str">
        <f>HYPERLINK("http://ms.phosphosite.org:5080/cgi-bin/plot-msms.cgi?MassType=1&amp;NumAxis=1&amp;Mod7=170&amp;Mod20=147&amp;Pep=VGSSNFRGGLGGGYGGASGMGGITAV&amp;Dta=/var/www/html/dta/yong/23612.18645.3.dta&amp;Global_Mod=CS57.0215", "18645")</f>
        <v>18645</v>
      </c>
      <c r="M1584" s="4"/>
      <c r="N1584" s="5">
        <v>77.069999999999993</v>
      </c>
      <c r="O1584" s="5"/>
      <c r="P1584" s="5">
        <v>2.137</v>
      </c>
      <c r="Q1584" s="5"/>
      <c r="R1584" s="5">
        <v>0.9375</v>
      </c>
      <c r="S1584" s="5"/>
      <c r="T1584" s="5">
        <v>0.1978</v>
      </c>
      <c r="U1584" s="5"/>
      <c r="V1584" s="4">
        <v>282</v>
      </c>
      <c r="W1584" s="4"/>
      <c r="X1584" s="5">
        <v>2.79</v>
      </c>
      <c r="Y1584" s="5"/>
      <c r="Z1584" s="6">
        <v>1000</v>
      </c>
      <c r="AA1584" s="6"/>
      <c r="AB1584" s="4" t="s">
        <v>13</v>
      </c>
    </row>
    <row r="1585" spans="1:28">
      <c r="A1585" s="3" t="s">
        <v>160</v>
      </c>
      <c r="B1585" s="24" t="s">
        <v>2186</v>
      </c>
      <c r="C1585" s="26" t="s">
        <v>2187</v>
      </c>
      <c r="D1585" s="4">
        <v>47</v>
      </c>
      <c r="E1585" s="3" t="s">
        <v>172</v>
      </c>
      <c r="F1585" s="3" t="s">
        <v>2188</v>
      </c>
      <c r="G1585" s="4">
        <v>53.7</v>
      </c>
      <c r="H1585" s="3" t="s">
        <v>173</v>
      </c>
      <c r="I1585" s="3" t="s">
        <v>2214</v>
      </c>
      <c r="J1585" s="4">
        <v>3</v>
      </c>
      <c r="K1585" s="4">
        <v>806.38869999999997</v>
      </c>
      <c r="L1585" s="4" t="str">
        <f>HYPERLINK("http://ms.phosphosite.org:5080/cgi-bin/plot-msms.cgi?MassType=1&amp;NumAxis=1&amp;Mod7=170&amp;Mod20=147&amp;Pep=VGSSNFRGGLGGGYGGASGMGGITAVT&amp;Dta=/var/www/html/dta/yong/23612.11737.3.dta&amp;Global_Mod=CS57.0215", "11737")</f>
        <v>11737</v>
      </c>
      <c r="M1585" s="4" t="str">
        <f>HYPERLINK("http://ms.phosphosite.org:5080/cgi-bin/plot-msms.cgi?MassType=1&amp;NumAxis=1&amp;Mod7=170&amp;Mod20=147&amp;Pep=VGSSNFRGGLGGGYGGASGMGGITAVT&amp;Dta=/var/www/html/dta/yong/23613.11835.3.dta&amp;Global_Mod=CS57.0215", "11835")</f>
        <v>11835</v>
      </c>
      <c r="N1585" s="5">
        <v>49.95</v>
      </c>
      <c r="O1585" s="5">
        <v>49.96</v>
      </c>
      <c r="P1585" s="5">
        <v>1.9810000000000001</v>
      </c>
      <c r="Q1585" s="5">
        <v>2.5950000000000002</v>
      </c>
      <c r="R1585" s="5">
        <v>-1.6832</v>
      </c>
      <c r="S1585" s="5">
        <v>-1.107</v>
      </c>
      <c r="T1585" s="5">
        <v>0.19339999999999999</v>
      </c>
      <c r="U1585" s="5">
        <v>5.2400000000000002E-2</v>
      </c>
      <c r="V1585" s="4">
        <v>542</v>
      </c>
      <c r="W1585" s="4">
        <v>87</v>
      </c>
      <c r="X1585" s="5">
        <v>2.48</v>
      </c>
      <c r="Y1585" s="5">
        <v>2.2799999999999998</v>
      </c>
      <c r="Z1585" s="6">
        <v>1000</v>
      </c>
      <c r="AA1585" s="6">
        <v>1000</v>
      </c>
      <c r="AB1585" s="4" t="s">
        <v>13</v>
      </c>
    </row>
    <row r="1586" spans="1:28">
      <c r="A1586" s="3" t="s">
        <v>160</v>
      </c>
      <c r="B1586" s="24" t="s">
        <v>2186</v>
      </c>
      <c r="C1586" s="26" t="s">
        <v>2187</v>
      </c>
      <c r="D1586" s="4">
        <v>47</v>
      </c>
      <c r="E1586" s="3" t="s">
        <v>172</v>
      </c>
      <c r="F1586" s="3" t="s">
        <v>2188</v>
      </c>
      <c r="G1586" s="4">
        <v>53.7</v>
      </c>
      <c r="H1586" s="3" t="s">
        <v>173</v>
      </c>
      <c r="I1586" s="3" t="s">
        <v>2215</v>
      </c>
      <c r="J1586" s="4">
        <v>2</v>
      </c>
      <c r="K1586" s="4">
        <v>1258.6134999999999</v>
      </c>
      <c r="L1586" s="4" t="str">
        <f>HYPERLINK("http://ms.phosphosite.org:5080/cgi-bin/plot-msms.cgi?MassType=1&amp;NumAxis=1&amp;Mod7=170&amp;Mod20=147&amp;Pep=VGSSNFRGGLGGGYGGASGMGGITAVTV&amp;Dta=/var/www/html/dta/yong/23612.13607.2.dta&amp;Global_Mod=CS57.0215", "13607")</f>
        <v>13607</v>
      </c>
      <c r="M1586" s="4" t="str">
        <f>HYPERLINK("http://ms.phosphosite.org:5080/cgi-bin/plot-msms.cgi?MassType=1&amp;NumAxis=1&amp;Mod7=170&amp;Mod20=147&amp;Pep=VGSSNFRGGLGGGYGGASGMGGITAVTV&amp;Dta=/var/www/html/dta/yong/23613.13712.2.dta&amp;Global_Mod=CS57.0215", "13712")</f>
        <v>13712</v>
      </c>
      <c r="N1586" s="5">
        <v>56.44</v>
      </c>
      <c r="O1586" s="5">
        <v>56.48</v>
      </c>
      <c r="P1586" s="5">
        <v>4.3</v>
      </c>
      <c r="Q1586" s="5">
        <v>4.0190000000000001</v>
      </c>
      <c r="R1586" s="5">
        <v>1.5448999999999999</v>
      </c>
      <c r="S1586" s="5">
        <v>1.3409</v>
      </c>
      <c r="T1586" s="5">
        <v>0.51929999999999998</v>
      </c>
      <c r="U1586" s="5">
        <v>0.47410000000000002</v>
      </c>
      <c r="V1586" s="4">
        <v>1</v>
      </c>
      <c r="W1586" s="4">
        <v>1</v>
      </c>
      <c r="X1586" s="5">
        <v>4.8600000000000003</v>
      </c>
      <c r="Y1586" s="5">
        <v>4.68</v>
      </c>
      <c r="Z1586" s="6">
        <v>1000</v>
      </c>
      <c r="AA1586" s="6">
        <v>1000</v>
      </c>
      <c r="AB1586" s="4" t="s">
        <v>13</v>
      </c>
    </row>
    <row r="1587" spans="1:28">
      <c r="A1587" s="3" t="s">
        <v>160</v>
      </c>
      <c r="B1587" s="24" t="s">
        <v>2186</v>
      </c>
      <c r="C1587" s="26" t="s">
        <v>2187</v>
      </c>
      <c r="D1587" s="4">
        <v>47</v>
      </c>
      <c r="E1587" s="3" t="s">
        <v>172</v>
      </c>
      <c r="F1587" s="3" t="s">
        <v>2188</v>
      </c>
      <c r="G1587" s="4">
        <v>53.7</v>
      </c>
      <c r="H1587" s="3" t="s">
        <v>173</v>
      </c>
      <c r="I1587" s="3" t="s">
        <v>2215</v>
      </c>
      <c r="J1587" s="4">
        <v>2</v>
      </c>
      <c r="K1587" s="4">
        <v>1258.6134999999999</v>
      </c>
      <c r="L1587" s="4"/>
      <c r="M1587" s="4" t="str">
        <f>HYPERLINK("http://ms.phosphosite.org:5080/cgi-bin/plot-msms.cgi?MassType=1&amp;NumAxis=1&amp;Mod7=170&amp;Mod20=147&amp;Pep=VGSSNFRGGLGGGYGGASGMGGITAVTV&amp;Dta=/var/www/html/dta/yong/23613.13706.2.dta&amp;Global_Mod=CS57.0215", "13706")</f>
        <v>13706</v>
      </c>
      <c r="N1587" s="5"/>
      <c r="O1587" s="5">
        <v>56.46</v>
      </c>
      <c r="P1587" s="5"/>
      <c r="Q1587" s="5">
        <v>4.6719999999999997</v>
      </c>
      <c r="R1587" s="5"/>
      <c r="S1587" s="5">
        <v>1.2911999999999999</v>
      </c>
      <c r="T1587" s="5"/>
      <c r="U1587" s="5">
        <v>0.46729999999999999</v>
      </c>
      <c r="V1587" s="4"/>
      <c r="W1587" s="4">
        <v>1</v>
      </c>
      <c r="X1587" s="5"/>
      <c r="Y1587" s="5">
        <v>4.78</v>
      </c>
      <c r="Z1587" s="6"/>
      <c r="AA1587" s="6">
        <v>1000</v>
      </c>
      <c r="AB1587" s="4" t="s">
        <v>13</v>
      </c>
    </row>
    <row r="1588" spans="1:28">
      <c r="A1588" s="3" t="s">
        <v>160</v>
      </c>
      <c r="B1588" s="24" t="s">
        <v>2186</v>
      </c>
      <c r="C1588" s="26" t="s">
        <v>2187</v>
      </c>
      <c r="D1588" s="4">
        <v>47</v>
      </c>
      <c r="E1588" s="3" t="s">
        <v>172</v>
      </c>
      <c r="F1588" s="3" t="s">
        <v>2188</v>
      </c>
      <c r="G1588" s="4">
        <v>53.7</v>
      </c>
      <c r="H1588" s="3" t="s">
        <v>173</v>
      </c>
      <c r="I1588" s="3" t="s">
        <v>2215</v>
      </c>
      <c r="J1588" s="4">
        <v>3</v>
      </c>
      <c r="K1588" s="4">
        <v>839.41150000000005</v>
      </c>
      <c r="L1588" s="4" t="str">
        <f>HYPERLINK("http://ms.phosphosite.org:5080/cgi-bin/plot-msms.cgi?MassType=1&amp;NumAxis=1&amp;Mod7=170&amp;Mod20=147&amp;Pep=VGSSNFRGGLGGGYGGASGMGGITAVTV&amp;Dta=/var/www/html/dta/yong/23612.13598.3.dta&amp;Global_Mod=CS57.0215", "13598")</f>
        <v>13598</v>
      </c>
      <c r="M1588" s="4"/>
      <c r="N1588" s="5">
        <v>56.42</v>
      </c>
      <c r="O1588" s="5"/>
      <c r="P1588" s="5">
        <v>1.7390000000000001</v>
      </c>
      <c r="Q1588" s="5"/>
      <c r="R1588" s="5">
        <v>0.76680000000000004</v>
      </c>
      <c r="S1588" s="5"/>
      <c r="T1588" s="5">
        <v>2.3999999999999998E-3</v>
      </c>
      <c r="U1588" s="5"/>
      <c r="V1588" s="4">
        <v>1</v>
      </c>
      <c r="W1588" s="4"/>
      <c r="X1588" s="5">
        <v>1.91</v>
      </c>
      <c r="Y1588" s="5"/>
      <c r="Z1588" s="6">
        <v>1000</v>
      </c>
      <c r="AA1588" s="6"/>
      <c r="AB1588" s="4" t="s">
        <v>13</v>
      </c>
    </row>
    <row r="1589" spans="1:28">
      <c r="A1589" s="3" t="s">
        <v>160</v>
      </c>
      <c r="B1589" s="24" t="s">
        <v>2186</v>
      </c>
      <c r="C1589" s="26" t="s">
        <v>2187</v>
      </c>
      <c r="D1589" s="4">
        <v>47</v>
      </c>
      <c r="E1589" s="3" t="s">
        <v>172</v>
      </c>
      <c r="F1589" s="3" t="s">
        <v>2188</v>
      </c>
      <c r="G1589" s="4">
        <v>53.7</v>
      </c>
      <c r="H1589" s="3" t="s">
        <v>173</v>
      </c>
      <c r="I1589" s="3" t="s">
        <v>2216</v>
      </c>
      <c r="J1589" s="4">
        <v>3</v>
      </c>
      <c r="K1589" s="4">
        <v>877.42579999999998</v>
      </c>
      <c r="L1589" s="4" t="str">
        <f>HYPERLINK("http://ms.phosphosite.org:5080/cgi-bin/plot-msms.cgi?MassType=1&amp;NumAxis=1&amp;Mod7=170&amp;Mod20=147&amp;Pep=VGSSNFRGGLGGGYGGASGMGGITAVTVN&amp;Dta=/var/www/html/dta/yong/23612.12369.3.dta&amp;Global_Mod=CS57.0215", "12369")</f>
        <v>12369</v>
      </c>
      <c r="M1589" s="4"/>
      <c r="N1589" s="5">
        <v>52.02</v>
      </c>
      <c r="O1589" s="5"/>
      <c r="P1589" s="5">
        <v>2.2120000000000002</v>
      </c>
      <c r="Q1589" s="5"/>
      <c r="R1589" s="5">
        <v>0.78839999999999999</v>
      </c>
      <c r="S1589" s="5"/>
      <c r="T1589" s="5">
        <v>0.1764</v>
      </c>
      <c r="U1589" s="5"/>
      <c r="V1589" s="4">
        <v>1</v>
      </c>
      <c r="W1589" s="4"/>
      <c r="X1589" s="5">
        <v>2.85</v>
      </c>
      <c r="Y1589" s="5"/>
      <c r="Z1589" s="6">
        <v>1000</v>
      </c>
      <c r="AA1589" s="6"/>
      <c r="AB1589" s="4" t="s">
        <v>13</v>
      </c>
    </row>
    <row r="1590" spans="1:28">
      <c r="A1590" s="3" t="s">
        <v>160</v>
      </c>
      <c r="B1590" s="24" t="s">
        <v>2186</v>
      </c>
      <c r="C1590" s="26" t="s">
        <v>2187</v>
      </c>
      <c r="D1590" s="4">
        <v>47</v>
      </c>
      <c r="E1590" s="3" t="s">
        <v>172</v>
      </c>
      <c r="F1590" s="3" t="s">
        <v>2188</v>
      </c>
      <c r="G1590" s="4">
        <v>53.7</v>
      </c>
      <c r="H1590" s="3" t="s">
        <v>173</v>
      </c>
      <c r="I1590" s="3" t="s">
        <v>2217</v>
      </c>
      <c r="J1590" s="4">
        <v>3</v>
      </c>
      <c r="K1590" s="4">
        <v>949.12260000000003</v>
      </c>
      <c r="L1590" s="4" t="str">
        <f>HYPERLINK("http://ms.phosphosite.org:5080/cgi-bin/plot-msms.cgi?MassType=1&amp;NumAxis=1&amp;Mod7=170&amp;Mod20=147&amp;Pep=VGSSNFRGGLGGGYGGASGMGGITAVTVNQS&amp;Dta=/var/www/html/dta/yong/23612.11953.3.dta&amp;Global_Mod=CS57.0215", "11953")</f>
        <v>11953</v>
      </c>
      <c r="M1590" s="4" t="str">
        <f>HYPERLINK("http://ms.phosphosite.org:5080/cgi-bin/plot-msms.cgi?MassType=1&amp;NumAxis=1&amp;Mod7=170&amp;Mod20=147&amp;Pep=VGSSNFRGGLGGGYGGASGMGGITAVTVNQS&amp;Dta=/var/www/html/dta/yong/23613.12065.3.dta&amp;Global_Mod=CS57.0215", "12065")</f>
        <v>12065</v>
      </c>
      <c r="N1590" s="5">
        <v>50.63</v>
      </c>
      <c r="O1590" s="5">
        <v>50.71</v>
      </c>
      <c r="P1590" s="5">
        <v>4.4039999999999999</v>
      </c>
      <c r="Q1590" s="5">
        <v>4.0990000000000002</v>
      </c>
      <c r="R1590" s="5">
        <v>1.1489</v>
      </c>
      <c r="S1590" s="5">
        <v>1.5179</v>
      </c>
      <c r="T1590" s="5">
        <v>0.42720000000000002</v>
      </c>
      <c r="U1590" s="5">
        <v>0.34910000000000002</v>
      </c>
      <c r="V1590" s="4">
        <v>1</v>
      </c>
      <c r="W1590" s="4">
        <v>1</v>
      </c>
      <c r="X1590" s="5">
        <v>4.47</v>
      </c>
      <c r="Y1590" s="5">
        <v>4.07</v>
      </c>
      <c r="Z1590" s="6">
        <v>1000</v>
      </c>
      <c r="AA1590" s="6">
        <v>1000</v>
      </c>
      <c r="AB1590" s="4" t="s">
        <v>13</v>
      </c>
    </row>
    <row r="1591" spans="1:28">
      <c r="A1591" s="3" t="s">
        <v>160</v>
      </c>
      <c r="B1591" s="24" t="s">
        <v>2186</v>
      </c>
      <c r="C1591" s="26" t="s">
        <v>2187</v>
      </c>
      <c r="D1591" s="4">
        <v>47</v>
      </c>
      <c r="E1591" s="3" t="s">
        <v>172</v>
      </c>
      <c r="F1591" s="3" t="s">
        <v>2188</v>
      </c>
      <c r="G1591" s="4">
        <v>53.7</v>
      </c>
      <c r="H1591" s="3" t="s">
        <v>173</v>
      </c>
      <c r="I1591" s="3" t="s">
        <v>2217</v>
      </c>
      <c r="J1591" s="4">
        <v>3</v>
      </c>
      <c r="K1591" s="4">
        <v>949.12260000000003</v>
      </c>
      <c r="L1591" s="4" t="str">
        <f>HYPERLINK("http://ms.phosphosite.org:5080/cgi-bin/plot-msms.cgi?MassType=1&amp;NumAxis=1&amp;Mod7=170&amp;Mod20=147&amp;Pep=VGSSNFRGGLGGGYGGASGMGGITAVTVNQS&amp;Dta=/var/www/html/dta/yong/23612.11892.3.dta&amp;Global_Mod=CS57.0215", "11892")</f>
        <v>11892</v>
      </c>
      <c r="M1591" s="4"/>
      <c r="N1591" s="5">
        <v>50.44</v>
      </c>
      <c r="O1591" s="5"/>
      <c r="P1591" s="5">
        <v>3.9889999999999999</v>
      </c>
      <c r="Q1591" s="5"/>
      <c r="R1591" s="5">
        <v>1.0812999999999999</v>
      </c>
      <c r="S1591" s="5"/>
      <c r="T1591" s="5">
        <v>0.40760000000000002</v>
      </c>
      <c r="U1591" s="5"/>
      <c r="V1591" s="4">
        <v>1</v>
      </c>
      <c r="W1591" s="4"/>
      <c r="X1591" s="5">
        <v>4.3</v>
      </c>
      <c r="Y1591" s="5"/>
      <c r="Z1591" s="6">
        <v>1000</v>
      </c>
      <c r="AA1591" s="6"/>
      <c r="AB1591" s="4" t="s">
        <v>13</v>
      </c>
    </row>
    <row r="1592" spans="1:28">
      <c r="A1592" s="3" t="s">
        <v>160</v>
      </c>
      <c r="B1592" s="24" t="s">
        <v>2186</v>
      </c>
      <c r="C1592" s="26" t="s">
        <v>2187</v>
      </c>
      <c r="D1592" s="4">
        <v>47</v>
      </c>
      <c r="E1592" s="3" t="s">
        <v>172</v>
      </c>
      <c r="F1592" s="3" t="s">
        <v>2188</v>
      </c>
      <c r="G1592" s="4">
        <v>53.7</v>
      </c>
      <c r="H1592" s="3" t="s">
        <v>173</v>
      </c>
      <c r="I1592" s="3" t="s">
        <v>2218</v>
      </c>
      <c r="J1592" s="4">
        <v>3</v>
      </c>
      <c r="K1592" s="4">
        <v>986.81730000000005</v>
      </c>
      <c r="L1592" s="4" t="str">
        <f>HYPERLINK("http://ms.phosphosite.org:5080/cgi-bin/plot-msms.cgi?MassType=1&amp;NumAxis=1&amp;Mod7=170&amp;Mod20=147&amp;Pep=VGSSNFRGGLGGGYGGASGMGGITAVTVNQSL&amp;Dta=/var/www/html/dta/yong/23612.14352.3.dta&amp;Global_Mod=CS57.0215", "14352")</f>
        <v>14352</v>
      </c>
      <c r="M1592" s="4" t="str">
        <f>HYPERLINK("http://ms.phosphosite.org:5080/cgi-bin/plot-msms.cgi?MassType=1&amp;NumAxis=1&amp;Mod7=170&amp;Mod20=147&amp;Pep=VGSSNFRGGLGGGYGGASGMGGITAVTVNQSL&amp;Dta=/var/www/html/dta/yong/23613.14430.3.dta&amp;Global_Mod=CS57.0215", "14430")</f>
        <v>14430</v>
      </c>
      <c r="N1592" s="5">
        <v>59.14</v>
      </c>
      <c r="O1592" s="5">
        <v>59.13</v>
      </c>
      <c r="P1592" s="5">
        <v>4.0810000000000004</v>
      </c>
      <c r="Q1592" s="5">
        <v>4.0469999999999997</v>
      </c>
      <c r="R1592" s="5">
        <v>1.3138000000000001</v>
      </c>
      <c r="S1592" s="5">
        <v>0.96150000000000002</v>
      </c>
      <c r="T1592" s="5">
        <v>0.33529999999999999</v>
      </c>
      <c r="U1592" s="5">
        <v>0.39879999999999999</v>
      </c>
      <c r="V1592" s="4">
        <v>1</v>
      </c>
      <c r="W1592" s="4">
        <v>1</v>
      </c>
      <c r="X1592" s="5">
        <v>3.93</v>
      </c>
      <c r="Y1592" s="5">
        <v>4.33</v>
      </c>
      <c r="Z1592" s="6">
        <v>1000</v>
      </c>
      <c r="AA1592" s="6">
        <v>1000</v>
      </c>
      <c r="AB1592" s="4" t="s">
        <v>13</v>
      </c>
    </row>
    <row r="1593" spans="1:28">
      <c r="A1593" s="3" t="s">
        <v>160</v>
      </c>
      <c r="B1593" s="24" t="s">
        <v>2186</v>
      </c>
      <c r="C1593" s="26" t="s">
        <v>2187</v>
      </c>
      <c r="D1593" s="4">
        <v>47</v>
      </c>
      <c r="E1593" s="3" t="s">
        <v>172</v>
      </c>
      <c r="F1593" s="3" t="s">
        <v>2188</v>
      </c>
      <c r="G1593" s="4">
        <v>53.7</v>
      </c>
      <c r="H1593" s="3" t="s">
        <v>173</v>
      </c>
      <c r="I1593" s="3" t="s">
        <v>2218</v>
      </c>
      <c r="J1593" s="4">
        <v>3</v>
      </c>
      <c r="K1593" s="4">
        <v>986.81730000000005</v>
      </c>
      <c r="L1593" s="4" t="str">
        <f>HYPERLINK("http://ms.phosphosite.org:5080/cgi-bin/plot-msms.cgi?MassType=1&amp;NumAxis=1&amp;Mod7=170&amp;Mod20=147&amp;Pep=VGSSNFRGGLGGGYGGASGMGGITAVTVNQSL&amp;Dta=/var/www/html/dta/yong/23612.14487.3.dta&amp;Global_Mod=CS57.0215", "14487")</f>
        <v>14487</v>
      </c>
      <c r="M1593" s="4"/>
      <c r="N1593" s="5">
        <v>59.64</v>
      </c>
      <c r="O1593" s="5"/>
      <c r="P1593" s="5">
        <v>4.165</v>
      </c>
      <c r="Q1593" s="5"/>
      <c r="R1593" s="5">
        <v>1.3658999999999999</v>
      </c>
      <c r="S1593" s="5"/>
      <c r="T1593" s="5">
        <v>0.3246</v>
      </c>
      <c r="U1593" s="5"/>
      <c r="V1593" s="4">
        <v>9</v>
      </c>
      <c r="W1593" s="4"/>
      <c r="X1593" s="5">
        <v>3.89</v>
      </c>
      <c r="Y1593" s="5"/>
      <c r="Z1593" s="6">
        <v>1000</v>
      </c>
      <c r="AA1593" s="6"/>
      <c r="AB1593" s="4" t="s">
        <v>13</v>
      </c>
    </row>
    <row r="1594" spans="1:28">
      <c r="A1594" s="3" t="s">
        <v>160</v>
      </c>
      <c r="B1594" s="24" t="s">
        <v>2186</v>
      </c>
      <c r="C1594" s="26" t="s">
        <v>2187</v>
      </c>
      <c r="D1594" s="4">
        <v>47</v>
      </c>
      <c r="E1594" s="3" t="s">
        <v>172</v>
      </c>
      <c r="F1594" s="3" t="s">
        <v>2188</v>
      </c>
      <c r="G1594" s="4">
        <v>53.7</v>
      </c>
      <c r="H1594" s="3" t="s">
        <v>173</v>
      </c>
      <c r="I1594" s="3" t="s">
        <v>2219</v>
      </c>
      <c r="J1594" s="4">
        <v>3</v>
      </c>
      <c r="K1594" s="4">
        <v>1024.5119999999999</v>
      </c>
      <c r="L1594" s="4" t="str">
        <f>HYPERLINK("http://ms.phosphosite.org:5080/cgi-bin/plot-msms.cgi?MassType=1&amp;NumAxis=1&amp;Mod7=170&amp;Mod20=147&amp;Pep=VGSSNFRGGLGGGYGGASGMGGITAVTVNQSLL&amp;Dta=/var/www/html/dta/yong/23612.16240.3.dta&amp;Global_Mod=CS57.0215", "16240")</f>
        <v>16240</v>
      </c>
      <c r="M1594" s="4" t="str">
        <f>HYPERLINK("http://ms.phosphosite.org:5080/cgi-bin/plot-msms.cgi?MassType=1&amp;NumAxis=1&amp;Mod7=170&amp;Mod20=147&amp;Pep=VGSSNFRGGLGGGYGGASGMGGITAVTVNQSLL&amp;Dta=/var/www/html/dta/yong/23613.16334.3.dta&amp;Global_Mod=CS57.0215", "16334")</f>
        <v>16334</v>
      </c>
      <c r="N1594" s="5">
        <v>66.61</v>
      </c>
      <c r="O1594" s="5">
        <v>66.62</v>
      </c>
      <c r="P1594" s="5">
        <v>3.31</v>
      </c>
      <c r="Q1594" s="5">
        <v>3.22</v>
      </c>
      <c r="R1594" s="5">
        <v>1.2396</v>
      </c>
      <c r="S1594" s="5">
        <v>0.84089999999999998</v>
      </c>
      <c r="T1594" s="5">
        <v>0.28970000000000001</v>
      </c>
      <c r="U1594" s="5">
        <v>0.28170000000000001</v>
      </c>
      <c r="V1594" s="4">
        <v>1</v>
      </c>
      <c r="W1594" s="4">
        <v>1</v>
      </c>
      <c r="X1594" s="5">
        <v>3.55</v>
      </c>
      <c r="Y1594" s="5">
        <v>3.57</v>
      </c>
      <c r="Z1594" s="6">
        <v>1000</v>
      </c>
      <c r="AA1594" s="6">
        <v>1000</v>
      </c>
      <c r="AB1594" s="4" t="s">
        <v>13</v>
      </c>
    </row>
    <row r="1595" spans="1:28">
      <c r="A1595" s="3" t="s">
        <v>160</v>
      </c>
      <c r="B1595" s="24" t="s">
        <v>2186</v>
      </c>
      <c r="C1595" s="26" t="s">
        <v>2187</v>
      </c>
      <c r="D1595" s="4">
        <v>47</v>
      </c>
      <c r="E1595" s="3" t="s">
        <v>172</v>
      </c>
      <c r="F1595" s="3" t="s">
        <v>2188</v>
      </c>
      <c r="G1595" s="4">
        <v>53.7</v>
      </c>
      <c r="H1595" s="3" t="s">
        <v>173</v>
      </c>
      <c r="I1595" s="3" t="s">
        <v>2219</v>
      </c>
      <c r="J1595" s="4">
        <v>3</v>
      </c>
      <c r="K1595" s="4">
        <v>1024.5119999999999</v>
      </c>
      <c r="L1595" s="4" t="str">
        <f>HYPERLINK("http://ms.phosphosite.org:5080/cgi-bin/plot-msms.cgi?MassType=1&amp;NumAxis=1&amp;Mod7=170&amp;Mod20=147&amp;Pep=VGSSNFRGGLGGGYGGASGMGGITAVTVNQSLL&amp;Dta=/var/www/html/dta/yong/23612.16257.3.dta&amp;Global_Mod=CS57.0215", "16257")</f>
        <v>16257</v>
      </c>
      <c r="M1595" s="4" t="str">
        <f>HYPERLINK("http://ms.phosphosite.org:5080/cgi-bin/plot-msms.cgi?MassType=1&amp;NumAxis=1&amp;Mod7=170&amp;Mod20=147&amp;Pep=VGSSNFRGGLGGGYGGASGMGGITAVTVNQSLL&amp;Dta=/var/www/html/dta/yong/23613.16316.3.dta&amp;Global_Mod=CS57.0215", "16316")</f>
        <v>16316</v>
      </c>
      <c r="N1595" s="5">
        <v>66.69</v>
      </c>
      <c r="O1595" s="5">
        <v>66.540000000000006</v>
      </c>
      <c r="P1595" s="5">
        <v>3.0910000000000002</v>
      </c>
      <c r="Q1595" s="5">
        <v>3.4470000000000001</v>
      </c>
      <c r="R1595" s="5">
        <v>1.3385</v>
      </c>
      <c r="S1595" s="5">
        <v>0.84089999999999998</v>
      </c>
      <c r="T1595" s="5">
        <v>0.29039999999999999</v>
      </c>
      <c r="U1595" s="5">
        <v>0.35039999999999999</v>
      </c>
      <c r="V1595" s="4">
        <v>1</v>
      </c>
      <c r="W1595" s="4">
        <v>1</v>
      </c>
      <c r="X1595" s="5">
        <v>3.51</v>
      </c>
      <c r="Y1595" s="5">
        <v>3.96</v>
      </c>
      <c r="Z1595" s="6">
        <v>1000</v>
      </c>
      <c r="AA1595" s="6">
        <v>1000</v>
      </c>
      <c r="AB1595" s="4" t="s">
        <v>13</v>
      </c>
    </row>
    <row r="1596" spans="1:28">
      <c r="A1596" s="3" t="s">
        <v>160</v>
      </c>
      <c r="B1596" s="24" t="s">
        <v>2186</v>
      </c>
      <c r="C1596" s="26" t="s">
        <v>2187</v>
      </c>
      <c r="D1596" s="4">
        <v>47</v>
      </c>
      <c r="E1596" s="3" t="s">
        <v>172</v>
      </c>
      <c r="F1596" s="3" t="s">
        <v>2188</v>
      </c>
      <c r="G1596" s="4">
        <v>53.7</v>
      </c>
      <c r="H1596" s="3" t="s">
        <v>173</v>
      </c>
      <c r="I1596" s="3" t="s">
        <v>2220</v>
      </c>
      <c r="J1596" s="4">
        <v>3</v>
      </c>
      <c r="K1596" s="4">
        <v>1123.5682999999999</v>
      </c>
      <c r="L1596" s="4" t="str">
        <f>HYPERLINK("http://ms.phosphosite.org:5080/cgi-bin/plot-msms.cgi?MassType=1&amp;NumAxis=1&amp;Mod7=170&amp;Mod20=147&amp;Pep=VGSSNFRGGLGGGYGGASGMGGITAVTVNQSLLSPL&amp;Dta=/var/www/html/dta/yong/23612.18131.3.dta&amp;Global_Mod=CS57.0215", "18131")</f>
        <v>18131</v>
      </c>
      <c r="M1596" s="4" t="str">
        <f>HYPERLINK("http://ms.phosphosite.org:5080/cgi-bin/plot-msms.cgi?MassType=1&amp;NumAxis=1&amp;Mod7=170&amp;Mod20=147&amp;Pep=VGSSNFRGGLGGGYGGASGMGGITAVTVNQSLLSPL&amp;Dta=/var/www/html/dta/yong/23613.18243.3.dta&amp;Global_Mod=CS57.0215", "18243")</f>
        <v>18243</v>
      </c>
      <c r="N1596" s="5">
        <v>74.760000000000005</v>
      </c>
      <c r="O1596" s="5">
        <v>74.819999999999993</v>
      </c>
      <c r="P1596" s="5">
        <v>4.1669999999999998</v>
      </c>
      <c r="Q1596" s="5">
        <v>3.5870000000000002</v>
      </c>
      <c r="R1596" s="5">
        <v>1.7644</v>
      </c>
      <c r="S1596" s="5">
        <v>1.8689</v>
      </c>
      <c r="T1596" s="5">
        <v>0.38269999999999998</v>
      </c>
      <c r="U1596" s="5">
        <v>0.38369999999999999</v>
      </c>
      <c r="V1596" s="4">
        <v>1</v>
      </c>
      <c r="W1596" s="4">
        <v>1</v>
      </c>
      <c r="X1596" s="5">
        <v>4.12</v>
      </c>
      <c r="Y1596" s="5">
        <v>4.0599999999999996</v>
      </c>
      <c r="Z1596" s="6">
        <v>1000</v>
      </c>
      <c r="AA1596" s="6">
        <v>1000</v>
      </c>
      <c r="AB1596" s="4" t="s">
        <v>13</v>
      </c>
    </row>
    <row r="1597" spans="1:28">
      <c r="A1597" s="3" t="s">
        <v>160</v>
      </c>
      <c r="B1597" s="24" t="s">
        <v>2186</v>
      </c>
      <c r="C1597" s="26" t="s">
        <v>2187</v>
      </c>
      <c r="D1597" s="4">
        <v>47</v>
      </c>
      <c r="E1597" s="3" t="s">
        <v>172</v>
      </c>
      <c r="F1597" s="3" t="s">
        <v>2188</v>
      </c>
      <c r="G1597" s="4">
        <v>53.7</v>
      </c>
      <c r="H1597" s="3" t="s">
        <v>173</v>
      </c>
      <c r="I1597" s="3" t="s">
        <v>2221</v>
      </c>
      <c r="J1597" s="4">
        <v>4</v>
      </c>
      <c r="K1597" s="4">
        <v>1176.3619000000001</v>
      </c>
      <c r="L1597" s="4" t="str">
        <f>HYPERLINK("http://ms.phosphosite.org:5080/cgi-bin/plot-msms.cgi?MassType=1&amp;NumAxis=1&amp;Mod7=170&amp;Mod20=147&amp;Pep=VGSSNFRGGLGGGYGGASGMGGITAVTVNQSLLSPLVLEVDPNIQAVR&amp;Dta=/var/www/html/dta/yong/23612.20418.4.dta&amp;Global_Mod=CS57.0215", "20418")</f>
        <v>20418</v>
      </c>
      <c r="M1597" s="4" t="str">
        <f>HYPERLINK("http://ms.phosphosite.org:5080/cgi-bin/plot-msms.cgi?MassType=1&amp;NumAxis=1&amp;Mod7=170&amp;Mod20=147&amp;Pep=VGSSNFRGGLGGGYGGASGMGGITAVTVNQSLLSPLVLEVDPNIQAVR&amp;Dta=/var/www/html/dta/yong/23613.20379.4.dta&amp;Global_Mod=CS57.0215", "20379")</f>
        <v>20379</v>
      </c>
      <c r="N1597" s="5">
        <v>85.41</v>
      </c>
      <c r="O1597" s="5">
        <v>84.81</v>
      </c>
      <c r="P1597" s="5">
        <v>2.915</v>
      </c>
      <c r="Q1597" s="5">
        <v>4.5279999999999996</v>
      </c>
      <c r="R1597" s="5">
        <v>1.1432</v>
      </c>
      <c r="S1597" s="5">
        <v>1.3036000000000001</v>
      </c>
      <c r="T1597" s="5">
        <v>6.3899999999999998E-2</v>
      </c>
      <c r="U1597" s="5">
        <v>0.31390000000000001</v>
      </c>
      <c r="V1597" s="4">
        <v>1</v>
      </c>
      <c r="W1597" s="4">
        <v>1</v>
      </c>
      <c r="X1597" s="5">
        <v>2.2599999999999998</v>
      </c>
      <c r="Y1597" s="5">
        <v>3.83</v>
      </c>
      <c r="Z1597" s="6">
        <v>1000</v>
      </c>
      <c r="AA1597" s="6">
        <v>1000</v>
      </c>
      <c r="AB1597" s="4" t="s">
        <v>13</v>
      </c>
    </row>
    <row r="1598" spans="1:28">
      <c r="A1598" s="3" t="s">
        <v>160</v>
      </c>
      <c r="B1598" s="24" t="s">
        <v>2186</v>
      </c>
      <c r="C1598" s="26" t="s">
        <v>2187</v>
      </c>
      <c r="D1598" s="4">
        <v>47</v>
      </c>
      <c r="E1598" s="3" t="s">
        <v>172</v>
      </c>
      <c r="F1598" s="3" t="s">
        <v>2188</v>
      </c>
      <c r="G1598" s="4">
        <v>53.7</v>
      </c>
      <c r="H1598" s="3" t="s">
        <v>173</v>
      </c>
      <c r="I1598" s="3" t="s">
        <v>2221</v>
      </c>
      <c r="J1598" s="4">
        <v>4</v>
      </c>
      <c r="K1598" s="4">
        <v>1176.3619000000001</v>
      </c>
      <c r="L1598" s="4" t="str">
        <f>HYPERLINK("http://ms.phosphosite.org:5080/cgi-bin/plot-msms.cgi?MassType=1&amp;NumAxis=1&amp;Mod7=170&amp;Mod20=147&amp;Pep=VGSSNFRGGLGGGYGGASGMGGITAVTVNQSLLSPLVLEVDPNIQAVR&amp;Dta=/var/www/html/dta/yong/23612.20398.4.dta&amp;Global_Mod=CS57.0215", "20398")</f>
        <v>20398</v>
      </c>
      <c r="M1598" s="4" t="str">
        <f>HYPERLINK("http://ms.phosphosite.org:5080/cgi-bin/plot-msms.cgi?MassType=1&amp;NumAxis=1&amp;Mod7=170&amp;Mod20=147&amp;Pep=VGSSNFRGGLGGGYGGASGMGGITAVTVNQSLLSPLVLEVDPNIQAVR&amp;Dta=/var/www/html/dta/yong/23613.20697.4.dta&amp;Global_Mod=CS57.0215", "20697")</f>
        <v>20697</v>
      </c>
      <c r="N1598" s="5">
        <v>85.32</v>
      </c>
      <c r="O1598" s="5">
        <v>86.32</v>
      </c>
      <c r="P1598" s="5">
        <v>2.3199999999999998</v>
      </c>
      <c r="Q1598" s="5">
        <v>2.8580000000000001</v>
      </c>
      <c r="R1598" s="5">
        <v>1.3021</v>
      </c>
      <c r="S1598" s="5">
        <v>-1.6592</v>
      </c>
      <c r="T1598" s="5">
        <v>3.9699999999999999E-2</v>
      </c>
      <c r="U1598" s="5">
        <v>3.0599999999999999E-2</v>
      </c>
      <c r="V1598" s="4">
        <v>1</v>
      </c>
      <c r="W1598" s="4">
        <v>227</v>
      </c>
      <c r="X1598" s="5">
        <v>2.0099999999999998</v>
      </c>
      <c r="Y1598" s="5">
        <v>1.91</v>
      </c>
      <c r="Z1598" s="6">
        <v>1000</v>
      </c>
      <c r="AA1598" s="6">
        <v>1000</v>
      </c>
      <c r="AB1598" s="4" t="s">
        <v>13</v>
      </c>
    </row>
    <row r="1599" spans="1:28">
      <c r="A1599" s="3" t="s">
        <v>160</v>
      </c>
      <c r="B1599" s="24" t="s">
        <v>2186</v>
      </c>
      <c r="C1599" s="26" t="s">
        <v>2187</v>
      </c>
      <c r="D1599" s="4">
        <v>47</v>
      </c>
      <c r="E1599" s="3" t="s">
        <v>172</v>
      </c>
      <c r="F1599" s="3" t="s">
        <v>2188</v>
      </c>
      <c r="G1599" s="4">
        <v>53.7</v>
      </c>
      <c r="H1599" s="3" t="s">
        <v>173</v>
      </c>
      <c r="I1599" s="3" t="s">
        <v>2221</v>
      </c>
      <c r="J1599" s="4">
        <v>4</v>
      </c>
      <c r="K1599" s="4">
        <v>1176.3619000000001</v>
      </c>
      <c r="L1599" s="4" t="str">
        <f>HYPERLINK("http://ms.phosphosite.org:5080/cgi-bin/plot-msms.cgi?MassType=1&amp;NumAxis=1&amp;Mod7=170&amp;Mod20=147&amp;Pep=VGSSNFRGGLGGGYGGASGMGGITAVTVNQSLLSPLVLEVDPNIQAVR&amp;Dta=/var/www/html/dta/yong/23612.20286.4.dta&amp;Global_Mod=CS57.0215", "20286")</f>
        <v>20286</v>
      </c>
      <c r="M1599" s="4" t="str">
        <f>HYPERLINK("http://ms.phosphosite.org:5080/cgi-bin/plot-msms.cgi?MassType=1&amp;NumAxis=1&amp;Mod7=170&amp;Mod20=147&amp;Pep=VGSSNFRGGLGGGYGGASGMGGITAVTVNQSLLSPLVLEVDPNIQAVR&amp;Dta=/var/www/html/dta/yong/23613.20374.4.dta&amp;Global_Mod=CS57.0215", "20374")</f>
        <v>20374</v>
      </c>
      <c r="N1599" s="5">
        <v>84.81</v>
      </c>
      <c r="O1599" s="5">
        <v>84.78</v>
      </c>
      <c r="P1599" s="5">
        <v>2.984</v>
      </c>
      <c r="Q1599" s="5">
        <v>3.1080000000000001</v>
      </c>
      <c r="R1599" s="5">
        <v>1.3371</v>
      </c>
      <c r="S1599" s="5">
        <v>1.2937000000000001</v>
      </c>
      <c r="T1599" s="5">
        <v>7.3099999999999998E-2</v>
      </c>
      <c r="U1599" s="5">
        <v>0.14460000000000001</v>
      </c>
      <c r="V1599" s="4">
        <v>1</v>
      </c>
      <c r="W1599" s="4">
        <v>1</v>
      </c>
      <c r="X1599" s="5">
        <v>2.2999999999999998</v>
      </c>
      <c r="Y1599" s="5">
        <v>2.71</v>
      </c>
      <c r="Z1599" s="6">
        <v>1000</v>
      </c>
      <c r="AA1599" s="6">
        <v>1000</v>
      </c>
      <c r="AB1599" s="4" t="s">
        <v>13</v>
      </c>
    </row>
    <row r="1600" spans="1:28">
      <c r="A1600" s="3" t="s">
        <v>160</v>
      </c>
      <c r="B1600" s="24" t="s">
        <v>2186</v>
      </c>
      <c r="C1600" s="26" t="s">
        <v>2187</v>
      </c>
      <c r="D1600" s="4">
        <v>47</v>
      </c>
      <c r="E1600" s="3" t="s">
        <v>172</v>
      </c>
      <c r="F1600" s="3" t="s">
        <v>2188</v>
      </c>
      <c r="G1600" s="4">
        <v>53.7</v>
      </c>
      <c r="H1600" s="3" t="s">
        <v>173</v>
      </c>
      <c r="I1600" s="3" t="s">
        <v>2221</v>
      </c>
      <c r="J1600" s="4">
        <v>5</v>
      </c>
      <c r="K1600" s="4">
        <v>941.29100000000005</v>
      </c>
      <c r="L1600" s="4"/>
      <c r="M1600" s="4" t="str">
        <f>HYPERLINK("http://ms.phosphosite.org:5080/cgi-bin/plot-msms.cgi?MassType=1&amp;NumAxis=1&amp;Mod7=170&amp;Mod20=147&amp;Pep=VGSSNFRGGLGGGYGGASGMGGITAVTVNQSLLSPLVLEVDPNIQAVR&amp;Dta=/var/www/html/dta/yong/23613.20394.5.dta&amp;Global_Mod=CS57.0215", "20394")</f>
        <v>20394</v>
      </c>
      <c r="N1600" s="5"/>
      <c r="O1600" s="5">
        <v>84.87</v>
      </c>
      <c r="P1600" s="5"/>
      <c r="Q1600" s="5">
        <v>3.488</v>
      </c>
      <c r="R1600" s="5"/>
      <c r="S1600" s="5">
        <v>-0.54420000000000002</v>
      </c>
      <c r="T1600" s="5"/>
      <c r="U1600" s="5">
        <v>0.1082</v>
      </c>
      <c r="V1600" s="4"/>
      <c r="W1600" s="4">
        <v>1</v>
      </c>
      <c r="X1600" s="5"/>
      <c r="Y1600" s="5">
        <v>2.64</v>
      </c>
      <c r="Z1600" s="6"/>
      <c r="AA1600" s="6">
        <v>1000</v>
      </c>
      <c r="AB1600" s="4" t="s">
        <v>13</v>
      </c>
    </row>
    <row r="1601" spans="1:28">
      <c r="A1601" s="3" t="s">
        <v>160</v>
      </c>
      <c r="B1601" s="24" t="s">
        <v>2186</v>
      </c>
      <c r="C1601" s="26" t="s">
        <v>2187</v>
      </c>
      <c r="D1601" s="4">
        <v>47</v>
      </c>
      <c r="E1601" s="3" t="s">
        <v>172</v>
      </c>
      <c r="F1601" s="3" t="s">
        <v>2188</v>
      </c>
      <c r="G1601" s="4">
        <v>53.7</v>
      </c>
      <c r="H1601" s="3" t="s">
        <v>173</v>
      </c>
      <c r="I1601" s="3" t="s">
        <v>2221</v>
      </c>
      <c r="J1601" s="4">
        <v>5</v>
      </c>
      <c r="K1601" s="4">
        <v>941.29100000000005</v>
      </c>
      <c r="L1601" s="4"/>
      <c r="M1601" s="4" t="str">
        <f>HYPERLINK("http://ms.phosphosite.org:5080/cgi-bin/plot-msms.cgi?MassType=1&amp;NumAxis=1&amp;Mod7=170&amp;Mod20=147&amp;Pep=VGSSNFRGGLGGGYGGASGMGGITAVTVNQSLLSPLVLEVDPNIQAVR&amp;Dta=/var/www/html/dta/yong/23613.20420.5.dta&amp;Global_Mod=CS57.0215", "20420")</f>
        <v>20420</v>
      </c>
      <c r="N1601" s="5"/>
      <c r="O1601" s="5">
        <v>84.99</v>
      </c>
      <c r="P1601" s="5"/>
      <c r="Q1601" s="5">
        <v>5.327</v>
      </c>
      <c r="R1601" s="5"/>
      <c r="S1601" s="5">
        <v>-7.1199999999999999E-2</v>
      </c>
      <c r="T1601" s="5"/>
      <c r="U1601" s="5">
        <v>0.32350000000000001</v>
      </c>
      <c r="V1601" s="4"/>
      <c r="W1601" s="4">
        <v>1</v>
      </c>
      <c r="X1601" s="5"/>
      <c r="Y1601" s="5">
        <v>4.1100000000000003</v>
      </c>
      <c r="Z1601" s="6"/>
      <c r="AA1601" s="6">
        <v>1000</v>
      </c>
      <c r="AB1601" s="4" t="s">
        <v>13</v>
      </c>
    </row>
    <row r="1602" spans="1:28">
      <c r="A1602" s="3" t="s">
        <v>160</v>
      </c>
      <c r="B1602" s="24" t="s">
        <v>2186</v>
      </c>
      <c r="C1602" s="26" t="s">
        <v>2187</v>
      </c>
      <c r="D1602" s="4">
        <v>47</v>
      </c>
      <c r="E1602" s="3" t="s">
        <v>172</v>
      </c>
      <c r="F1602" s="3" t="s">
        <v>2188</v>
      </c>
      <c r="G1602" s="4">
        <v>53.7</v>
      </c>
      <c r="H1602" s="3" t="s">
        <v>173</v>
      </c>
      <c r="I1602" s="3" t="s">
        <v>2222</v>
      </c>
      <c r="J1602" s="4">
        <v>2</v>
      </c>
      <c r="K1602" s="4">
        <v>1014.9814</v>
      </c>
      <c r="L1602" s="4" t="str">
        <f>HYPERLINK("http://ms.phosphosite.org:5080/cgi-bin/plot-msms.cgi?MassType=1&amp;NumAxis=1&amp;Mod7=170&amp;Pep=VGSSNFRGGLGGGYGGASGMGGI&amp;Dta=/var/www/html/dta/yong/23612.12914.2.dta&amp;Global_Mod=CS57.0215", "12914")</f>
        <v>12914</v>
      </c>
      <c r="M1602" s="4" t="str">
        <f>HYPERLINK("http://ms.phosphosite.org:5080/cgi-bin/plot-msms.cgi?MassType=1&amp;NumAxis=1&amp;Mod7=170&amp;Pep=VGSSNFRGGLGGGYGGASGMGGI&amp;Dta=/var/www/html/dta/yong/23613.13010.2.dta&amp;Global_Mod=CS57.0215", "13010")</f>
        <v>13010</v>
      </c>
      <c r="N1602" s="5">
        <v>53.93</v>
      </c>
      <c r="O1602" s="5">
        <v>53.96</v>
      </c>
      <c r="P1602" s="5">
        <v>5.0350000000000001</v>
      </c>
      <c r="Q1602" s="5">
        <v>5.21</v>
      </c>
      <c r="R1602" s="5">
        <v>1.0806</v>
      </c>
      <c r="S1602" s="5">
        <v>-16.6313</v>
      </c>
      <c r="T1602" s="5">
        <v>0.51380000000000003</v>
      </c>
      <c r="U1602" s="5">
        <v>0.55430000000000001</v>
      </c>
      <c r="V1602" s="4">
        <v>1</v>
      </c>
      <c r="W1602" s="4">
        <v>1</v>
      </c>
      <c r="X1602" s="5">
        <v>5.0599999999999996</v>
      </c>
      <c r="Y1602" s="5">
        <v>4.53</v>
      </c>
      <c r="Z1602" s="6">
        <v>1000</v>
      </c>
      <c r="AA1602" s="6">
        <v>1000</v>
      </c>
      <c r="AB1602" s="4" t="s">
        <v>13</v>
      </c>
    </row>
    <row r="1603" spans="1:28">
      <c r="A1603" s="3" t="s">
        <v>160</v>
      </c>
      <c r="B1603" s="24" t="s">
        <v>2186</v>
      </c>
      <c r="C1603" s="26" t="s">
        <v>2187</v>
      </c>
      <c r="D1603" s="4">
        <v>47</v>
      </c>
      <c r="E1603" s="3" t="s">
        <v>172</v>
      </c>
      <c r="F1603" s="3" t="s">
        <v>2188</v>
      </c>
      <c r="G1603" s="4">
        <v>53.7</v>
      </c>
      <c r="H1603" s="3" t="s">
        <v>173</v>
      </c>
      <c r="I1603" s="3" t="s">
        <v>2222</v>
      </c>
      <c r="J1603" s="4">
        <v>2</v>
      </c>
      <c r="K1603" s="4">
        <v>1014.9814</v>
      </c>
      <c r="L1603" s="4"/>
      <c r="M1603" s="4" t="str">
        <f>HYPERLINK("http://ms.phosphosite.org:5080/cgi-bin/plot-msms.cgi?MassType=1&amp;NumAxis=1&amp;Mod7=170&amp;Pep=VGSSNFRGGLGGGYGGASGMGGI&amp;Dta=/var/www/html/dta/yong/23613.13018.2.dta&amp;Global_Mod=CS57.0215", "13018")</f>
        <v>13018</v>
      </c>
      <c r="N1603" s="5"/>
      <c r="O1603" s="5">
        <v>53.99</v>
      </c>
      <c r="P1603" s="5"/>
      <c r="Q1603" s="5">
        <v>5.5270000000000001</v>
      </c>
      <c r="R1603" s="5"/>
      <c r="S1603" s="5">
        <v>0.67490000000000006</v>
      </c>
      <c r="T1603" s="5"/>
      <c r="U1603" s="5">
        <v>0.49199999999999999</v>
      </c>
      <c r="V1603" s="4"/>
      <c r="W1603" s="4">
        <v>1</v>
      </c>
      <c r="X1603" s="5"/>
      <c r="Y1603" s="5">
        <v>5.17</v>
      </c>
      <c r="Z1603" s="6"/>
      <c r="AA1603" s="6">
        <v>1000</v>
      </c>
      <c r="AB1603" s="4" t="s">
        <v>13</v>
      </c>
    </row>
    <row r="1604" spans="1:28">
      <c r="A1604" s="3" t="s">
        <v>160</v>
      </c>
      <c r="B1604" s="24" t="s">
        <v>2186</v>
      </c>
      <c r="C1604" s="26" t="s">
        <v>2187</v>
      </c>
      <c r="D1604" s="4">
        <v>47</v>
      </c>
      <c r="E1604" s="3" t="s">
        <v>172</v>
      </c>
      <c r="F1604" s="3" t="s">
        <v>2188</v>
      </c>
      <c r="G1604" s="4">
        <v>53.7</v>
      </c>
      <c r="H1604" s="3" t="s">
        <v>173</v>
      </c>
      <c r="I1604" s="3" t="s">
        <v>2222</v>
      </c>
      <c r="J1604" s="4">
        <v>3</v>
      </c>
      <c r="K1604" s="4">
        <v>676.99009999999998</v>
      </c>
      <c r="L1604" s="4" t="str">
        <f>HYPERLINK("http://ms.phosphosite.org:5080/cgi-bin/plot-msms.cgi?MassType=1&amp;NumAxis=1&amp;Mod7=170&amp;Pep=VGSSNFRGGLGGGYGGASGMGGI&amp;Dta=/var/www/html/dta/yong/23612.12913.3.dta&amp;Global_Mod=CS57.0215", "12913")</f>
        <v>12913</v>
      </c>
      <c r="M1604" s="4" t="str">
        <f>HYPERLINK("http://ms.phosphosite.org:5080/cgi-bin/plot-msms.cgi?MassType=1&amp;NumAxis=1&amp;Mod7=170&amp;Pep=VGSSNFRGGLGGGYGGASGMGGI&amp;Dta=/var/www/html/dta/yong/23613.13019.3.dta&amp;Global_Mod=CS57.0215", "13019")</f>
        <v>13019</v>
      </c>
      <c r="N1604" s="5">
        <v>53.93</v>
      </c>
      <c r="O1604" s="5">
        <v>53.99</v>
      </c>
      <c r="P1604" s="5">
        <v>2.1819999999999999</v>
      </c>
      <c r="Q1604" s="5">
        <v>2.8639999999999999</v>
      </c>
      <c r="R1604" s="5">
        <v>0.6109</v>
      </c>
      <c r="S1604" s="5">
        <v>0.85519999999999996</v>
      </c>
      <c r="T1604" s="5">
        <v>1.83E-2</v>
      </c>
      <c r="U1604" s="5">
        <v>0.19170000000000001</v>
      </c>
      <c r="V1604" s="4">
        <v>25</v>
      </c>
      <c r="W1604" s="4">
        <v>3</v>
      </c>
      <c r="X1604" s="5">
        <v>2.12</v>
      </c>
      <c r="Y1604" s="5">
        <v>3.18</v>
      </c>
      <c r="Z1604" s="6">
        <v>1000</v>
      </c>
      <c r="AA1604" s="6">
        <v>1000</v>
      </c>
      <c r="AB1604" s="4" t="s">
        <v>13</v>
      </c>
    </row>
    <row r="1605" spans="1:28">
      <c r="A1605" s="3" t="s">
        <v>160</v>
      </c>
      <c r="B1605" s="24" t="s">
        <v>2186</v>
      </c>
      <c r="C1605" s="26" t="s">
        <v>2187</v>
      </c>
      <c r="D1605" s="4">
        <v>47</v>
      </c>
      <c r="E1605" s="3" t="s">
        <v>172</v>
      </c>
      <c r="F1605" s="3" t="s">
        <v>2188</v>
      </c>
      <c r="G1605" s="4">
        <v>53.7</v>
      </c>
      <c r="H1605" s="3" t="s">
        <v>173</v>
      </c>
      <c r="I1605" s="3" t="s">
        <v>2223</v>
      </c>
      <c r="J1605" s="4">
        <v>2</v>
      </c>
      <c r="K1605" s="4">
        <v>1150.558</v>
      </c>
      <c r="L1605" s="4" t="str">
        <f>HYPERLINK("http://ms.phosphosite.org:5080/cgi-bin/plot-msms.cgi?MassType=1&amp;NumAxis=1&amp;Mod7=170&amp;Pep=VGSSNFRGGLGGGYGGASGMGGITAV&amp;Dta=/var/www/html/dta/yong/23612.14040.2.dta&amp;Global_Mod=CS57.0215", "14040")</f>
        <v>14040</v>
      </c>
      <c r="M1605" s="4" t="str">
        <f>HYPERLINK("http://ms.phosphosite.org:5080/cgi-bin/plot-msms.cgi?MassType=1&amp;NumAxis=1&amp;Mod7=170&amp;Pep=VGSSNFRGGLGGGYGGASGMGGITAV&amp;Dta=/var/www/html/dta/yong/23613.14151.2.dta&amp;Global_Mod=CS57.0215", "14151")</f>
        <v>14151</v>
      </c>
      <c r="N1605" s="5">
        <v>58.06</v>
      </c>
      <c r="O1605" s="5">
        <v>58.1</v>
      </c>
      <c r="P1605" s="5">
        <v>5.0270000000000001</v>
      </c>
      <c r="Q1605" s="5">
        <v>4.8179999999999996</v>
      </c>
      <c r="R1605" s="5">
        <v>0.9476</v>
      </c>
      <c r="S1605" s="5">
        <v>0.99839999999999995</v>
      </c>
      <c r="T1605" s="5">
        <v>0.5353</v>
      </c>
      <c r="U1605" s="5">
        <v>0.52180000000000004</v>
      </c>
      <c r="V1605" s="4">
        <v>1</v>
      </c>
      <c r="W1605" s="4">
        <v>1</v>
      </c>
      <c r="X1605" s="5">
        <v>5.13</v>
      </c>
      <c r="Y1605" s="5">
        <v>5.12</v>
      </c>
      <c r="Z1605" s="6">
        <v>1000</v>
      </c>
      <c r="AA1605" s="6">
        <v>1000</v>
      </c>
      <c r="AB1605" s="4" t="s">
        <v>13</v>
      </c>
    </row>
    <row r="1606" spans="1:28">
      <c r="A1606" s="3" t="s">
        <v>160</v>
      </c>
      <c r="B1606" s="24" t="s">
        <v>2186</v>
      </c>
      <c r="C1606" s="26" t="s">
        <v>2187</v>
      </c>
      <c r="D1606" s="4">
        <v>47</v>
      </c>
      <c r="E1606" s="3" t="s">
        <v>172</v>
      </c>
      <c r="F1606" s="3" t="s">
        <v>2188</v>
      </c>
      <c r="G1606" s="4">
        <v>53.7</v>
      </c>
      <c r="H1606" s="3" t="s">
        <v>173</v>
      </c>
      <c r="I1606" s="3" t="s">
        <v>2223</v>
      </c>
      <c r="J1606" s="4">
        <v>2</v>
      </c>
      <c r="K1606" s="4">
        <v>1150.558</v>
      </c>
      <c r="L1606" s="4" t="str">
        <f>HYPERLINK("http://ms.phosphosite.org:5080/cgi-bin/plot-msms.cgi?MassType=1&amp;NumAxis=1&amp;Mod7=170&amp;Pep=VGSSNFRGGLGGGYGGASGMGGITAV&amp;Dta=/var/www/html/dta/yong/23612.14262.2.dta&amp;Global_Mod=CS57.0215", "14262")</f>
        <v>14262</v>
      </c>
      <c r="M1606" s="4"/>
      <c r="N1606" s="5">
        <v>58.82</v>
      </c>
      <c r="O1606" s="5"/>
      <c r="P1606" s="5">
        <v>5.1079999999999997</v>
      </c>
      <c r="Q1606" s="5"/>
      <c r="R1606" s="5">
        <v>0.91759999999999997</v>
      </c>
      <c r="S1606" s="5"/>
      <c r="T1606" s="5">
        <v>0.49490000000000001</v>
      </c>
      <c r="U1606" s="5"/>
      <c r="V1606" s="4">
        <v>1</v>
      </c>
      <c r="W1606" s="4"/>
      <c r="X1606" s="5">
        <v>4.95</v>
      </c>
      <c r="Y1606" s="5"/>
      <c r="Z1606" s="6">
        <v>1000</v>
      </c>
      <c r="AA1606" s="6"/>
      <c r="AB1606" s="4" t="s">
        <v>13</v>
      </c>
    </row>
    <row r="1607" spans="1:28">
      <c r="A1607" s="3" t="s">
        <v>160</v>
      </c>
      <c r="B1607" s="24" t="s">
        <v>2186</v>
      </c>
      <c r="C1607" s="26" t="s">
        <v>2187</v>
      </c>
      <c r="D1607" s="4">
        <v>47</v>
      </c>
      <c r="E1607" s="3" t="s">
        <v>172</v>
      </c>
      <c r="F1607" s="3" t="s">
        <v>2188</v>
      </c>
      <c r="G1607" s="4">
        <v>53.7</v>
      </c>
      <c r="H1607" s="3" t="s">
        <v>173</v>
      </c>
      <c r="I1607" s="3" t="s">
        <v>2223</v>
      </c>
      <c r="J1607" s="4">
        <v>2</v>
      </c>
      <c r="K1607" s="4">
        <v>1150.558</v>
      </c>
      <c r="L1607" s="4" t="str">
        <f>HYPERLINK("http://ms.phosphosite.org:5080/cgi-bin/plot-msms.cgi?MassType=1&amp;NumAxis=1&amp;Mod7=170&amp;Pep=VGSSNFRGGLGGGYGGASGMGGITAV&amp;Dta=/var/www/html/dta/yong/23612.14304.2.dta&amp;Global_Mod=CS57.0215", "14304")</f>
        <v>14304</v>
      </c>
      <c r="M1607" s="4"/>
      <c r="N1607" s="5">
        <v>58.96</v>
      </c>
      <c r="O1607" s="5"/>
      <c r="P1607" s="5">
        <v>5.4279999999999999</v>
      </c>
      <c r="Q1607" s="5"/>
      <c r="R1607" s="5">
        <v>1.0178</v>
      </c>
      <c r="S1607" s="5"/>
      <c r="T1607" s="5">
        <v>0.51790000000000003</v>
      </c>
      <c r="U1607" s="5"/>
      <c r="V1607" s="4">
        <v>1</v>
      </c>
      <c r="W1607" s="4"/>
      <c r="X1607" s="5">
        <v>5.12</v>
      </c>
      <c r="Y1607" s="5"/>
      <c r="Z1607" s="6">
        <v>1000</v>
      </c>
      <c r="AA1607" s="6"/>
      <c r="AB1607" s="4" t="s">
        <v>13</v>
      </c>
    </row>
    <row r="1608" spans="1:28">
      <c r="A1608" s="3" t="s">
        <v>160</v>
      </c>
      <c r="B1608" s="24" t="s">
        <v>2186</v>
      </c>
      <c r="C1608" s="26" t="s">
        <v>2187</v>
      </c>
      <c r="D1608" s="4">
        <v>47</v>
      </c>
      <c r="E1608" s="3" t="s">
        <v>172</v>
      </c>
      <c r="F1608" s="3" t="s">
        <v>2188</v>
      </c>
      <c r="G1608" s="4">
        <v>53.7</v>
      </c>
      <c r="H1608" s="3" t="s">
        <v>173</v>
      </c>
      <c r="I1608" s="3" t="s">
        <v>2223</v>
      </c>
      <c r="J1608" s="4">
        <v>3</v>
      </c>
      <c r="K1608" s="4">
        <v>767.37450000000001</v>
      </c>
      <c r="L1608" s="4"/>
      <c r="M1608" s="4" t="str">
        <f>HYPERLINK("http://ms.phosphosite.org:5080/cgi-bin/plot-msms.cgi?MassType=1&amp;NumAxis=1&amp;Mod7=170&amp;Pep=VGSSNFRGGLGGGYGGASGMGGITAV&amp;Dta=/var/www/html/dta/yong/23613.14547.3.dta&amp;Global_Mod=CS57.0215", "14547")</f>
        <v>14547</v>
      </c>
      <c r="N1608" s="5"/>
      <c r="O1608" s="5">
        <v>59.58</v>
      </c>
      <c r="P1608" s="5"/>
      <c r="Q1608" s="5">
        <v>2.6760000000000002</v>
      </c>
      <c r="R1608" s="5"/>
      <c r="S1608" s="5">
        <v>1.1714</v>
      </c>
      <c r="T1608" s="5"/>
      <c r="U1608" s="5">
        <v>0.19819999999999999</v>
      </c>
      <c r="V1608" s="4"/>
      <c r="W1608" s="4">
        <v>22</v>
      </c>
      <c r="X1608" s="5"/>
      <c r="Y1608" s="5">
        <v>3.11</v>
      </c>
      <c r="Z1608" s="6"/>
      <c r="AA1608" s="6">
        <v>1000</v>
      </c>
      <c r="AB1608" s="4" t="s">
        <v>13</v>
      </c>
    </row>
    <row r="1609" spans="1:28">
      <c r="A1609" s="3" t="s">
        <v>160</v>
      </c>
      <c r="B1609" s="24" t="s">
        <v>2186</v>
      </c>
      <c r="C1609" s="26" t="s">
        <v>2187</v>
      </c>
      <c r="D1609" s="4">
        <v>47</v>
      </c>
      <c r="E1609" s="3" t="s">
        <v>172</v>
      </c>
      <c r="F1609" s="3" t="s">
        <v>2188</v>
      </c>
      <c r="G1609" s="4">
        <v>53.7</v>
      </c>
      <c r="H1609" s="3" t="s">
        <v>173</v>
      </c>
      <c r="I1609" s="3" t="s">
        <v>2224</v>
      </c>
      <c r="J1609" s="4">
        <v>4</v>
      </c>
      <c r="K1609" s="4">
        <v>1172.3632</v>
      </c>
      <c r="L1609" s="4" t="str">
        <f>HYPERLINK("http://ms.phosphosite.org:5080/cgi-bin/plot-msms.cgi?MassType=1&amp;NumAxis=1&amp;Mod7=170&amp;Pep=VGSSNFRGGLGGGYGGASGMGGITAVTVNQSLLSPLVLEVDPNIQAVR&amp;Dta=/var/www/html/dta/yong/23612.21112.4.dta&amp;Global_Mod=CS57.0215", "21112")</f>
        <v>21112</v>
      </c>
      <c r="M1609" s="4" t="str">
        <f>HYPERLINK("http://ms.phosphosite.org:5080/cgi-bin/plot-msms.cgi?MassType=1&amp;NumAxis=1&amp;Mod7=170&amp;Pep=VGSSNFRGGLGGGYGGASGMGGITAVTVNQSLLSPLVLEVDPNIQAVR&amp;Dta=/var/www/html/dta/yong/23613.21152.4.dta&amp;Global_Mod=CS57.0215", "21152")</f>
        <v>21152</v>
      </c>
      <c r="N1609" s="5">
        <v>88.77</v>
      </c>
      <c r="O1609" s="5">
        <v>88.51</v>
      </c>
      <c r="P1609" s="5">
        <v>3.4940000000000002</v>
      </c>
      <c r="Q1609" s="5">
        <v>3.827</v>
      </c>
      <c r="R1609" s="5">
        <v>1.5093000000000001</v>
      </c>
      <c r="S1609" s="5">
        <v>2.9495</v>
      </c>
      <c r="T1609" s="5">
        <v>0.3024</v>
      </c>
      <c r="U1609" s="5">
        <v>0.1552</v>
      </c>
      <c r="V1609" s="4">
        <v>1</v>
      </c>
      <c r="W1609" s="4">
        <v>1</v>
      </c>
      <c r="X1609" s="5">
        <v>3.53</v>
      </c>
      <c r="Y1609" s="5">
        <v>2.82</v>
      </c>
      <c r="Z1609" s="6">
        <v>1000</v>
      </c>
      <c r="AA1609" s="6">
        <v>1000</v>
      </c>
      <c r="AB1609" s="4" t="s">
        <v>13</v>
      </c>
    </row>
    <row r="1610" spans="1:28">
      <c r="A1610" s="3" t="s">
        <v>160</v>
      </c>
      <c r="B1610" s="24" t="s">
        <v>2186</v>
      </c>
      <c r="C1610" s="26" t="s">
        <v>2187</v>
      </c>
      <c r="D1610" s="4">
        <v>47</v>
      </c>
      <c r="E1610" s="3" t="s">
        <v>172</v>
      </c>
      <c r="F1610" s="3" t="s">
        <v>2188</v>
      </c>
      <c r="G1610" s="4">
        <v>53.7</v>
      </c>
      <c r="H1610" s="3" t="s">
        <v>173</v>
      </c>
      <c r="I1610" s="3" t="s">
        <v>2224</v>
      </c>
      <c r="J1610" s="4">
        <v>4</v>
      </c>
      <c r="K1610" s="4">
        <v>1172.3632</v>
      </c>
      <c r="L1610" s="4"/>
      <c r="M1610" s="4" t="str">
        <f>HYPERLINK("http://ms.phosphosite.org:5080/cgi-bin/plot-msms.cgi?MassType=1&amp;NumAxis=1&amp;Mod7=170&amp;Pep=VGSSNFRGGLGGGYGGASGMGGITAVTVNQSLLSPLVLEVDPNIQAVR&amp;Dta=/var/www/html/dta/yong/23613.21165.4.dta&amp;Global_Mod=CS57.0215", "21165")</f>
        <v>21165</v>
      </c>
      <c r="N1610" s="5"/>
      <c r="O1610" s="5">
        <v>88.58</v>
      </c>
      <c r="P1610" s="5"/>
      <c r="Q1610" s="5">
        <v>2.9580000000000002</v>
      </c>
      <c r="R1610" s="5"/>
      <c r="S1610" s="5">
        <v>2.9495</v>
      </c>
      <c r="T1610" s="5"/>
      <c r="U1610" s="5">
        <v>3.3300000000000003E-2</v>
      </c>
      <c r="V1610" s="4"/>
      <c r="W1610" s="4">
        <v>1</v>
      </c>
      <c r="X1610" s="5"/>
      <c r="Y1610" s="5">
        <v>2.04</v>
      </c>
      <c r="Z1610" s="6"/>
      <c r="AA1610" s="6">
        <v>1000</v>
      </c>
      <c r="AB1610" s="4" t="s">
        <v>13</v>
      </c>
    </row>
    <row r="1611" spans="1:28">
      <c r="A1611" s="3" t="s">
        <v>160</v>
      </c>
      <c r="B1611" s="24" t="s">
        <v>2186</v>
      </c>
      <c r="C1611" s="26" t="s">
        <v>2187</v>
      </c>
      <c r="D1611" s="4">
        <v>273</v>
      </c>
      <c r="E1611" s="3" t="s">
        <v>172</v>
      </c>
      <c r="F1611" s="3" t="s">
        <v>2188</v>
      </c>
      <c r="G1611" s="4">
        <v>53.7</v>
      </c>
      <c r="H1611" s="3" t="s">
        <v>2225</v>
      </c>
      <c r="I1611" s="3" t="s">
        <v>2226</v>
      </c>
      <c r="J1611" s="4">
        <v>2</v>
      </c>
      <c r="K1611" s="4">
        <v>1162.0891999999999</v>
      </c>
      <c r="L1611" s="4" t="str">
        <f>HYPERLINK("http://ms.phosphosite.org:5080/cgi-bin/plot-msms.cgi?MassType=1&amp;NumAxis=1&amp;Mod18=170&amp;Pep=MDSIIAEVKAQYEDIANRSR&amp;Dta=/var/www/html/dta/yong/23612.16600.2.dta&amp;Global_Mod=CS57.0215", "16600")</f>
        <v>16600</v>
      </c>
      <c r="M1611" s="4"/>
      <c r="N1611" s="5">
        <v>68.12</v>
      </c>
      <c r="O1611" s="5"/>
      <c r="P1611" s="5">
        <v>2.524</v>
      </c>
      <c r="Q1611" s="5"/>
      <c r="R1611" s="5">
        <v>-12.0745</v>
      </c>
      <c r="S1611" s="5"/>
      <c r="T1611" s="5">
        <v>0.14879999999999999</v>
      </c>
      <c r="U1611" s="5"/>
      <c r="V1611" s="4">
        <v>15</v>
      </c>
      <c r="W1611" s="4"/>
      <c r="X1611" s="5">
        <v>1.99</v>
      </c>
      <c r="Y1611" s="5"/>
      <c r="Z1611" s="6">
        <v>1000</v>
      </c>
      <c r="AA1611" s="6"/>
      <c r="AB1611" s="4" t="s">
        <v>13</v>
      </c>
    </row>
    <row r="1612" spans="1:28">
      <c r="A1612" s="3" t="s">
        <v>160</v>
      </c>
      <c r="B1612" s="24" t="s">
        <v>2186</v>
      </c>
      <c r="C1612" s="26" t="s">
        <v>2187</v>
      </c>
      <c r="D1612" s="4">
        <v>273</v>
      </c>
      <c r="E1612" s="3" t="s">
        <v>172</v>
      </c>
      <c r="F1612" s="3" t="s">
        <v>2188</v>
      </c>
      <c r="G1612" s="4">
        <v>53.7</v>
      </c>
      <c r="H1612" s="3" t="s">
        <v>2225</v>
      </c>
      <c r="I1612" s="3" t="s">
        <v>2226</v>
      </c>
      <c r="J1612" s="4">
        <v>2</v>
      </c>
      <c r="K1612" s="4">
        <v>1162.0891999999999</v>
      </c>
      <c r="L1612" s="4" t="str">
        <f>HYPERLINK("http://ms.phosphosite.org:5080/cgi-bin/plot-msms.cgi?MassType=1&amp;NumAxis=1&amp;Mod18=170&amp;Pep=MDSIIAEVKAQYEDIANRSR&amp;Dta=/var/www/html/dta/yong/23612.16364.2.dta&amp;Global_Mod=CS57.0215", "16364")</f>
        <v>16364</v>
      </c>
      <c r="M1612" s="4"/>
      <c r="N1612" s="5">
        <v>67.12</v>
      </c>
      <c r="O1612" s="5"/>
      <c r="P1612" s="5">
        <v>2.5099999999999998</v>
      </c>
      <c r="Q1612" s="5"/>
      <c r="R1612" s="5">
        <v>-7.0942999999999996</v>
      </c>
      <c r="S1612" s="5"/>
      <c r="T1612" s="5">
        <v>8.8000000000000005E-3</v>
      </c>
      <c r="U1612" s="5"/>
      <c r="V1612" s="4">
        <v>306</v>
      </c>
      <c r="W1612" s="4"/>
      <c r="X1612" s="5">
        <v>1.37</v>
      </c>
      <c r="Y1612" s="5"/>
      <c r="Z1612" s="6">
        <v>1000</v>
      </c>
      <c r="AA1612" s="6"/>
      <c r="AB1612" s="4" t="s">
        <v>13</v>
      </c>
    </row>
    <row r="1613" spans="1:28">
      <c r="A1613" s="3" t="s">
        <v>160</v>
      </c>
      <c r="B1613" s="24" t="s">
        <v>2186</v>
      </c>
      <c r="C1613" s="26" t="s">
        <v>2187</v>
      </c>
      <c r="D1613" s="4" t="s">
        <v>2227</v>
      </c>
      <c r="E1613" s="3" t="s">
        <v>172</v>
      </c>
      <c r="F1613" s="3" t="s">
        <v>2188</v>
      </c>
      <c r="G1613" s="4">
        <v>53.7</v>
      </c>
      <c r="H1613" s="3" t="s">
        <v>2228</v>
      </c>
      <c r="I1613" s="3" t="s">
        <v>2229</v>
      </c>
      <c r="J1613" s="4">
        <v>3</v>
      </c>
      <c r="K1613" s="4">
        <v>1061.1826000000001</v>
      </c>
      <c r="L1613" s="4" t="str">
        <f>HYPERLINK("http://ms.phosphosite.org:5080/cgi-bin/plot-msms.cgi?MassType=1&amp;NumAxis=1&amp;Mod8=170&amp;Mod15=170&amp;Mod28=147&amp;Pep=ISSSSFSRVGSSNFRGGLGGGYGGASGMGGITAV&amp;Dta=/var/www/html/dta/yong/23612.13165.3.dta&amp;Global_Mod=CS57.0215", "13165")</f>
        <v>13165</v>
      </c>
      <c r="M1613" s="4" t="str">
        <f>HYPERLINK("http://ms.phosphosite.org:5080/cgi-bin/plot-msms.cgi?MassType=1&amp;NumAxis=1&amp;Mod8=170&amp;Mod15=170&amp;Mod28=147&amp;Pep=ISSSSFSRVGSSNFRGGLGGGYGGASGMGGITAV&amp;Dta=/var/www/html/dta/yong/23613.13277.3.dta&amp;Global_Mod=CS57.0215", "13277")</f>
        <v>13277</v>
      </c>
      <c r="N1613" s="5">
        <v>54.89</v>
      </c>
      <c r="O1613" s="5">
        <v>54.95</v>
      </c>
      <c r="P1613" s="5">
        <v>2.9380000000000002</v>
      </c>
      <c r="Q1613" s="5">
        <v>2.8180000000000001</v>
      </c>
      <c r="R1613" s="5">
        <v>0.34079999999999999</v>
      </c>
      <c r="S1613" s="5">
        <v>0.8478</v>
      </c>
      <c r="T1613" s="5">
        <v>0.14829999999999999</v>
      </c>
      <c r="U1613" s="5">
        <v>0.14460000000000001</v>
      </c>
      <c r="V1613" s="4">
        <v>1</v>
      </c>
      <c r="W1613" s="4">
        <v>1</v>
      </c>
      <c r="X1613" s="5">
        <v>2.62</v>
      </c>
      <c r="Y1613" s="5">
        <v>2.62</v>
      </c>
      <c r="Z1613" s="6" t="s">
        <v>1306</v>
      </c>
      <c r="AA1613" s="6" t="s">
        <v>1306</v>
      </c>
      <c r="AB1613" s="4" t="s">
        <v>13</v>
      </c>
    </row>
    <row r="1614" spans="1:28">
      <c r="A1614" s="3" t="s">
        <v>160</v>
      </c>
      <c r="B1614" s="24" t="s">
        <v>2186</v>
      </c>
      <c r="C1614" s="26" t="s">
        <v>2187</v>
      </c>
      <c r="D1614" s="4">
        <v>40</v>
      </c>
      <c r="E1614" s="3" t="s">
        <v>172</v>
      </c>
      <c r="F1614" s="3" t="s">
        <v>2188</v>
      </c>
      <c r="G1614" s="4">
        <v>53.7</v>
      </c>
      <c r="H1614" s="3" t="s">
        <v>2193</v>
      </c>
      <c r="I1614" s="3" t="s">
        <v>2230</v>
      </c>
      <c r="J1614" s="4">
        <v>2</v>
      </c>
      <c r="K1614" s="4">
        <v>442.72730000000001</v>
      </c>
      <c r="L1614" s="4"/>
      <c r="M1614" s="4" t="str">
        <f>HYPERLINK("http://ms.phosphosite.org:5080/cgi-bin/plot-msms.cgi?MassType=1&amp;NumAxis=1&amp;Mod8=170&amp;Pep=ISSSSFSR&amp;Dta=/var/www/html/dta/yong/23613.4995.2.dta&amp;Global_Mod=CS57.0215", "4995")</f>
        <v>4995</v>
      </c>
      <c r="N1614" s="5"/>
      <c r="O1614" s="5">
        <v>25.59</v>
      </c>
      <c r="P1614" s="5"/>
      <c r="Q1614" s="5">
        <v>1.5940000000000001</v>
      </c>
      <c r="R1614" s="5"/>
      <c r="S1614" s="5">
        <v>8.1199999999999994E-2</v>
      </c>
      <c r="T1614" s="5"/>
      <c r="U1614" s="5">
        <v>3.04E-2</v>
      </c>
      <c r="V1614" s="4"/>
      <c r="W1614" s="4">
        <v>1</v>
      </c>
      <c r="X1614" s="5"/>
      <c r="Y1614" s="5">
        <v>2.46</v>
      </c>
      <c r="Z1614" s="6"/>
      <c r="AA1614" s="6">
        <v>1000</v>
      </c>
      <c r="AB1614" s="4" t="s">
        <v>13</v>
      </c>
    </row>
    <row r="1615" spans="1:28">
      <c r="A1615" s="3" t="s">
        <v>160</v>
      </c>
      <c r="B1615" s="24" t="s">
        <v>2231</v>
      </c>
      <c r="C1615" t="s">
        <v>2232</v>
      </c>
      <c r="D1615" s="4">
        <v>14</v>
      </c>
      <c r="E1615" s="3" t="s">
        <v>2233</v>
      </c>
      <c r="F1615" s="3" t="s">
        <v>2234</v>
      </c>
      <c r="G1615" s="4">
        <v>66.400000000000006</v>
      </c>
      <c r="H1615" s="3" t="s">
        <v>2235</v>
      </c>
      <c r="I1615" s="3" t="s">
        <v>2236</v>
      </c>
      <c r="J1615" s="4">
        <v>3</v>
      </c>
      <c r="K1615" s="4">
        <v>539.27890000000002</v>
      </c>
      <c r="L1615" s="4" t="str">
        <f>HYPERLINK("http://ms.phosphosite.org:5080/cgi-bin/plot-msms.cgi?MassType=1&amp;NumAxis=1&amp;Mod1=147&amp;Mod4=170&amp;Pep=MGSRAGGPTTPLSPTR&amp;Dta=/var/www/html/dta/yong/23612.4672.3.dta&amp;Global_Mod=CS57.0215", "4672")</f>
        <v>4672</v>
      </c>
      <c r="M1615" s="4"/>
      <c r="N1615" s="5">
        <v>24.6</v>
      </c>
      <c r="O1615" s="5"/>
      <c r="P1615" s="5">
        <v>2.3010000000000002</v>
      </c>
      <c r="Q1615" s="5"/>
      <c r="R1615" s="5">
        <v>0.2135</v>
      </c>
      <c r="S1615" s="5"/>
      <c r="T1615" s="5">
        <v>0.16339999999999999</v>
      </c>
      <c r="U1615" s="5"/>
      <c r="V1615" s="4">
        <v>3</v>
      </c>
      <c r="W1615" s="4"/>
      <c r="X1615" s="5">
        <v>1.07</v>
      </c>
      <c r="Y1615" s="5"/>
      <c r="Z1615" s="6">
        <v>1000</v>
      </c>
      <c r="AA1615" s="6"/>
      <c r="AB1615" s="4" t="s">
        <v>13</v>
      </c>
    </row>
    <row r="1616" spans="1:28">
      <c r="A1616" s="3" t="s">
        <v>160</v>
      </c>
      <c r="B1616" s="24" t="s">
        <v>2231</v>
      </c>
      <c r="C1616" t="s">
        <v>2232</v>
      </c>
      <c r="D1616" s="4">
        <v>14</v>
      </c>
      <c r="E1616" s="3" t="s">
        <v>2233</v>
      </c>
      <c r="F1616" s="3" t="s">
        <v>2234</v>
      </c>
      <c r="G1616" s="4">
        <v>66.400000000000006</v>
      </c>
      <c r="H1616" s="3" t="s">
        <v>2235</v>
      </c>
      <c r="I1616" s="3" t="s">
        <v>2237</v>
      </c>
      <c r="J1616" s="4">
        <v>3</v>
      </c>
      <c r="K1616" s="4">
        <v>533.94719999999995</v>
      </c>
      <c r="L1616" s="4"/>
      <c r="M1616" s="4" t="str">
        <f>HYPERLINK("http://ms.phosphosite.org:5080/cgi-bin/plot-msms.cgi?MassType=1&amp;NumAxis=1&amp;Mod4=170&amp;Pep=MGSRAGGPTTPLSPTR&amp;Dta=/var/www/html/dta/yong/23613.5551.3.dta&amp;Global_Mod=CS57.0215", "5551")</f>
        <v>5551</v>
      </c>
      <c r="N1616" s="5"/>
      <c r="O1616" s="5">
        <v>27.69</v>
      </c>
      <c r="P1616" s="5"/>
      <c r="Q1616" s="5">
        <v>2.3180000000000001</v>
      </c>
      <c r="R1616" s="5"/>
      <c r="S1616" s="5">
        <v>-0.1305</v>
      </c>
      <c r="T1616" s="5"/>
      <c r="U1616" s="5">
        <v>0.13730000000000001</v>
      </c>
      <c r="V1616" s="4"/>
      <c r="W1616" s="4">
        <v>8</v>
      </c>
      <c r="X1616" s="5"/>
      <c r="Y1616" s="5">
        <v>0.87</v>
      </c>
      <c r="Z1616" s="6"/>
      <c r="AA1616" s="6">
        <v>1000</v>
      </c>
      <c r="AB1616" s="4" t="s">
        <v>13</v>
      </c>
    </row>
    <row r="1617" spans="1:28">
      <c r="A1617" s="3" t="s">
        <v>160</v>
      </c>
      <c r="B1617" s="24" t="s">
        <v>2238</v>
      </c>
      <c r="C1617" s="26" t="s">
        <v>2238</v>
      </c>
      <c r="D1617" s="4">
        <v>5761</v>
      </c>
      <c r="E1617" s="3" t="s">
        <v>2239</v>
      </c>
      <c r="F1617" s="3" t="s">
        <v>2240</v>
      </c>
      <c r="G1617" s="4">
        <v>772.4</v>
      </c>
      <c r="H1617" s="3" t="s">
        <v>2241</v>
      </c>
      <c r="I1617" s="3" t="s">
        <v>2242</v>
      </c>
      <c r="J1617" s="4">
        <v>2</v>
      </c>
      <c r="K1617" s="4">
        <v>597.80930000000001</v>
      </c>
      <c r="L1617" s="4"/>
      <c r="M1617" s="4" t="str">
        <f>HYPERLINK("http://ms.phosphosite.org:5080/cgi-bin/plot-msms.cgi?MassType=1&amp;NumAxis=1&amp;Mod10=170&amp;Pep=AKQASEVEYR&amp;Dta=/var/www/html/dta/yong/23613.7440.2.dta&amp;Global_Mod=CS57.0215", "7440")</f>
        <v>7440</v>
      </c>
      <c r="N1617" s="5"/>
      <c r="O1617" s="5">
        <v>34.71</v>
      </c>
      <c r="P1617" s="5"/>
      <c r="Q1617" s="5">
        <v>1.9510000000000001</v>
      </c>
      <c r="R1617" s="5"/>
      <c r="S1617" s="5">
        <v>-8.5612999999999992</v>
      </c>
      <c r="T1617" s="5"/>
      <c r="U1617" s="5">
        <v>0.2215</v>
      </c>
      <c r="V1617" s="4"/>
      <c r="W1617" s="4">
        <v>8</v>
      </c>
      <c r="X1617" s="5"/>
      <c r="Y1617" s="5">
        <v>0.83</v>
      </c>
      <c r="Z1617" s="6"/>
      <c r="AA1617" s="6">
        <v>1000</v>
      </c>
      <c r="AB1617" s="4" t="s">
        <v>13</v>
      </c>
    </row>
    <row r="1618" spans="1:28">
      <c r="A1618" s="3" t="s">
        <v>160</v>
      </c>
      <c r="B1618" s="24" t="s">
        <v>2243</v>
      </c>
      <c r="C1618" s="26" t="s">
        <v>2244</v>
      </c>
      <c r="D1618" s="4">
        <v>164</v>
      </c>
      <c r="E1618" s="3" t="s">
        <v>2245</v>
      </c>
      <c r="F1618" s="3" t="s">
        <v>2246</v>
      </c>
      <c r="G1618" s="4">
        <v>34.299999999999997</v>
      </c>
      <c r="H1618" s="3" t="s">
        <v>2247</v>
      </c>
      <c r="I1618" s="3" t="s">
        <v>2248</v>
      </c>
      <c r="J1618" s="4">
        <v>3</v>
      </c>
      <c r="K1618" s="4">
        <v>1011.5194</v>
      </c>
      <c r="L1618" s="4" t="str">
        <f>HYPERLINK("http://ms.phosphosite.org:5080/cgi-bin/plot-msms.cgi?MassType=1&amp;NumAxis=1&amp;Mod28=170&amp;Pep=QVVSASYNSPIGLYSTSNIQDALHGQLR&amp;Dta=/var/www/html/dta/yong/23612.16862.3.dta&amp;Global_Mod=CS57.0215", "16862")</f>
        <v>16862</v>
      </c>
      <c r="M1618" s="4" t="str">
        <f>HYPERLINK("http://ms.phosphosite.org:5080/cgi-bin/plot-msms.cgi?MassType=1&amp;NumAxis=1&amp;Mod28=170&amp;Pep=QVVSASYNSPIGLYSTSNIQDALHGQLR&amp;Dta=/var/www/html/dta/yong/23613.16955.3.dta&amp;Global_Mod=CS57.0215", "16955")</f>
        <v>16955</v>
      </c>
      <c r="N1618" s="5">
        <v>69.23</v>
      </c>
      <c r="O1618" s="5">
        <v>69.23</v>
      </c>
      <c r="P1618" s="5">
        <v>5.2210000000000001</v>
      </c>
      <c r="Q1618" s="5">
        <v>4.17</v>
      </c>
      <c r="R1618" s="5">
        <v>0.47899999999999998</v>
      </c>
      <c r="S1618" s="5">
        <v>2.7900000000000001E-2</v>
      </c>
      <c r="T1618" s="5">
        <v>0.47939999999999999</v>
      </c>
      <c r="U1618" s="5">
        <v>0.37790000000000001</v>
      </c>
      <c r="V1618" s="4">
        <v>1</v>
      </c>
      <c r="W1618" s="4">
        <v>1</v>
      </c>
      <c r="X1618" s="5">
        <v>3.24</v>
      </c>
      <c r="Y1618" s="5">
        <v>2.4900000000000002</v>
      </c>
      <c r="Z1618" s="6">
        <v>1000</v>
      </c>
      <c r="AA1618" s="6">
        <v>1000</v>
      </c>
      <c r="AB1618" s="4" t="s">
        <v>13</v>
      </c>
    </row>
    <row r="1619" spans="1:28">
      <c r="A1619" s="3" t="s">
        <v>160</v>
      </c>
      <c r="B1619" s="24" t="s">
        <v>2249</v>
      </c>
      <c r="C1619" s="26" t="s">
        <v>2250</v>
      </c>
      <c r="D1619" s="4">
        <v>182</v>
      </c>
      <c r="E1619" s="3" t="s">
        <v>183</v>
      </c>
      <c r="F1619" s="3" t="s">
        <v>2251</v>
      </c>
      <c r="G1619" s="4">
        <v>22.4</v>
      </c>
      <c r="H1619" s="3" t="s">
        <v>2252</v>
      </c>
      <c r="I1619" s="3" t="s">
        <v>2253</v>
      </c>
      <c r="J1619" s="4">
        <v>3</v>
      </c>
      <c r="K1619" s="4">
        <v>877.08079999999995</v>
      </c>
      <c r="L1619" s="4" t="str">
        <f>HYPERLINK("http://ms.phosphosite.org:5080/cgi-bin/plot-msms.cgi?MassType=1&amp;NumAxis=1&amp;Mod7=147&amp;Mod11=170&amp;Mod18=147&amp;Mod23=147&amp;Pep=NVIGLQMGTNRGASQAGMTGYGMPR&amp;Dta=/var/www/html/dta/yong/23612.7635.3.dta&amp;Global_Mod=CS57.0215", "7635")</f>
        <v>7635</v>
      </c>
      <c r="M1619" s="4" t="str">
        <f>HYPERLINK("http://ms.phosphosite.org:5080/cgi-bin/plot-msms.cgi?MassType=1&amp;NumAxis=1&amp;Mod7=147&amp;Mod11=170&amp;Mod18=147&amp;Mod23=147&amp;Pep=NVIGLQMGTNRGASQAGMTGYGMPR&amp;Dta=/var/www/html/dta/yong/23613.7709.3.dta&amp;Global_Mod=CS57.0215", "7709")</f>
        <v>7709</v>
      </c>
      <c r="N1619" s="5">
        <v>35.53</v>
      </c>
      <c r="O1619" s="5">
        <v>35.69</v>
      </c>
      <c r="P1619" s="5">
        <v>4.6900000000000004</v>
      </c>
      <c r="Q1619" s="5">
        <v>2.992</v>
      </c>
      <c r="R1619" s="5">
        <v>0.98109999999999997</v>
      </c>
      <c r="S1619" s="5">
        <v>1.3908</v>
      </c>
      <c r="T1619" s="5">
        <v>0.5121</v>
      </c>
      <c r="U1619" s="5">
        <v>0.1772</v>
      </c>
      <c r="V1619" s="4">
        <v>1</v>
      </c>
      <c r="W1619" s="4">
        <v>3</v>
      </c>
      <c r="X1619" s="5">
        <v>3.23</v>
      </c>
      <c r="Y1619" s="5">
        <v>1.1599999999999999</v>
      </c>
      <c r="Z1619" s="6">
        <v>1000</v>
      </c>
      <c r="AA1619" s="6">
        <v>1000</v>
      </c>
      <c r="AB1619" s="4" t="s">
        <v>13</v>
      </c>
    </row>
    <row r="1620" spans="1:28">
      <c r="A1620" s="3" t="s">
        <v>160</v>
      </c>
      <c r="B1620" s="24" t="s">
        <v>2249</v>
      </c>
      <c r="C1620" s="26" t="s">
        <v>2250</v>
      </c>
      <c r="D1620" s="4">
        <v>182</v>
      </c>
      <c r="E1620" s="3" t="s">
        <v>183</v>
      </c>
      <c r="F1620" s="3" t="s">
        <v>2251</v>
      </c>
      <c r="G1620" s="4">
        <v>22.4</v>
      </c>
      <c r="H1620" s="3" t="s">
        <v>2252</v>
      </c>
      <c r="I1620" s="3" t="s">
        <v>2253</v>
      </c>
      <c r="J1620" s="4">
        <v>3</v>
      </c>
      <c r="K1620" s="4">
        <v>877.08079999999995</v>
      </c>
      <c r="L1620" s="4" t="str">
        <f>HYPERLINK("http://ms.phosphosite.org:5080/cgi-bin/plot-msms.cgi?MassType=1&amp;NumAxis=1&amp;Mod7=147&amp;Mod11=170&amp;Mod18=147&amp;Mod23=147&amp;Pep=NVIGLQMGTNRGASQAGMTGYGMPR&amp;Dta=/var/www/html/dta/yong/23612.7626.3.dta&amp;Global_Mod=CS57.0215", "7626")</f>
        <v>7626</v>
      </c>
      <c r="M1620" s="4"/>
      <c r="N1620" s="5">
        <v>35.49</v>
      </c>
      <c r="O1620" s="5"/>
      <c r="P1620" s="5">
        <v>4.992</v>
      </c>
      <c r="Q1620" s="5"/>
      <c r="R1620" s="5">
        <v>0.98109999999999997</v>
      </c>
      <c r="S1620" s="5"/>
      <c r="T1620" s="5">
        <v>0.55459999999999998</v>
      </c>
      <c r="U1620" s="5"/>
      <c r="V1620" s="4">
        <v>1</v>
      </c>
      <c r="W1620" s="4"/>
      <c r="X1620" s="5">
        <v>3.5</v>
      </c>
      <c r="Y1620" s="5"/>
      <c r="Z1620" s="6">
        <v>1000</v>
      </c>
      <c r="AA1620" s="6"/>
      <c r="AB1620" s="4" t="s">
        <v>13</v>
      </c>
    </row>
    <row r="1621" spans="1:28">
      <c r="A1621" s="3" t="s">
        <v>160</v>
      </c>
      <c r="B1621" s="24" t="s">
        <v>2249</v>
      </c>
      <c r="C1621" s="26" t="s">
        <v>2250</v>
      </c>
      <c r="D1621" s="4">
        <v>182</v>
      </c>
      <c r="E1621" s="3" t="s">
        <v>183</v>
      </c>
      <c r="F1621" s="3" t="s">
        <v>2251</v>
      </c>
      <c r="G1621" s="4">
        <v>22.4</v>
      </c>
      <c r="H1621" s="3" t="s">
        <v>2252</v>
      </c>
      <c r="I1621" s="3" t="s">
        <v>2253</v>
      </c>
      <c r="J1621" s="4">
        <v>3</v>
      </c>
      <c r="K1621" s="4">
        <v>877.08079999999995</v>
      </c>
      <c r="L1621" s="4" t="str">
        <f>HYPERLINK("http://ms.phosphosite.org:5080/cgi-bin/plot-msms.cgi?MassType=1&amp;NumAxis=1&amp;Mod7=147&amp;Mod11=170&amp;Mod18=147&amp;Mod23=147&amp;Pep=NVIGLQMGTNRGASQAGMTGYGMPR&amp;Dta=/var/www/html/dta/yong/23612.7668.3.dta&amp;Global_Mod=CS57.0215", "7668")</f>
        <v>7668</v>
      </c>
      <c r="M1621" s="4"/>
      <c r="N1621" s="5">
        <v>35.659999999999997</v>
      </c>
      <c r="O1621" s="5"/>
      <c r="P1621" s="5">
        <v>3.5990000000000002</v>
      </c>
      <c r="Q1621" s="5"/>
      <c r="R1621" s="5">
        <v>0.98109999999999997</v>
      </c>
      <c r="S1621" s="5"/>
      <c r="T1621" s="5">
        <v>0.27460000000000001</v>
      </c>
      <c r="U1621" s="5"/>
      <c r="V1621" s="4">
        <v>6</v>
      </c>
      <c r="W1621" s="4"/>
      <c r="X1621" s="5">
        <v>1.84</v>
      </c>
      <c r="Y1621" s="5"/>
      <c r="Z1621" s="6">
        <v>1000</v>
      </c>
      <c r="AA1621" s="6"/>
      <c r="AB1621" s="4" t="s">
        <v>13</v>
      </c>
    </row>
    <row r="1622" spans="1:28">
      <c r="A1622" s="3" t="s">
        <v>160</v>
      </c>
      <c r="B1622" s="24" t="s">
        <v>2249</v>
      </c>
      <c r="C1622" s="26" t="s">
        <v>2250</v>
      </c>
      <c r="D1622" s="4">
        <v>196</v>
      </c>
      <c r="E1622" s="3" t="s">
        <v>183</v>
      </c>
      <c r="F1622" s="3" t="s">
        <v>2251</v>
      </c>
      <c r="G1622" s="4">
        <v>22.4</v>
      </c>
      <c r="H1622" s="3" t="s">
        <v>184</v>
      </c>
      <c r="I1622" s="3" t="s">
        <v>2254</v>
      </c>
      <c r="J1622" s="4">
        <v>2</v>
      </c>
      <c r="K1622" s="4">
        <v>715.31359999999995</v>
      </c>
      <c r="L1622" s="4" t="str">
        <f>HYPERLINK("http://ms.phosphosite.org:5080/cgi-bin/plot-msms.cgi?MassType=1&amp;NumAxis=1&amp;Mod7=147&amp;Mod12=147&amp;Mod14=170&amp;Pep=GASQAGMTGYGMPR&amp;Dta=/var/www/html/dta/yong/23612.3317.2.dta&amp;Global_Mod=CS57.0215", "3317")</f>
        <v>3317</v>
      </c>
      <c r="M1622" s="4" t="str">
        <f>HYPERLINK("http://ms.phosphosite.org:5080/cgi-bin/plot-msms.cgi?MassType=1&amp;NumAxis=1&amp;Mod7=147&amp;Mod12=147&amp;Mod14=170&amp;Pep=GASQAGMTGYGMPR&amp;Dta=/var/www/html/dta/yong/23613.3343.2.dta&amp;Global_Mod=CS57.0215", "3343")</f>
        <v>3343</v>
      </c>
      <c r="N1622" s="5">
        <v>19.350000000000001</v>
      </c>
      <c r="O1622" s="5">
        <v>19.28</v>
      </c>
      <c r="P1622" s="5">
        <v>3.3959999999999999</v>
      </c>
      <c r="Q1622" s="5">
        <v>3.5960000000000001</v>
      </c>
      <c r="R1622" s="5">
        <v>1.0682</v>
      </c>
      <c r="S1622" s="5">
        <v>0.8226</v>
      </c>
      <c r="T1622" s="5">
        <v>0.43609999999999999</v>
      </c>
      <c r="U1622" s="5">
        <v>0.44600000000000001</v>
      </c>
      <c r="V1622" s="4">
        <v>1</v>
      </c>
      <c r="W1622" s="4">
        <v>1</v>
      </c>
      <c r="X1622" s="5">
        <v>2.86</v>
      </c>
      <c r="Y1622" s="5">
        <v>2.92</v>
      </c>
      <c r="Z1622" s="6">
        <v>1000</v>
      </c>
      <c r="AA1622" s="6">
        <v>1000</v>
      </c>
      <c r="AB1622" s="4" t="s">
        <v>13</v>
      </c>
    </row>
    <row r="1623" spans="1:28">
      <c r="A1623" s="3" t="s">
        <v>160</v>
      </c>
      <c r="B1623" s="24" t="s">
        <v>2249</v>
      </c>
      <c r="C1623" s="26" t="s">
        <v>2250</v>
      </c>
      <c r="D1623" s="4">
        <v>196</v>
      </c>
      <c r="E1623" s="3" t="s">
        <v>183</v>
      </c>
      <c r="F1623" s="3" t="s">
        <v>2251</v>
      </c>
      <c r="G1623" s="4">
        <v>22.4</v>
      </c>
      <c r="H1623" s="3" t="s">
        <v>184</v>
      </c>
      <c r="I1623" s="3" t="s">
        <v>2255</v>
      </c>
      <c r="J1623" s="4">
        <v>2</v>
      </c>
      <c r="K1623" s="4">
        <v>707.31610000000001</v>
      </c>
      <c r="L1623" s="4" t="str">
        <f>HYPERLINK("http://ms.phosphosite.org:5080/cgi-bin/plot-msms.cgi?MassType=1&amp;NumAxis=1&amp;Mod7=147&amp;Mod14=170&amp;Pep=GASQAGMTGYGMPR&amp;Dta=/var/www/html/dta/yong/23612.5918.2.dta&amp;Global_Mod=CS57.0215", "5918")</f>
        <v>5918</v>
      </c>
      <c r="M1623" s="4" t="str">
        <f>HYPERLINK("http://ms.phosphosite.org:5080/cgi-bin/plot-msms.cgi?MassType=1&amp;NumAxis=1&amp;Mod7=147&amp;Mod14=170&amp;Pep=GASQAGMTGYGMPR&amp;Dta=/var/www/html/dta/yong/23613.5953.2.dta&amp;Global_Mod=CS57.0215", "5953")</f>
        <v>5953</v>
      </c>
      <c r="N1623" s="5">
        <v>29.26</v>
      </c>
      <c r="O1623" s="5">
        <v>29.21</v>
      </c>
      <c r="P1623" s="5">
        <v>2.9550000000000001</v>
      </c>
      <c r="Q1623" s="5">
        <v>3.3420000000000001</v>
      </c>
      <c r="R1623" s="5">
        <v>0.82440000000000002</v>
      </c>
      <c r="S1623" s="5">
        <v>1.0718000000000001</v>
      </c>
      <c r="T1623" s="5">
        <v>0.4481</v>
      </c>
      <c r="U1623" s="5">
        <v>0.50860000000000005</v>
      </c>
      <c r="V1623" s="4">
        <v>1</v>
      </c>
      <c r="W1623" s="4">
        <v>1</v>
      </c>
      <c r="X1623" s="5">
        <v>2.84</v>
      </c>
      <c r="Y1623" s="5">
        <v>3.16</v>
      </c>
      <c r="Z1623" s="6">
        <v>1000</v>
      </c>
      <c r="AA1623" s="6">
        <v>1000</v>
      </c>
      <c r="AB1623" s="4" t="s">
        <v>13</v>
      </c>
    </row>
    <row r="1624" spans="1:28">
      <c r="A1624" s="3" t="s">
        <v>160</v>
      </c>
      <c r="B1624" s="24" t="s">
        <v>2249</v>
      </c>
      <c r="C1624" s="26" t="s">
        <v>2250</v>
      </c>
      <c r="D1624" s="4">
        <v>196</v>
      </c>
      <c r="E1624" s="3" t="s">
        <v>183</v>
      </c>
      <c r="F1624" s="3" t="s">
        <v>2251</v>
      </c>
      <c r="G1624" s="4">
        <v>22.4</v>
      </c>
      <c r="H1624" s="3" t="s">
        <v>184</v>
      </c>
      <c r="I1624" s="3" t="s">
        <v>2256</v>
      </c>
      <c r="J1624" s="4">
        <v>2</v>
      </c>
      <c r="K1624" s="4">
        <v>707.31610000000001</v>
      </c>
      <c r="L1624" s="4" t="str">
        <f>HYPERLINK("http://ms.phosphosite.org:5080/cgi-bin/plot-msms.cgi?MassType=1&amp;NumAxis=1&amp;Mod12=147&amp;Mod14=170&amp;Pep=GASQAGMTGYGMPR&amp;Dta=/var/www/html/dta/yong/23612.5315.2.dta&amp;Global_Mod=CS57.0215", "5315")</f>
        <v>5315</v>
      </c>
      <c r="M1624" s="4" t="str">
        <f>HYPERLINK("http://ms.phosphosite.org:5080/cgi-bin/plot-msms.cgi?MassType=1&amp;NumAxis=1&amp;Mod12=147&amp;Mod14=170&amp;Pep=GASQAGMTGYGMPR&amp;Dta=/var/www/html/dta/yong/23613.5358.2.dta&amp;Global_Mod=CS57.0215", "5358")</f>
        <v>5358</v>
      </c>
      <c r="N1624" s="5">
        <v>27.02</v>
      </c>
      <c r="O1624" s="5">
        <v>26.98</v>
      </c>
      <c r="P1624" s="5">
        <v>3.4049999999999998</v>
      </c>
      <c r="Q1624" s="5">
        <v>3.1549999999999998</v>
      </c>
      <c r="R1624" s="5">
        <v>0.50439999999999996</v>
      </c>
      <c r="S1624" s="5">
        <v>0.72550000000000003</v>
      </c>
      <c r="T1624" s="5">
        <v>0.49780000000000002</v>
      </c>
      <c r="U1624" s="5">
        <v>0.44209999999999999</v>
      </c>
      <c r="V1624" s="4">
        <v>1</v>
      </c>
      <c r="W1624" s="4">
        <v>1</v>
      </c>
      <c r="X1624" s="5">
        <v>3.19</v>
      </c>
      <c r="Y1624" s="5">
        <v>2.81</v>
      </c>
      <c r="Z1624" s="6">
        <v>1000</v>
      </c>
      <c r="AA1624" s="6">
        <v>1000</v>
      </c>
      <c r="AB1624" s="4" t="s">
        <v>13</v>
      </c>
    </row>
    <row r="1625" spans="1:28">
      <c r="A1625" s="3" t="s">
        <v>160</v>
      </c>
      <c r="B1625" s="24" t="s">
        <v>2257</v>
      </c>
      <c r="C1625" s="26" t="s">
        <v>2258</v>
      </c>
      <c r="D1625" s="4" t="s">
        <v>2259</v>
      </c>
      <c r="E1625" s="3" t="s">
        <v>2260</v>
      </c>
      <c r="F1625" s="3" t="s">
        <v>2261</v>
      </c>
      <c r="G1625" s="4">
        <v>80.8</v>
      </c>
      <c r="H1625" s="3" t="s">
        <v>2262</v>
      </c>
      <c r="I1625" s="3" t="s">
        <v>2263</v>
      </c>
      <c r="J1625" s="4">
        <v>4</v>
      </c>
      <c r="K1625" s="4">
        <v>696.27059999999994</v>
      </c>
      <c r="L1625" s="4"/>
      <c r="M1625" s="4" t="str">
        <f>HYPERLINK("http://ms.phosphosite.org:5080/cgi-bin/plot-msms.cgi?MassType=1&amp;NumAxis=1&amp;Mod17=170&amp;Mod22=170&amp;Pep=MEFYCEACETAMCGECRAGEHR&amp;Dta=/var/www/html/dta/yong/23613.4798.4.dta&amp;Global_Mod=CS57.0215", "4798")</f>
        <v>4798</v>
      </c>
      <c r="N1625" s="5"/>
      <c r="O1625" s="5">
        <v>24.86</v>
      </c>
      <c r="P1625" s="5"/>
      <c r="Q1625" s="5">
        <v>2.7669999999999999</v>
      </c>
      <c r="R1625" s="5"/>
      <c r="S1625" s="5">
        <v>-1.7051000000000001</v>
      </c>
      <c r="T1625" s="5"/>
      <c r="U1625" s="5">
        <v>0.31480000000000002</v>
      </c>
      <c r="V1625" s="4"/>
      <c r="W1625" s="4">
        <v>3</v>
      </c>
      <c r="X1625" s="5"/>
      <c r="Y1625" s="5">
        <v>1.73</v>
      </c>
      <c r="Z1625" s="6"/>
      <c r="AA1625" s="6" t="s">
        <v>1306</v>
      </c>
      <c r="AB1625" s="4" t="s">
        <v>13</v>
      </c>
    </row>
    <row r="1626" spans="1:28">
      <c r="A1626" s="3" t="s">
        <v>160</v>
      </c>
      <c r="B1626" s="24" t="s">
        <v>2264</v>
      </c>
      <c r="C1626" t="s">
        <v>2265</v>
      </c>
      <c r="D1626" s="4">
        <v>64</v>
      </c>
      <c r="E1626" s="3" t="s">
        <v>2266</v>
      </c>
      <c r="F1626" s="3" t="s">
        <v>2267</v>
      </c>
      <c r="G1626" s="4">
        <v>53.6</v>
      </c>
      <c r="H1626" s="3" t="s">
        <v>2268</v>
      </c>
      <c r="I1626" s="3" t="s">
        <v>2269</v>
      </c>
      <c r="J1626" s="4">
        <v>2</v>
      </c>
      <c r="K1626" s="4">
        <v>540.27760000000001</v>
      </c>
      <c r="L1626" s="4"/>
      <c r="M1626" s="4" t="str">
        <f>HYPERLINK("http://ms.phosphosite.org:5080/cgi-bin/plot-msms.cgi?MassType=1&amp;NumAxis=1&amp;Mod11=170&amp;Pep=ASSPGGVYATR&amp;Dta=/var/www/html/dta/yong/23613.4608.2.dta&amp;Global_Mod=CS57.0215", "4608")</f>
        <v>4608</v>
      </c>
      <c r="N1626" s="5"/>
      <c r="O1626" s="5">
        <v>24.11</v>
      </c>
      <c r="P1626" s="5"/>
      <c r="Q1626" s="5">
        <v>1.996</v>
      </c>
      <c r="R1626" s="5"/>
      <c r="S1626" s="5">
        <v>0.44209999999999999</v>
      </c>
      <c r="T1626" s="5"/>
      <c r="U1626" s="5">
        <v>0.19600000000000001</v>
      </c>
      <c r="V1626" s="4"/>
      <c r="W1626" s="4">
        <v>45</v>
      </c>
      <c r="X1626" s="5"/>
      <c r="Y1626" s="5">
        <v>1.38</v>
      </c>
      <c r="Z1626" s="6"/>
      <c r="AA1626" s="6">
        <v>1000</v>
      </c>
      <c r="AB1626" s="4" t="s">
        <v>13</v>
      </c>
    </row>
    <row r="1627" spans="1:28">
      <c r="A1627" s="3" t="s">
        <v>160</v>
      </c>
      <c r="B1627" s="24" t="s">
        <v>2264</v>
      </c>
      <c r="C1627" t="s">
        <v>2265</v>
      </c>
      <c r="D1627" s="4">
        <v>64</v>
      </c>
      <c r="E1627" s="3" t="s">
        <v>2266</v>
      </c>
      <c r="F1627" s="3" t="s">
        <v>2267</v>
      </c>
      <c r="G1627" s="4">
        <v>53.6</v>
      </c>
      <c r="H1627" s="3" t="s">
        <v>2268</v>
      </c>
      <c r="I1627" s="3" t="s">
        <v>2270</v>
      </c>
      <c r="J1627" s="4">
        <v>2</v>
      </c>
      <c r="K1627" s="4">
        <v>721.86739999999998</v>
      </c>
      <c r="L1627" s="4" t="str">
        <f>HYPERLINK("http://ms.phosphosite.org:5080/cgi-bin/plot-msms.cgi?MassType=1&amp;NumAxis=1&amp;Mod14=170&amp;Pep=SLYASSPGGVYATR&amp;Dta=/var/www/html/dta/yong/23612.8834.2.dta&amp;Global_Mod=CS57.0215", "8834")</f>
        <v>8834</v>
      </c>
      <c r="M1627" s="4" t="str">
        <f>HYPERLINK("http://ms.phosphosite.org:5080/cgi-bin/plot-msms.cgi?MassType=1&amp;NumAxis=1&amp;Mod14=170&amp;Pep=SLYASSPGGVYATR&amp;Dta=/var/www/html/dta/yong/23613.8869.2.dta&amp;Global_Mod=CS57.0215", "8869")</f>
        <v>8869</v>
      </c>
      <c r="N1627" s="5">
        <v>39.81</v>
      </c>
      <c r="O1627" s="5">
        <v>39.869999999999997</v>
      </c>
      <c r="P1627" s="5">
        <v>3.593</v>
      </c>
      <c r="Q1627" s="5">
        <v>3.7890000000000001</v>
      </c>
      <c r="R1627" s="5">
        <v>5.6000000000000001E-2</v>
      </c>
      <c r="S1627" s="5">
        <v>0.77939999999999998</v>
      </c>
      <c r="T1627" s="5">
        <v>0.36159999999999998</v>
      </c>
      <c r="U1627" s="5">
        <v>0.40510000000000002</v>
      </c>
      <c r="V1627" s="4">
        <v>1</v>
      </c>
      <c r="W1627" s="4">
        <v>1</v>
      </c>
      <c r="X1627" s="5">
        <v>2.5</v>
      </c>
      <c r="Y1627" s="5">
        <v>2.75</v>
      </c>
      <c r="Z1627" s="6">
        <v>1000</v>
      </c>
      <c r="AA1627" s="6">
        <v>1000</v>
      </c>
      <c r="AB1627" s="4" t="s">
        <v>13</v>
      </c>
    </row>
    <row r="1628" spans="1:28">
      <c r="A1628" s="3" t="s">
        <v>160</v>
      </c>
      <c r="B1628" s="24" t="s">
        <v>2264</v>
      </c>
      <c r="C1628" t="s">
        <v>2265</v>
      </c>
      <c r="D1628" s="4">
        <v>64</v>
      </c>
      <c r="E1628" s="3" t="s">
        <v>2266</v>
      </c>
      <c r="F1628" s="3" t="s">
        <v>2267</v>
      </c>
      <c r="G1628" s="4">
        <v>53.6</v>
      </c>
      <c r="H1628" s="3" t="s">
        <v>2268</v>
      </c>
      <c r="I1628" s="3" t="s">
        <v>2270</v>
      </c>
      <c r="J1628" s="4">
        <v>2</v>
      </c>
      <c r="K1628" s="4">
        <v>721.86739999999998</v>
      </c>
      <c r="L1628" s="4"/>
      <c r="M1628" s="4" t="str">
        <f>HYPERLINK("http://ms.phosphosite.org:5080/cgi-bin/plot-msms.cgi?MassType=1&amp;NumAxis=1&amp;Mod14=170&amp;Pep=SLYASSPGGVYATR&amp;Dta=/var/www/html/dta/yong/23613.8863.2.dta&amp;Global_Mod=CS57.0215", "8863")</f>
        <v>8863</v>
      </c>
      <c r="N1628" s="5"/>
      <c r="O1628" s="5">
        <v>39.85</v>
      </c>
      <c r="P1628" s="5"/>
      <c r="Q1628" s="5">
        <v>3.089</v>
      </c>
      <c r="R1628" s="5"/>
      <c r="S1628" s="5">
        <v>0.28799999999999998</v>
      </c>
      <c r="T1628" s="5"/>
      <c r="U1628" s="5">
        <v>0.33650000000000002</v>
      </c>
      <c r="V1628" s="4"/>
      <c r="W1628" s="4">
        <v>1</v>
      </c>
      <c r="X1628" s="5"/>
      <c r="Y1628" s="5">
        <v>2.2799999999999998</v>
      </c>
      <c r="Z1628" s="6"/>
      <c r="AA1628" s="6">
        <v>1000</v>
      </c>
      <c r="AB1628" s="4" t="s">
        <v>13</v>
      </c>
    </row>
    <row r="1629" spans="1:28">
      <c r="A1629" s="3" t="s">
        <v>193</v>
      </c>
      <c r="B1629" s="24" t="s">
        <v>2271</v>
      </c>
      <c r="C1629" s="26" t="s">
        <v>2271</v>
      </c>
      <c r="D1629" s="4">
        <v>2155</v>
      </c>
      <c r="E1629" s="3" t="s">
        <v>2272</v>
      </c>
      <c r="F1629" s="3" t="s">
        <v>2273</v>
      </c>
      <c r="G1629" s="4">
        <v>338.1</v>
      </c>
      <c r="H1629" s="3" t="s">
        <v>2274</v>
      </c>
      <c r="I1629" s="3" t="s">
        <v>2275</v>
      </c>
      <c r="J1629" s="4">
        <v>3</v>
      </c>
      <c r="K1629" s="4">
        <v>789.41650000000004</v>
      </c>
      <c r="L1629" s="4"/>
      <c r="M1629" s="4" t="str">
        <f>HYPERLINK("http://ms.phosphosite.org:5080/cgi-bin/plot-msms.cgi?MassType=1&amp;NumAxis=1&amp;Mod22=170&amp;Pep=VLGIIPSSTGTSQQTFTSFQPR&amp;Dta=/var/www/html/dta/yong/23613.15968.3.dta&amp;Global_Mod=CS57.0215", "15968")</f>
        <v>15968</v>
      </c>
      <c r="N1629" s="5"/>
      <c r="O1629" s="5">
        <v>65.14</v>
      </c>
      <c r="P1629" s="5"/>
      <c r="Q1629" s="5">
        <v>4.1269999999999998</v>
      </c>
      <c r="R1629" s="5"/>
      <c r="S1629" s="5">
        <v>0.64559999999999995</v>
      </c>
      <c r="T1629" s="5"/>
      <c r="U1629" s="5">
        <v>0.42799999999999999</v>
      </c>
      <c r="V1629" s="4"/>
      <c r="W1629" s="4">
        <v>1</v>
      </c>
      <c r="X1629" s="5"/>
      <c r="Y1629" s="5">
        <v>2.81</v>
      </c>
      <c r="Z1629" s="6"/>
      <c r="AA1629" s="6">
        <v>1000</v>
      </c>
      <c r="AB1629" s="4" t="s">
        <v>13</v>
      </c>
    </row>
    <row r="1630" spans="1:28">
      <c r="A1630" s="3" t="s">
        <v>193</v>
      </c>
      <c r="B1630" s="24" t="s">
        <v>2276</v>
      </c>
      <c r="C1630" s="26" t="s">
        <v>2276</v>
      </c>
      <c r="D1630" s="4">
        <v>9</v>
      </c>
      <c r="E1630" s="3" t="s">
        <v>2277</v>
      </c>
      <c r="F1630" s="3" t="s">
        <v>2278</v>
      </c>
      <c r="G1630" s="4">
        <v>100.9</v>
      </c>
      <c r="H1630" s="3" t="s">
        <v>2279</v>
      </c>
      <c r="I1630" s="3" t="s">
        <v>2280</v>
      </c>
      <c r="J1630" s="4">
        <v>3</v>
      </c>
      <c r="K1630" s="4">
        <v>524.95839999999998</v>
      </c>
      <c r="L1630" s="4" t="str">
        <f>HYPERLINK("http://ms.phosphosite.org:5080/cgi-bin/plot-msms.cgi?MassType=1&amp;NumAxis=1&amp;Mod6=170&amp;Pep=AGATSRGGQAPGFLLR&amp;Dta=/var/www/html/dta/yong/23612.9375.3.dta&amp;Global_Mod=CS57.0215", "9375")</f>
        <v>9375</v>
      </c>
      <c r="M1630" s="4" t="str">
        <f>HYPERLINK("http://ms.phosphosite.org:5080/cgi-bin/plot-msms.cgi?MassType=1&amp;NumAxis=1&amp;Mod6=170&amp;Pep=AGATSRGGQAPGFLLR&amp;Dta=/var/www/html/dta/yong/23613.9419.3.dta&amp;Global_Mod=CS57.0215", "9419")</f>
        <v>9419</v>
      </c>
      <c r="N1630" s="5">
        <v>41.81</v>
      </c>
      <c r="O1630" s="5">
        <v>41.84</v>
      </c>
      <c r="P1630" s="5">
        <v>3.9940000000000002</v>
      </c>
      <c r="Q1630" s="5">
        <v>3.1890000000000001</v>
      </c>
      <c r="R1630" s="5">
        <v>0.28320000000000001</v>
      </c>
      <c r="S1630" s="5">
        <v>0.2908</v>
      </c>
      <c r="T1630" s="5">
        <v>0.30259999999999998</v>
      </c>
      <c r="U1630" s="5">
        <v>0.34660000000000002</v>
      </c>
      <c r="V1630" s="4">
        <v>2</v>
      </c>
      <c r="W1630" s="4">
        <v>1</v>
      </c>
      <c r="X1630" s="5">
        <v>2.08</v>
      </c>
      <c r="Y1630" s="5">
        <v>2.12</v>
      </c>
      <c r="Z1630" s="6">
        <v>1000</v>
      </c>
      <c r="AA1630" s="6">
        <v>1000</v>
      </c>
      <c r="AB1630" s="4" t="s">
        <v>13</v>
      </c>
    </row>
    <row r="1631" spans="1:28">
      <c r="A1631" s="3" t="s">
        <v>193</v>
      </c>
      <c r="B1631" s="24" t="s">
        <v>2281</v>
      </c>
      <c r="C1631" t="s">
        <v>2281</v>
      </c>
      <c r="D1631" s="4">
        <v>934</v>
      </c>
      <c r="E1631" s="3" t="s">
        <v>2282</v>
      </c>
      <c r="F1631" s="3" t="s">
        <v>2283</v>
      </c>
      <c r="G1631" s="4">
        <v>163.69999999999999</v>
      </c>
      <c r="H1631" s="3" t="s">
        <v>2284</v>
      </c>
      <c r="I1631" s="3" t="s">
        <v>2285</v>
      </c>
      <c r="J1631" s="4">
        <v>2</v>
      </c>
      <c r="K1631" s="4">
        <v>685.3972</v>
      </c>
      <c r="L1631" s="4" t="str">
        <f>HYPERLINK("http://ms.phosphosite.org:5080/cgi-bin/plot-msms.cgi?MassType=1&amp;NumAxis=1&amp;Mod10=147&amp;Mod13=170&amp;Pep=VLVPLAAPSMSVR&amp;Dta=/var/www/html/dta/yong/23612.11741.2.dta&amp;Global_Mod=CS57.0215", "11741")</f>
        <v>11741</v>
      </c>
      <c r="M1631" s="4" t="str">
        <f>HYPERLINK("http://ms.phosphosite.org:5080/cgi-bin/plot-msms.cgi?MassType=1&amp;NumAxis=1&amp;Mod10=147&amp;Mod13=170&amp;Pep=VLVPLAAPSMSVR&amp;Dta=/var/www/html/dta/yong/23613.11828.2.dta&amp;Global_Mod=CS57.0215", "11828")</f>
        <v>11828</v>
      </c>
      <c r="N1631" s="5">
        <v>49.96</v>
      </c>
      <c r="O1631" s="5">
        <v>49.93</v>
      </c>
      <c r="P1631" s="5">
        <v>2.5659999999999998</v>
      </c>
      <c r="Q1631" s="5">
        <v>2.5459999999999998</v>
      </c>
      <c r="R1631" s="5">
        <v>0.61880000000000002</v>
      </c>
      <c r="S1631" s="5">
        <v>3.2199999999999999E-2</v>
      </c>
      <c r="T1631" s="5">
        <v>0.38800000000000001</v>
      </c>
      <c r="U1631" s="5">
        <v>0.30830000000000002</v>
      </c>
      <c r="V1631" s="4">
        <v>1</v>
      </c>
      <c r="W1631" s="4">
        <v>1</v>
      </c>
      <c r="X1631" s="5">
        <v>2.42</v>
      </c>
      <c r="Y1631" s="5">
        <v>1.96</v>
      </c>
      <c r="Z1631" s="6">
        <v>1000</v>
      </c>
      <c r="AA1631" s="6">
        <v>1000</v>
      </c>
      <c r="AB1631" s="4" t="s">
        <v>13</v>
      </c>
    </row>
    <row r="1632" spans="1:28">
      <c r="A1632" s="3" t="s">
        <v>193</v>
      </c>
      <c r="B1632" s="24" t="s">
        <v>2286</v>
      </c>
      <c r="C1632" s="26" t="s">
        <v>2286</v>
      </c>
      <c r="D1632" s="4" t="s">
        <v>2287</v>
      </c>
      <c r="E1632" s="3" t="s">
        <v>2288</v>
      </c>
      <c r="F1632" s="3" t="s">
        <v>2289</v>
      </c>
      <c r="G1632" s="4">
        <v>18.7</v>
      </c>
      <c r="H1632" s="3" t="s">
        <v>2290</v>
      </c>
      <c r="I1632" s="3" t="s">
        <v>2291</v>
      </c>
      <c r="J1632" s="4">
        <v>3</v>
      </c>
      <c r="K1632" s="4">
        <v>754.04790000000003</v>
      </c>
      <c r="L1632" s="4" t="str">
        <f>HYPERLINK("http://ms.phosphosite.org:5080/cgi-bin/plot-msms.cgi?MassType=1&amp;NumAxis=1&amp;Mod2=170&amp;Mod4=170&amp;Pep=SRGRGFQFVSSSLPDICYR&amp;Dta=/var/www/html/dta/yong/23612.13523.3.dta&amp;Global_Mod=CS57.0215", "13523")</f>
        <v>13523</v>
      </c>
      <c r="M1632" s="4" t="str">
        <f>HYPERLINK("http://ms.phosphosite.org:5080/cgi-bin/plot-msms.cgi?MassType=1&amp;NumAxis=1&amp;Mod2=170&amp;Mod4=170&amp;Pep=SRGRGFQFVSSSLPDICYR&amp;Dta=/var/www/html/dta/yong/23613.13596.3.dta&amp;Global_Mod=CS57.0215", "13596")</f>
        <v>13596</v>
      </c>
      <c r="N1632" s="5">
        <v>56.14</v>
      </c>
      <c r="O1632" s="5">
        <v>56.07</v>
      </c>
      <c r="P1632" s="5">
        <v>3.492</v>
      </c>
      <c r="Q1632" s="5">
        <v>2.9470000000000001</v>
      </c>
      <c r="R1632" s="5">
        <v>1.2043999999999999</v>
      </c>
      <c r="S1632" s="5">
        <v>5.0599999999999999E-2</v>
      </c>
      <c r="T1632" s="5">
        <v>0.32050000000000001</v>
      </c>
      <c r="U1632" s="5">
        <v>0.26279999999999998</v>
      </c>
      <c r="V1632" s="4">
        <v>1</v>
      </c>
      <c r="W1632" s="4">
        <v>1</v>
      </c>
      <c r="X1632" s="5">
        <v>1.81</v>
      </c>
      <c r="Y1632" s="5">
        <v>1.44</v>
      </c>
      <c r="Z1632" s="6" t="s">
        <v>1306</v>
      </c>
      <c r="AA1632" s="6" t="s">
        <v>1306</v>
      </c>
      <c r="AB1632" s="4" t="s">
        <v>13</v>
      </c>
    </row>
    <row r="1633" spans="1:28">
      <c r="A1633" s="3" t="s">
        <v>193</v>
      </c>
      <c r="B1633" s="24" t="s">
        <v>2286</v>
      </c>
      <c r="C1633" s="26" t="s">
        <v>2286</v>
      </c>
      <c r="D1633" s="4">
        <v>34</v>
      </c>
      <c r="E1633" s="3" t="s">
        <v>2288</v>
      </c>
      <c r="F1633" s="3" t="s">
        <v>2289</v>
      </c>
      <c r="G1633" s="4">
        <v>18.7</v>
      </c>
      <c r="H1633" s="3" t="s">
        <v>2292</v>
      </c>
      <c r="I1633" s="3" t="s">
        <v>2293</v>
      </c>
      <c r="J1633" s="4">
        <v>3</v>
      </c>
      <c r="K1633" s="4">
        <v>668.33159999999998</v>
      </c>
      <c r="L1633" s="4" t="str">
        <f>HYPERLINK("http://ms.phosphosite.org:5080/cgi-bin/plot-msms.cgi?MassType=1&amp;NumAxis=1&amp;Mod2=170&amp;Pep=GRGFQFVSSSLPDICYR&amp;Dta=/var/www/html/dta/yong/23612.15034.3.dta&amp;Global_Mod=CS57.0215", "15034")</f>
        <v>15034</v>
      </c>
      <c r="M1633" s="4" t="str">
        <f>HYPERLINK("http://ms.phosphosite.org:5080/cgi-bin/plot-msms.cgi?MassType=1&amp;NumAxis=1&amp;Mod2=170&amp;Pep=GRGFQFVSSSLPDICYR&amp;Dta=/var/www/html/dta/yong/23613.15130.3.dta&amp;Global_Mod=CS57.0215", "15130")</f>
        <v>15130</v>
      </c>
      <c r="N1633" s="5">
        <v>61.78</v>
      </c>
      <c r="O1633" s="5">
        <v>61.86</v>
      </c>
      <c r="P1633" s="5">
        <v>3.1219999999999999</v>
      </c>
      <c r="Q1633" s="5">
        <v>3.081</v>
      </c>
      <c r="R1633" s="5">
        <v>0.47110000000000002</v>
      </c>
      <c r="S1633" s="5">
        <v>0.44790000000000002</v>
      </c>
      <c r="T1633" s="5">
        <v>0.12509999999999999</v>
      </c>
      <c r="U1633" s="5">
        <v>0.10539999999999999</v>
      </c>
      <c r="V1633" s="4">
        <v>4</v>
      </c>
      <c r="W1633" s="4">
        <v>66</v>
      </c>
      <c r="X1633" s="5">
        <v>1.02</v>
      </c>
      <c r="Y1633" s="5">
        <v>0.88</v>
      </c>
      <c r="Z1633" s="6">
        <v>1000</v>
      </c>
      <c r="AA1633" s="6">
        <v>1000</v>
      </c>
      <c r="AB1633" s="4" t="s">
        <v>13</v>
      </c>
    </row>
    <row r="1634" spans="1:28">
      <c r="A1634" s="3" t="s">
        <v>193</v>
      </c>
      <c r="B1634" s="24" t="s">
        <v>2286</v>
      </c>
      <c r="C1634" s="26" t="s">
        <v>2286</v>
      </c>
      <c r="D1634" s="4">
        <v>79</v>
      </c>
      <c r="E1634" s="3" t="s">
        <v>2288</v>
      </c>
      <c r="F1634" s="3" t="s">
        <v>2294</v>
      </c>
      <c r="G1634" s="4">
        <v>19.399999999999999</v>
      </c>
      <c r="H1634" s="3" t="s">
        <v>2295</v>
      </c>
      <c r="I1634" s="3" t="s">
        <v>2296</v>
      </c>
      <c r="J1634" s="4">
        <v>3</v>
      </c>
      <c r="K1634" s="4">
        <v>680.92460000000005</v>
      </c>
      <c r="L1634" s="4" t="str">
        <f>HYPERLINK("http://ms.phosphosite.org:5080/cgi-bin/plot-msms.cgi?MassType=1&amp;NumAxis=1&amp;Mod14=170&amp;Pep=DCDLQEDACYNCGRGGH&amp;Dta=/var/www/html/dta/yong/23612.5984.3.dta&amp;Global_Mod=CS57.0215", "5984")</f>
        <v>5984</v>
      </c>
      <c r="M1634" s="4" t="str">
        <f>HYPERLINK("http://ms.phosphosite.org:5080/cgi-bin/plot-msms.cgi?MassType=1&amp;NumAxis=1&amp;Mod14=170&amp;Pep=DCDLQEDACYNCGRGGH&amp;Dta=/var/www/html/dta/yong/23613.6014.3.dta&amp;Global_Mod=CS57.0215", "6014")</f>
        <v>6014</v>
      </c>
      <c r="N1634" s="5">
        <v>29.51</v>
      </c>
      <c r="O1634" s="5">
        <v>29.45</v>
      </c>
      <c r="P1634" s="5">
        <v>2.6669999999999998</v>
      </c>
      <c r="Q1634" s="5">
        <v>2.786</v>
      </c>
      <c r="R1634" s="5">
        <v>1.2032</v>
      </c>
      <c r="S1634" s="5">
        <v>1.5502</v>
      </c>
      <c r="T1634" s="5">
        <v>0.22650000000000001</v>
      </c>
      <c r="U1634" s="5">
        <v>0.29110000000000003</v>
      </c>
      <c r="V1634" s="4">
        <v>1</v>
      </c>
      <c r="W1634" s="4">
        <v>1</v>
      </c>
      <c r="X1634" s="5">
        <v>1.44</v>
      </c>
      <c r="Y1634" s="5">
        <v>1.72</v>
      </c>
      <c r="Z1634" s="6">
        <v>1000</v>
      </c>
      <c r="AA1634" s="6">
        <v>1000</v>
      </c>
      <c r="AB1634" s="4" t="s">
        <v>13</v>
      </c>
    </row>
    <row r="1635" spans="1:28">
      <c r="A1635" s="3" t="s">
        <v>193</v>
      </c>
      <c r="B1635" s="24" t="s">
        <v>2297</v>
      </c>
      <c r="C1635" s="26" t="s">
        <v>2298</v>
      </c>
      <c r="D1635" s="4">
        <v>218</v>
      </c>
      <c r="E1635" s="3" t="s">
        <v>2299</v>
      </c>
      <c r="F1635" s="3" t="s">
        <v>2300</v>
      </c>
      <c r="G1635" s="4">
        <v>265.2</v>
      </c>
      <c r="H1635" s="3" t="s">
        <v>2301</v>
      </c>
      <c r="I1635" s="3" t="s">
        <v>2302</v>
      </c>
      <c r="J1635" s="4">
        <v>2</v>
      </c>
      <c r="K1635" s="4">
        <v>408.71980000000002</v>
      </c>
      <c r="L1635" s="4" t="str">
        <f>HYPERLINK("http://ms.phosphosite.org:5080/cgi-bin/plot-msms.cgi?MassType=1&amp;NumAxis=1&amp;Mod9=170&amp;Pep=NGSLGAAGR&amp;Dta=/var/www/html/dta/yong/23612.2326.2.dta&amp;Global_Mod=CS57.0215", "2326")</f>
        <v>2326</v>
      </c>
      <c r="M1635" s="4"/>
      <c r="N1635" s="5">
        <v>15.62</v>
      </c>
      <c r="O1635" s="5"/>
      <c r="P1635" s="5">
        <v>2.2799999999999998</v>
      </c>
      <c r="Q1635" s="5"/>
      <c r="R1635" s="5">
        <v>-0.46379999999999999</v>
      </c>
      <c r="S1635" s="5"/>
      <c r="T1635" s="5">
        <v>0.16969999999999999</v>
      </c>
      <c r="U1635" s="5"/>
      <c r="V1635" s="4">
        <v>10</v>
      </c>
      <c r="W1635" s="4"/>
      <c r="X1635" s="5">
        <v>1.25</v>
      </c>
      <c r="Y1635" s="5"/>
      <c r="Z1635" s="6">
        <v>1000</v>
      </c>
      <c r="AA1635" s="6"/>
      <c r="AB1635" s="4" t="s">
        <v>13</v>
      </c>
    </row>
    <row r="1636" spans="1:28">
      <c r="A1636" s="3" t="s">
        <v>193</v>
      </c>
      <c r="B1636" s="24" t="s">
        <v>225</v>
      </c>
      <c r="C1636" t="s">
        <v>226</v>
      </c>
      <c r="D1636" s="4">
        <v>68</v>
      </c>
      <c r="E1636" s="3" t="s">
        <v>227</v>
      </c>
      <c r="F1636" s="3" t="s">
        <v>2303</v>
      </c>
      <c r="G1636" s="4">
        <v>8.5</v>
      </c>
      <c r="H1636" s="3" t="s">
        <v>2304</v>
      </c>
      <c r="I1636" s="3" t="s">
        <v>2305</v>
      </c>
      <c r="J1636" s="4">
        <v>3</v>
      </c>
      <c r="K1636" s="4">
        <v>436.55459999999999</v>
      </c>
      <c r="L1636" s="4" t="str">
        <f>HYPERLINK("http://ms.phosphosite.org:5080/cgi-bin/plot-msms.cgi?MassType=1&amp;NumAxis=1&amp;Mod3=170&amp;Pep=FGRGGAESHTFK&amp;Dta=/var/www/html/dta/yong/23612.3690.3.dta&amp;Global_Mod=CS57.0215", "3690")</f>
        <v>3690</v>
      </c>
      <c r="M1636" s="4" t="str">
        <f>HYPERLINK("http://ms.phosphosite.org:5080/cgi-bin/plot-msms.cgi?MassType=1&amp;NumAxis=1&amp;Mod3=170&amp;Pep=FGRGGAESHTFK&amp;Dta=/var/www/html/dta/yong/23613.3247.3.dta&amp;Global_Mod=CS57.0215", "3247")</f>
        <v>3247</v>
      </c>
      <c r="N1636" s="5">
        <v>20.8</v>
      </c>
      <c r="O1636" s="5">
        <v>18.940000000000001</v>
      </c>
      <c r="P1636" s="5">
        <v>2.9830000000000001</v>
      </c>
      <c r="Q1636" s="5">
        <v>3.286</v>
      </c>
      <c r="R1636" s="5">
        <v>0.20119999999999999</v>
      </c>
      <c r="S1636" s="5">
        <v>-0.37509999999999999</v>
      </c>
      <c r="T1636" s="5">
        <v>0.14799999999999999</v>
      </c>
      <c r="U1636" s="5">
        <v>0.22589999999999999</v>
      </c>
      <c r="V1636" s="4">
        <v>1</v>
      </c>
      <c r="W1636" s="4">
        <v>1</v>
      </c>
      <c r="X1636" s="5">
        <v>1.3</v>
      </c>
      <c r="Y1636" s="5">
        <v>1.68</v>
      </c>
      <c r="Z1636" s="6">
        <v>1000</v>
      </c>
      <c r="AA1636" s="6">
        <v>1000</v>
      </c>
      <c r="AB1636" s="4" t="s">
        <v>13</v>
      </c>
    </row>
    <row r="1637" spans="1:28">
      <c r="A1637" s="3" t="s">
        <v>193</v>
      </c>
      <c r="B1637" s="24" t="s">
        <v>225</v>
      </c>
      <c r="C1637" t="s">
        <v>226</v>
      </c>
      <c r="D1637" s="4">
        <v>68</v>
      </c>
      <c r="E1637" s="3" t="s">
        <v>227</v>
      </c>
      <c r="F1637" s="3" t="s">
        <v>2303</v>
      </c>
      <c r="G1637" s="4">
        <v>8.5</v>
      </c>
      <c r="H1637" s="3" t="s">
        <v>2304</v>
      </c>
      <c r="I1637" s="3" t="s">
        <v>2305</v>
      </c>
      <c r="J1637" s="4">
        <v>3</v>
      </c>
      <c r="K1637" s="4">
        <v>436.55459999999999</v>
      </c>
      <c r="L1637" s="4" t="str">
        <f>HYPERLINK("http://ms.phosphosite.org:5080/cgi-bin/plot-msms.cgi?MassType=1&amp;NumAxis=1&amp;Mod3=170&amp;Pep=FGRGGAESHTFK&amp;Dta=/var/www/html/dta/yong/23612.3180.3.dta&amp;Global_Mod=CS57.0215", "3180")</f>
        <v>3180</v>
      </c>
      <c r="M1637" s="4" t="str">
        <f>HYPERLINK("http://ms.phosphosite.org:5080/cgi-bin/plot-msms.cgi?MassType=1&amp;NumAxis=1&amp;Mod3=170&amp;Pep=FGRGGAESHTFK&amp;Dta=/var/www/html/dta/yong/23613.3755.3.dta&amp;Global_Mod=CS57.0215", "3755")</f>
        <v>3755</v>
      </c>
      <c r="N1637" s="5">
        <v>18.86</v>
      </c>
      <c r="O1637" s="5">
        <v>20.87</v>
      </c>
      <c r="P1637" s="5">
        <v>2.738</v>
      </c>
      <c r="Q1637" s="5">
        <v>2.476</v>
      </c>
      <c r="R1637" s="5">
        <v>-0.42370000000000002</v>
      </c>
      <c r="S1637" s="5">
        <v>0.3488</v>
      </c>
      <c r="T1637" s="5">
        <v>5.7599999999999998E-2</v>
      </c>
      <c r="U1637" s="5">
        <v>8.3599999999999994E-2</v>
      </c>
      <c r="V1637" s="4">
        <v>1</v>
      </c>
      <c r="W1637" s="4">
        <v>4</v>
      </c>
      <c r="X1637" s="5">
        <v>0.77</v>
      </c>
      <c r="Y1637" s="5">
        <v>0.85</v>
      </c>
      <c r="Z1637" s="6">
        <v>1000</v>
      </c>
      <c r="AA1637" s="6">
        <v>1000</v>
      </c>
      <c r="AB1637" s="4" t="s">
        <v>13</v>
      </c>
    </row>
    <row r="1638" spans="1:28">
      <c r="A1638" s="3" t="s">
        <v>193</v>
      </c>
      <c r="B1638" s="24" t="s">
        <v>225</v>
      </c>
      <c r="C1638" t="s">
        <v>226</v>
      </c>
      <c r="D1638" s="4">
        <v>68</v>
      </c>
      <c r="E1638" s="3" t="s">
        <v>227</v>
      </c>
      <c r="F1638" s="3" t="s">
        <v>2303</v>
      </c>
      <c r="G1638" s="4">
        <v>8.5</v>
      </c>
      <c r="H1638" s="3" t="s">
        <v>2304</v>
      </c>
      <c r="I1638" s="3" t="s">
        <v>2306</v>
      </c>
      <c r="J1638" s="4">
        <v>2</v>
      </c>
      <c r="K1638" s="4">
        <v>494.73340000000002</v>
      </c>
      <c r="L1638" s="4" t="str">
        <f>HYPERLINK("http://ms.phosphosite.org:5080/cgi-bin/plot-msms.cgi?MassType=1&amp;NumAxis=1&amp;Mod4=170&amp;Pep=GFGRGGAESH&amp;Dta=/var/www/html/dta/yong/23612.1859.2.dta&amp;Global_Mod=CS57.0215", "1859")</f>
        <v>1859</v>
      </c>
      <c r="M1638" s="4"/>
      <c r="N1638" s="5">
        <v>13.87</v>
      </c>
      <c r="O1638" s="5"/>
      <c r="P1638" s="5">
        <v>2.085</v>
      </c>
      <c r="Q1638" s="5"/>
      <c r="R1638" s="5">
        <v>-0.30520000000000003</v>
      </c>
      <c r="S1638" s="5"/>
      <c r="T1638" s="5">
        <v>0.13719999999999999</v>
      </c>
      <c r="U1638" s="5"/>
      <c r="V1638" s="4">
        <v>49</v>
      </c>
      <c r="W1638" s="4"/>
      <c r="X1638" s="5">
        <v>0.98</v>
      </c>
      <c r="Y1638" s="5"/>
      <c r="Z1638" s="6">
        <v>1000</v>
      </c>
      <c r="AA1638" s="6"/>
      <c r="AB1638" s="4" t="s">
        <v>13</v>
      </c>
    </row>
    <row r="1639" spans="1:28">
      <c r="A1639" s="3" t="s">
        <v>193</v>
      </c>
      <c r="B1639" s="24" t="s">
        <v>225</v>
      </c>
      <c r="C1639" t="s">
        <v>226</v>
      </c>
      <c r="D1639" s="4">
        <v>68</v>
      </c>
      <c r="E1639" s="3" t="s">
        <v>227</v>
      </c>
      <c r="F1639" s="3" t="s">
        <v>2303</v>
      </c>
      <c r="G1639" s="4">
        <v>8.5</v>
      </c>
      <c r="H1639" s="3" t="s">
        <v>2304</v>
      </c>
      <c r="I1639" s="3" t="s">
        <v>2307</v>
      </c>
      <c r="J1639" s="4">
        <v>2</v>
      </c>
      <c r="K1639" s="4">
        <v>545.25720000000001</v>
      </c>
      <c r="L1639" s="4" t="str">
        <f>HYPERLINK("http://ms.phosphosite.org:5080/cgi-bin/plot-msms.cgi?MassType=1&amp;NumAxis=1&amp;Mod4=170&amp;Pep=GFGRGGAESHT&amp;Dta=/var/www/html/dta/yong/23612.2182.2.dta&amp;Global_Mod=CS57.0215", "2182")</f>
        <v>2182</v>
      </c>
      <c r="M1639" s="4"/>
      <c r="N1639" s="5">
        <v>15.08</v>
      </c>
      <c r="O1639" s="5"/>
      <c r="P1639" s="5">
        <v>1.847</v>
      </c>
      <c r="Q1639" s="5"/>
      <c r="R1639" s="5">
        <v>0.34189999999999998</v>
      </c>
      <c r="S1639" s="5"/>
      <c r="T1639" s="5">
        <v>9.5200000000000007E-2</v>
      </c>
      <c r="U1639" s="5"/>
      <c r="V1639" s="4">
        <v>33</v>
      </c>
      <c r="W1639" s="4"/>
      <c r="X1639" s="5">
        <v>0.76</v>
      </c>
      <c r="Y1639" s="5"/>
      <c r="Z1639" s="6">
        <v>1000</v>
      </c>
      <c r="AA1639" s="6"/>
      <c r="AB1639" s="4" t="s">
        <v>13</v>
      </c>
    </row>
    <row r="1640" spans="1:28">
      <c r="A1640" s="3" t="s">
        <v>193</v>
      </c>
      <c r="B1640" s="24" t="s">
        <v>225</v>
      </c>
      <c r="C1640" t="s">
        <v>226</v>
      </c>
      <c r="D1640" s="4">
        <v>68</v>
      </c>
      <c r="E1640" s="3" t="s">
        <v>227</v>
      </c>
      <c r="F1640" s="3" t="s">
        <v>2303</v>
      </c>
      <c r="G1640" s="4">
        <v>8.5</v>
      </c>
      <c r="H1640" s="3" t="s">
        <v>2304</v>
      </c>
      <c r="I1640" s="3" t="s">
        <v>2307</v>
      </c>
      <c r="J1640" s="4">
        <v>3</v>
      </c>
      <c r="K1640" s="4">
        <v>363.84059999999999</v>
      </c>
      <c r="L1640" s="4" t="str">
        <f>HYPERLINK("http://ms.phosphosite.org:5080/cgi-bin/plot-msms.cgi?MassType=1&amp;NumAxis=1&amp;Mod4=170&amp;Pep=GFGRGGAESHT&amp;Dta=/var/www/html/dta/yong/23612.2181.3.dta&amp;Global_Mod=CS57.0215", "2181")</f>
        <v>2181</v>
      </c>
      <c r="M1640" s="4"/>
      <c r="N1640" s="5">
        <v>15.08</v>
      </c>
      <c r="O1640" s="5"/>
      <c r="P1640" s="5">
        <v>2.3860000000000001</v>
      </c>
      <c r="Q1640" s="5"/>
      <c r="R1640" s="5">
        <v>0.43530000000000002</v>
      </c>
      <c r="S1640" s="5"/>
      <c r="T1640" s="5">
        <v>0.1986</v>
      </c>
      <c r="U1640" s="5"/>
      <c r="V1640" s="4">
        <v>3</v>
      </c>
      <c r="W1640" s="4"/>
      <c r="X1640" s="5">
        <v>1.45</v>
      </c>
      <c r="Y1640" s="5"/>
      <c r="Z1640" s="6">
        <v>1000</v>
      </c>
      <c r="AA1640" s="6"/>
      <c r="AB1640" s="4" t="s">
        <v>13</v>
      </c>
    </row>
    <row r="1641" spans="1:28">
      <c r="A1641" s="3" t="s">
        <v>193</v>
      </c>
      <c r="B1641" s="24" t="s">
        <v>225</v>
      </c>
      <c r="C1641" t="s">
        <v>226</v>
      </c>
      <c r="D1641" s="4">
        <v>68</v>
      </c>
      <c r="E1641" s="3" t="s">
        <v>227</v>
      </c>
      <c r="F1641" s="3" t="s">
        <v>2303</v>
      </c>
      <c r="G1641" s="4">
        <v>8.5</v>
      </c>
      <c r="H1641" s="3" t="s">
        <v>2304</v>
      </c>
      <c r="I1641" s="3" t="s">
        <v>2308</v>
      </c>
      <c r="J1641" s="4">
        <v>2</v>
      </c>
      <c r="K1641" s="4">
        <v>618.79139999999995</v>
      </c>
      <c r="L1641" s="4" t="str">
        <f>HYPERLINK("http://ms.phosphosite.org:5080/cgi-bin/plot-msms.cgi?MassType=1&amp;NumAxis=1&amp;Mod4=170&amp;Pep=GFGRGGAESHTF&amp;Dta=/var/www/html/dta/yong/23612.5867.2.dta&amp;Global_Mod=CS57.0215", "5867")</f>
        <v>5867</v>
      </c>
      <c r="M1641" s="4"/>
      <c r="N1641" s="5">
        <v>29.07</v>
      </c>
      <c r="O1641" s="5"/>
      <c r="P1641" s="5">
        <v>1.821</v>
      </c>
      <c r="Q1641" s="5"/>
      <c r="R1641" s="5">
        <v>0.20039999999999999</v>
      </c>
      <c r="S1641" s="5"/>
      <c r="T1641" s="5">
        <v>0.11559999999999999</v>
      </c>
      <c r="U1641" s="5"/>
      <c r="V1641" s="4">
        <v>7</v>
      </c>
      <c r="W1641" s="4"/>
      <c r="X1641" s="5">
        <v>0.85</v>
      </c>
      <c r="Y1641" s="5"/>
      <c r="Z1641" s="6">
        <v>1000</v>
      </c>
      <c r="AA1641" s="6"/>
      <c r="AB1641" s="4" t="s">
        <v>13</v>
      </c>
    </row>
    <row r="1642" spans="1:28">
      <c r="A1642" s="3" t="s">
        <v>193</v>
      </c>
      <c r="B1642" s="24" t="s">
        <v>225</v>
      </c>
      <c r="C1642" t="s">
        <v>226</v>
      </c>
      <c r="D1642" s="4">
        <v>68</v>
      </c>
      <c r="E1642" s="3" t="s">
        <v>227</v>
      </c>
      <c r="F1642" s="3" t="s">
        <v>2303</v>
      </c>
      <c r="G1642" s="4">
        <v>8.5</v>
      </c>
      <c r="H1642" s="3" t="s">
        <v>2304</v>
      </c>
      <c r="I1642" s="3" t="s">
        <v>2308</v>
      </c>
      <c r="J1642" s="4">
        <v>3</v>
      </c>
      <c r="K1642" s="4">
        <v>412.86340000000001</v>
      </c>
      <c r="L1642" s="4" t="str">
        <f>HYPERLINK("http://ms.phosphosite.org:5080/cgi-bin/plot-msms.cgi?MassType=1&amp;NumAxis=1&amp;Mod4=170&amp;Pep=GFGRGGAESHTF&amp;Dta=/var/www/html/dta/yong/23612.5849.3.dta&amp;Global_Mod=CS57.0215", "5849")</f>
        <v>5849</v>
      </c>
      <c r="M1642" s="4" t="str">
        <f>HYPERLINK("http://ms.phosphosite.org:5080/cgi-bin/plot-msms.cgi?MassType=1&amp;NumAxis=1&amp;Mod4=170&amp;Pep=GFGRGGAESHTF&amp;Dta=/var/www/html/dta/yong/23613.5915.3.dta&amp;Global_Mod=CS57.0215", "5915")</f>
        <v>5915</v>
      </c>
      <c r="N1642" s="5">
        <v>29.01</v>
      </c>
      <c r="O1642" s="5">
        <v>29.08</v>
      </c>
      <c r="P1642" s="5">
        <v>2.4489999999999998</v>
      </c>
      <c r="Q1642" s="5">
        <v>2.1139999999999999</v>
      </c>
      <c r="R1642" s="5">
        <v>0.1966</v>
      </c>
      <c r="S1642" s="5">
        <v>0.129</v>
      </c>
      <c r="T1642" s="5">
        <v>0.13170000000000001</v>
      </c>
      <c r="U1642" s="5">
        <v>0.24879999999999999</v>
      </c>
      <c r="V1642" s="4">
        <v>1</v>
      </c>
      <c r="W1642" s="4">
        <v>1</v>
      </c>
      <c r="X1642" s="5">
        <v>1.1200000000000001</v>
      </c>
      <c r="Y1642" s="5">
        <v>1.58</v>
      </c>
      <c r="Z1642" s="6">
        <v>1000</v>
      </c>
      <c r="AA1642" s="6">
        <v>1000</v>
      </c>
      <c r="AB1642" s="4" t="s">
        <v>13</v>
      </c>
    </row>
    <row r="1643" spans="1:28">
      <c r="A1643" s="3" t="s">
        <v>193</v>
      </c>
      <c r="B1643" s="24" t="s">
        <v>225</v>
      </c>
      <c r="C1643" t="s">
        <v>226</v>
      </c>
      <c r="D1643" s="4">
        <v>68</v>
      </c>
      <c r="E1643" s="3" t="s">
        <v>227</v>
      </c>
      <c r="F1643" s="3" t="s">
        <v>2303</v>
      </c>
      <c r="G1643" s="4">
        <v>8.5</v>
      </c>
      <c r="H1643" s="3" t="s">
        <v>2304</v>
      </c>
      <c r="I1643" s="3" t="s">
        <v>228</v>
      </c>
      <c r="J1643" s="4">
        <v>2</v>
      </c>
      <c r="K1643" s="4">
        <v>682.83889999999997</v>
      </c>
      <c r="L1643" s="4" t="str">
        <f>HYPERLINK("http://ms.phosphosite.org:5080/cgi-bin/plot-msms.cgi?MassType=1&amp;NumAxis=1&amp;Mod4=170&amp;Pep=GFGRGGAESHTFK&amp;Dta=/var/www/html/dta/yong/23612.3689.2.dta&amp;Global_Mod=CS57.0215", "3689")</f>
        <v>3689</v>
      </c>
      <c r="M1643" s="4" t="str">
        <f>HYPERLINK("http://ms.phosphosite.org:5080/cgi-bin/plot-msms.cgi?MassType=1&amp;NumAxis=1&amp;Mod4=170&amp;Pep=GFGRGGAESHTFK&amp;Dta=/var/www/html/dta/yong/23613.3740.2.dta&amp;Global_Mod=CS57.0215", "3740")</f>
        <v>3740</v>
      </c>
      <c r="N1643" s="5">
        <v>20.8</v>
      </c>
      <c r="O1643" s="5">
        <v>20.8</v>
      </c>
      <c r="P1643" s="5">
        <v>2.5070000000000001</v>
      </c>
      <c r="Q1643" s="5">
        <v>2.6659999999999999</v>
      </c>
      <c r="R1643" s="5">
        <v>0.59960000000000002</v>
      </c>
      <c r="S1643" s="5">
        <v>0.7137</v>
      </c>
      <c r="T1643" s="5">
        <v>0.19040000000000001</v>
      </c>
      <c r="U1643" s="5">
        <v>0.24890000000000001</v>
      </c>
      <c r="V1643" s="4">
        <v>4</v>
      </c>
      <c r="W1643" s="4">
        <v>1</v>
      </c>
      <c r="X1643" s="5">
        <v>1.35</v>
      </c>
      <c r="Y1643" s="5">
        <v>1.64</v>
      </c>
      <c r="Z1643" s="6">
        <v>1000</v>
      </c>
      <c r="AA1643" s="6">
        <v>1000</v>
      </c>
      <c r="AB1643" s="4" t="s">
        <v>13</v>
      </c>
    </row>
    <row r="1644" spans="1:28">
      <c r="A1644" s="3" t="s">
        <v>193</v>
      </c>
      <c r="B1644" s="24" t="s">
        <v>225</v>
      </c>
      <c r="C1644" t="s">
        <v>226</v>
      </c>
      <c r="D1644" s="4">
        <v>68</v>
      </c>
      <c r="E1644" s="3" t="s">
        <v>227</v>
      </c>
      <c r="F1644" s="3" t="s">
        <v>2303</v>
      </c>
      <c r="G1644" s="4">
        <v>8.5</v>
      </c>
      <c r="H1644" s="3" t="s">
        <v>2304</v>
      </c>
      <c r="I1644" s="3" t="s">
        <v>228</v>
      </c>
      <c r="J1644" s="4">
        <v>3</v>
      </c>
      <c r="K1644" s="4">
        <v>455.56169999999997</v>
      </c>
      <c r="L1644" s="4" t="str">
        <f>HYPERLINK("http://ms.phosphosite.org:5080/cgi-bin/plot-msms.cgi?MassType=1&amp;NumAxis=1&amp;Mod4=170&amp;Pep=GFGRGGAESHTFK&amp;Dta=/var/www/html/dta/yong/23612.3899.3.dta&amp;Global_Mod=CS57.0215", "3899")</f>
        <v>3899</v>
      </c>
      <c r="M1644" s="4" t="str">
        <f>HYPERLINK("http://ms.phosphosite.org:5080/cgi-bin/plot-msms.cgi?MassType=1&amp;NumAxis=1&amp;Mod4=170&amp;Pep=GFGRGGAESHTFK&amp;Dta=/var/www/html/dta/yong/23613.3733.3.dta&amp;Global_Mod=CS57.0215", "3733")</f>
        <v>3733</v>
      </c>
      <c r="N1644" s="5">
        <v>21.61</v>
      </c>
      <c r="O1644" s="5">
        <v>20.78</v>
      </c>
      <c r="P1644" s="5">
        <v>2.496</v>
      </c>
      <c r="Q1644" s="5">
        <v>2.7509999999999999</v>
      </c>
      <c r="R1644" s="5">
        <v>0.41</v>
      </c>
      <c r="S1644" s="5">
        <v>-0.36299999999999999</v>
      </c>
      <c r="T1644" s="5">
        <v>0.1363</v>
      </c>
      <c r="U1644" s="5">
        <v>0.1759</v>
      </c>
      <c r="V1644" s="4">
        <v>6</v>
      </c>
      <c r="W1644" s="4">
        <v>1</v>
      </c>
      <c r="X1644" s="5">
        <v>1.1399999999999999</v>
      </c>
      <c r="Y1644" s="5">
        <v>1.31</v>
      </c>
      <c r="Z1644" s="6">
        <v>1000</v>
      </c>
      <c r="AA1644" s="6">
        <v>1000</v>
      </c>
      <c r="AB1644" s="4" t="s">
        <v>13</v>
      </c>
    </row>
    <row r="1645" spans="1:28">
      <c r="A1645" s="3" t="s">
        <v>193</v>
      </c>
      <c r="B1645" s="24" t="s">
        <v>225</v>
      </c>
      <c r="C1645" t="s">
        <v>226</v>
      </c>
      <c r="D1645" s="4">
        <v>68</v>
      </c>
      <c r="E1645" s="3" t="s">
        <v>227</v>
      </c>
      <c r="F1645" s="3" t="s">
        <v>2303</v>
      </c>
      <c r="G1645" s="4">
        <v>8.5</v>
      </c>
      <c r="H1645" s="3" t="s">
        <v>2304</v>
      </c>
      <c r="I1645" s="3" t="s">
        <v>228</v>
      </c>
      <c r="J1645" s="4">
        <v>3</v>
      </c>
      <c r="K1645" s="4">
        <v>455.56169999999997</v>
      </c>
      <c r="L1645" s="4" t="str">
        <f>HYPERLINK("http://ms.phosphosite.org:5080/cgi-bin/plot-msms.cgi?MassType=1&amp;NumAxis=1&amp;Mod4=170&amp;Pep=GFGRGGAESHTFK&amp;Dta=/var/www/html/dta/yong/23612.3708.3.dta&amp;Global_Mod=CS57.0215", "3708")</f>
        <v>3708</v>
      </c>
      <c r="M1645" s="4" t="str">
        <f>HYPERLINK("http://ms.phosphosite.org:5080/cgi-bin/plot-msms.cgi?MassType=1&amp;NumAxis=1&amp;Mod4=170&amp;Pep=GFGRGGAESHTFK&amp;Dta=/var/www/html/dta/yong/23613.4054.3.dta&amp;Global_Mod=CS57.0215", "4054")</f>
        <v>4054</v>
      </c>
      <c r="N1645" s="5">
        <v>20.86</v>
      </c>
      <c r="O1645" s="5">
        <v>22.02</v>
      </c>
      <c r="P1645" s="5">
        <v>3</v>
      </c>
      <c r="Q1645" s="5">
        <v>2.3519999999999999</v>
      </c>
      <c r="R1645" s="5">
        <v>-0.53400000000000003</v>
      </c>
      <c r="S1645" s="5">
        <v>1.2644</v>
      </c>
      <c r="T1645" s="5">
        <v>0.16300000000000001</v>
      </c>
      <c r="U1645" s="5">
        <v>0.25040000000000001</v>
      </c>
      <c r="V1645" s="4">
        <v>1</v>
      </c>
      <c r="W1645" s="4">
        <v>2</v>
      </c>
      <c r="X1645" s="5">
        <v>1.33</v>
      </c>
      <c r="Y1645" s="5">
        <v>1.6</v>
      </c>
      <c r="Z1645" s="6">
        <v>1000</v>
      </c>
      <c r="AA1645" s="6">
        <v>1000</v>
      </c>
      <c r="AB1645" s="4" t="s">
        <v>13</v>
      </c>
    </row>
    <row r="1646" spans="1:28">
      <c r="A1646" s="3" t="s">
        <v>193</v>
      </c>
      <c r="B1646" s="24" t="s">
        <v>225</v>
      </c>
      <c r="C1646" t="s">
        <v>226</v>
      </c>
      <c r="D1646" s="4">
        <v>68</v>
      </c>
      <c r="E1646" s="3" t="s">
        <v>227</v>
      </c>
      <c r="F1646" s="3" t="s">
        <v>2303</v>
      </c>
      <c r="G1646" s="4">
        <v>8.5</v>
      </c>
      <c r="H1646" s="3" t="s">
        <v>2304</v>
      </c>
      <c r="I1646" s="3" t="s">
        <v>228</v>
      </c>
      <c r="J1646" s="4">
        <v>3</v>
      </c>
      <c r="K1646" s="4">
        <v>455.56169999999997</v>
      </c>
      <c r="L1646" s="4" t="str">
        <f>HYPERLINK("http://ms.phosphosite.org:5080/cgi-bin/plot-msms.cgi?MassType=1&amp;NumAxis=1&amp;Mod4=170&amp;Pep=GFGRGGAESHTFK&amp;Dta=/var/www/html/dta/yong/23612.4120.3.dta&amp;Global_Mod=CS57.0215", "4120")</f>
        <v>4120</v>
      </c>
      <c r="M1646" s="4" t="str">
        <f>HYPERLINK("http://ms.phosphosite.org:5080/cgi-bin/plot-msms.cgi?MassType=1&amp;NumAxis=1&amp;Mod4=170&amp;Pep=GFGRGGAESHTFK&amp;Dta=/var/www/html/dta/yong/23613.3929.3.dta&amp;Global_Mod=CS57.0215", "3929")</f>
        <v>3929</v>
      </c>
      <c r="N1646" s="5">
        <v>22.43</v>
      </c>
      <c r="O1646" s="5">
        <v>21.51</v>
      </c>
      <c r="P1646" s="5">
        <v>2.7149999999999999</v>
      </c>
      <c r="Q1646" s="5">
        <v>2.7429999999999999</v>
      </c>
      <c r="R1646" s="5">
        <v>1.8587</v>
      </c>
      <c r="S1646" s="5">
        <v>0.2354</v>
      </c>
      <c r="T1646" s="5">
        <v>0.30199999999999999</v>
      </c>
      <c r="U1646" s="5">
        <v>0.1076</v>
      </c>
      <c r="V1646" s="4">
        <v>5</v>
      </c>
      <c r="W1646" s="4">
        <v>36</v>
      </c>
      <c r="X1646" s="5">
        <v>1.93</v>
      </c>
      <c r="Y1646" s="5">
        <v>0.99</v>
      </c>
      <c r="Z1646" s="6">
        <v>1000</v>
      </c>
      <c r="AA1646" s="6">
        <v>1000</v>
      </c>
      <c r="AB1646" s="4" t="s">
        <v>13</v>
      </c>
    </row>
    <row r="1647" spans="1:28">
      <c r="A1647" s="3" t="s">
        <v>193</v>
      </c>
      <c r="B1647" s="24" t="s">
        <v>2309</v>
      </c>
      <c r="C1647" s="26" t="s">
        <v>2310</v>
      </c>
      <c r="D1647" s="4">
        <v>359</v>
      </c>
      <c r="E1647" s="3" t="s">
        <v>2311</v>
      </c>
      <c r="F1647" s="3" t="s">
        <v>2312</v>
      </c>
      <c r="G1647" s="4">
        <v>67.5</v>
      </c>
      <c r="H1647" s="3" t="s">
        <v>2313</v>
      </c>
      <c r="I1647" s="3" t="s">
        <v>2314</v>
      </c>
      <c r="J1647" s="4">
        <v>2</v>
      </c>
      <c r="K1647" s="4">
        <v>504.25450000000001</v>
      </c>
      <c r="L1647" s="4" t="str">
        <f>HYPERLINK("http://ms.phosphosite.org:5080/cgi-bin/plot-msms.cgi?MassType=1&amp;NumAxis=1&amp;Mod12=170&amp;Pep=AGNPGGPGPGGR&amp;Dta=/var/www/html/dta/yong/23612.1805.2.dta&amp;Global_Mod=CS57.0215", "1805")</f>
        <v>1805</v>
      </c>
      <c r="M1647" s="4" t="str">
        <f>HYPERLINK("http://ms.phosphosite.org:5080/cgi-bin/plot-msms.cgi?MassType=1&amp;NumAxis=1&amp;Mod12=170&amp;Pep=AGNPGGPGPGGR&amp;Dta=/var/www/html/dta/yong/23613.1825.2.dta&amp;Global_Mod=CS57.0215", "1825")</f>
        <v>1825</v>
      </c>
      <c r="N1647" s="5">
        <v>13.66</v>
      </c>
      <c r="O1647" s="5">
        <v>13.56</v>
      </c>
      <c r="P1647" s="5">
        <v>2.0659999999999998</v>
      </c>
      <c r="Q1647" s="5">
        <v>2.008</v>
      </c>
      <c r="R1647" s="5">
        <v>0.53810000000000002</v>
      </c>
      <c r="S1647" s="5">
        <v>-0.21829999999999999</v>
      </c>
      <c r="T1647" s="5">
        <v>0.27510000000000001</v>
      </c>
      <c r="U1647" s="5">
        <v>0.29799999999999999</v>
      </c>
      <c r="V1647" s="4">
        <v>24</v>
      </c>
      <c r="W1647" s="4">
        <v>1</v>
      </c>
      <c r="X1647" s="5">
        <v>1.87</v>
      </c>
      <c r="Y1647" s="5">
        <v>1.93</v>
      </c>
      <c r="Z1647" s="6">
        <v>1000</v>
      </c>
      <c r="AA1647" s="6">
        <v>1000</v>
      </c>
      <c r="AB1647" s="4" t="s">
        <v>13</v>
      </c>
    </row>
    <row r="1648" spans="1:28">
      <c r="A1648" s="3" t="s">
        <v>193</v>
      </c>
      <c r="B1648" s="24" t="s">
        <v>2309</v>
      </c>
      <c r="C1648" s="26" t="s">
        <v>2310</v>
      </c>
      <c r="D1648" s="4">
        <v>359</v>
      </c>
      <c r="E1648" s="3" t="s">
        <v>2311</v>
      </c>
      <c r="F1648" s="3" t="s">
        <v>2312</v>
      </c>
      <c r="G1648" s="4">
        <v>67.5</v>
      </c>
      <c r="H1648" s="3" t="s">
        <v>2313</v>
      </c>
      <c r="I1648" s="3" t="s">
        <v>2315</v>
      </c>
      <c r="J1648" s="4">
        <v>2</v>
      </c>
      <c r="K1648" s="4">
        <v>568.28380000000004</v>
      </c>
      <c r="L1648" s="4" t="str">
        <f>HYPERLINK("http://ms.phosphosite.org:5080/cgi-bin/plot-msms.cgi?MassType=1&amp;NumAxis=1&amp;Mod13=170&amp;Pep=QAGNPGGPGPGGR&amp;Dta=/var/www/html/dta/yong/23612.1988.2.dta&amp;Global_Mod=CS57.0215", "1988")</f>
        <v>1988</v>
      </c>
      <c r="M1648" s="4" t="str">
        <f>HYPERLINK("http://ms.phosphosite.org:5080/cgi-bin/plot-msms.cgi?MassType=1&amp;NumAxis=1&amp;Mod13=170&amp;Pep=QAGNPGGPGPGGR&amp;Dta=/var/www/html/dta/yong/23613.2008.2.dta&amp;Global_Mod=CS57.0215", "2008")</f>
        <v>2008</v>
      </c>
      <c r="N1648" s="5">
        <v>14.34</v>
      </c>
      <c r="O1648" s="5">
        <v>14.26</v>
      </c>
      <c r="P1648" s="5">
        <v>2.0779999999999998</v>
      </c>
      <c r="Q1648" s="5">
        <v>2.1469999999999998</v>
      </c>
      <c r="R1648" s="5">
        <v>0.61599999999999999</v>
      </c>
      <c r="S1648" s="5">
        <v>0.85850000000000004</v>
      </c>
      <c r="T1648" s="5">
        <v>0.32869999999999999</v>
      </c>
      <c r="U1648" s="5">
        <v>0.25030000000000002</v>
      </c>
      <c r="V1648" s="4">
        <v>1</v>
      </c>
      <c r="W1648" s="4">
        <v>1</v>
      </c>
      <c r="X1648" s="5">
        <v>2.14</v>
      </c>
      <c r="Y1648" s="5">
        <v>1.72</v>
      </c>
      <c r="Z1648" s="6">
        <v>1000</v>
      </c>
      <c r="AA1648" s="6">
        <v>1000</v>
      </c>
      <c r="AB1648" s="4" t="s">
        <v>13</v>
      </c>
    </row>
    <row r="1649" spans="1:28">
      <c r="A1649" s="3" t="s">
        <v>193</v>
      </c>
      <c r="B1649" s="24" t="s">
        <v>2309</v>
      </c>
      <c r="C1649" s="26" t="s">
        <v>2310</v>
      </c>
      <c r="D1649" s="4">
        <v>359</v>
      </c>
      <c r="E1649" s="3" t="s">
        <v>2311</v>
      </c>
      <c r="F1649" s="3" t="s">
        <v>2312</v>
      </c>
      <c r="G1649" s="4">
        <v>67.5</v>
      </c>
      <c r="H1649" s="3" t="s">
        <v>2313</v>
      </c>
      <c r="I1649" s="3" t="s">
        <v>2316</v>
      </c>
      <c r="J1649" s="4">
        <v>2</v>
      </c>
      <c r="K1649" s="4">
        <v>661.33399999999995</v>
      </c>
      <c r="L1649" s="4" t="str">
        <f>HYPERLINK("http://ms.phosphosite.org:5080/cgi-bin/plot-msms.cgi?MassType=1&amp;NumAxis=1&amp;Mod15=170&amp;Pep=SVQAGNPGGPGPGGR&amp;Dta=/var/www/html/dta/yong/23612.3125.2.dta&amp;Global_Mod=CS57.0215", "3125")</f>
        <v>3125</v>
      </c>
      <c r="M1649" s="4" t="str">
        <f>HYPERLINK("http://ms.phosphosite.org:5080/cgi-bin/plot-msms.cgi?MassType=1&amp;NumAxis=1&amp;Mod15=170&amp;Pep=SVQAGNPGGPGPGGR&amp;Dta=/var/www/html/dta/yong/23613.3161.2.dta&amp;Global_Mod=CS57.0215", "3161")</f>
        <v>3161</v>
      </c>
      <c r="N1649" s="5">
        <v>18.64</v>
      </c>
      <c r="O1649" s="5">
        <v>18.61</v>
      </c>
      <c r="P1649" s="5">
        <v>4.069</v>
      </c>
      <c r="Q1649" s="5">
        <v>4.1020000000000003</v>
      </c>
      <c r="R1649" s="5">
        <v>0.49399999999999999</v>
      </c>
      <c r="S1649" s="5">
        <v>0.52100000000000002</v>
      </c>
      <c r="T1649" s="5">
        <v>0.437</v>
      </c>
      <c r="U1649" s="5">
        <v>0.37130000000000002</v>
      </c>
      <c r="V1649" s="4">
        <v>1</v>
      </c>
      <c r="W1649" s="4">
        <v>1</v>
      </c>
      <c r="X1649" s="5">
        <v>3.04</v>
      </c>
      <c r="Y1649" s="5">
        <v>2.71</v>
      </c>
      <c r="Z1649" s="6">
        <v>1000</v>
      </c>
      <c r="AA1649" s="6">
        <v>1000</v>
      </c>
      <c r="AB1649" s="4" t="s">
        <v>13</v>
      </c>
    </row>
    <row r="1650" spans="1:28">
      <c r="A1650" s="3" t="s">
        <v>193</v>
      </c>
      <c r="B1650" s="24" t="s">
        <v>2317</v>
      </c>
      <c r="C1650" s="26" t="s">
        <v>2318</v>
      </c>
      <c r="D1650" s="4" t="s">
        <v>2319</v>
      </c>
      <c r="E1650" s="3" t="s">
        <v>233</v>
      </c>
      <c r="F1650" s="3" t="s">
        <v>2320</v>
      </c>
      <c r="G1650" s="4">
        <v>53.4</v>
      </c>
      <c r="H1650" s="3" t="s">
        <v>234</v>
      </c>
      <c r="I1650" s="3" t="s">
        <v>2321</v>
      </c>
      <c r="J1650" s="4">
        <v>3</v>
      </c>
      <c r="K1650" s="4">
        <v>578.94240000000002</v>
      </c>
      <c r="L1650" s="4" t="str">
        <f>HYPERLINK("http://ms.phosphosite.org:5080/cgi-bin/plot-msms.cgi?MassType=1&amp;NumAxis=1&amp;Mod3=170&amp;Mod5=170&amp;Pep=GGRGRGGSGGGGGGGGGGYNR&amp;Dta=/var/www/html/dta/yong/23612.924.3.dta&amp;Global_Mod=CS57.0215", "924")</f>
        <v>924</v>
      </c>
      <c r="M1650" s="4" t="str">
        <f>HYPERLINK("http://ms.phosphosite.org:5080/cgi-bin/plot-msms.cgi?MassType=1&amp;NumAxis=1&amp;Mod3=170&amp;Mod5=170&amp;Pep=GGRGRGGSGGGGGGGGGGYNR&amp;Dta=/var/www/html/dta/yong/23613.942.3.dta&amp;Global_Mod=CS57.0215", "942")</f>
        <v>942</v>
      </c>
      <c r="N1650" s="5">
        <v>10.28</v>
      </c>
      <c r="O1650" s="5">
        <v>10.18</v>
      </c>
      <c r="P1650" s="5">
        <v>4.6340000000000003</v>
      </c>
      <c r="Q1650" s="5">
        <v>3.8210000000000002</v>
      </c>
      <c r="R1650" s="5">
        <v>0.77839999999999998</v>
      </c>
      <c r="S1650" s="5">
        <v>0.72019999999999995</v>
      </c>
      <c r="T1650" s="5">
        <v>0.45889999999999997</v>
      </c>
      <c r="U1650" s="5">
        <v>0.40279999999999999</v>
      </c>
      <c r="V1650" s="4">
        <v>1</v>
      </c>
      <c r="W1650" s="4">
        <v>1</v>
      </c>
      <c r="X1650" s="5">
        <v>2.99</v>
      </c>
      <c r="Y1650" s="5">
        <v>2.57</v>
      </c>
      <c r="Z1650" s="6" t="s">
        <v>1306</v>
      </c>
      <c r="AA1650" s="6" t="s">
        <v>1306</v>
      </c>
      <c r="AB1650" s="4" t="s">
        <v>13</v>
      </c>
    </row>
    <row r="1651" spans="1:28">
      <c r="A1651" s="3" t="s">
        <v>193</v>
      </c>
      <c r="B1651" s="24" t="s">
        <v>2317</v>
      </c>
      <c r="C1651" s="26" t="s">
        <v>2318</v>
      </c>
      <c r="D1651" s="4">
        <v>218</v>
      </c>
      <c r="E1651" s="3" t="s">
        <v>233</v>
      </c>
      <c r="F1651" s="3" t="s">
        <v>2320</v>
      </c>
      <c r="G1651" s="4">
        <v>53.4</v>
      </c>
      <c r="H1651" s="3" t="s">
        <v>2322</v>
      </c>
      <c r="I1651" s="3" t="s">
        <v>2323</v>
      </c>
      <c r="J1651" s="4">
        <v>2</v>
      </c>
      <c r="K1651" s="4">
        <v>725.83019999999999</v>
      </c>
      <c r="L1651" s="4" t="str">
        <f>HYPERLINK("http://ms.phosphosite.org:5080/cgi-bin/plot-msms.cgi?MassType=1&amp;NumAxis=1&amp;Mod2=170&amp;Pep=GRGGSGGGGGGGGGGYNR&amp;Dta=/var/www/html/dta/yong/23612.992.2.dta&amp;Global_Mod=CS57.0215", "992")</f>
        <v>992</v>
      </c>
      <c r="M1651" s="4" t="str">
        <f>HYPERLINK("http://ms.phosphosite.org:5080/cgi-bin/plot-msms.cgi?MassType=1&amp;NumAxis=1&amp;Mod2=170&amp;Pep=GRGGSGGGGGGGGGGYNR&amp;Dta=/var/www/html/dta/yong/23613.1005.2.dta&amp;Global_Mod=CS57.0215", "1005")</f>
        <v>1005</v>
      </c>
      <c r="N1651" s="5">
        <v>10.56</v>
      </c>
      <c r="O1651" s="5">
        <v>10.43</v>
      </c>
      <c r="P1651" s="5">
        <v>4.423</v>
      </c>
      <c r="Q1651" s="5">
        <v>4.524</v>
      </c>
      <c r="R1651" s="5">
        <v>0.99039999999999995</v>
      </c>
      <c r="S1651" s="5">
        <v>1.1587000000000001</v>
      </c>
      <c r="T1651" s="5">
        <v>0.3301</v>
      </c>
      <c r="U1651" s="5">
        <v>0.28499999999999998</v>
      </c>
      <c r="V1651" s="4">
        <v>1</v>
      </c>
      <c r="W1651" s="4">
        <v>1</v>
      </c>
      <c r="X1651" s="5">
        <v>2.4700000000000002</v>
      </c>
      <c r="Y1651" s="5">
        <v>2.29</v>
      </c>
      <c r="Z1651" s="6">
        <v>1000</v>
      </c>
      <c r="AA1651" s="6">
        <v>1000</v>
      </c>
      <c r="AB1651" s="4" t="s">
        <v>13</v>
      </c>
    </row>
    <row r="1652" spans="1:28">
      <c r="A1652" s="3" t="s">
        <v>193</v>
      </c>
      <c r="B1652" s="24" t="s">
        <v>2317</v>
      </c>
      <c r="C1652" s="26" t="s">
        <v>2318</v>
      </c>
      <c r="D1652" s="4">
        <v>407</v>
      </c>
      <c r="E1652" s="3" t="s">
        <v>233</v>
      </c>
      <c r="F1652" s="3" t="s">
        <v>2320</v>
      </c>
      <c r="G1652" s="4">
        <v>53.4</v>
      </c>
      <c r="H1652" s="3" t="s">
        <v>238</v>
      </c>
      <c r="I1652" s="3" t="s">
        <v>2324</v>
      </c>
      <c r="J1652" s="4">
        <v>3</v>
      </c>
      <c r="K1652" s="4">
        <v>663.63919999999996</v>
      </c>
      <c r="L1652" s="4" t="str">
        <f>HYPERLINK("http://ms.phosphosite.org:5080/cgi-bin/plot-msms.cgi?MassType=1&amp;NumAxis=1&amp;Mod10=170&amp;Pep=GGGGSGGGGRGGFPSGGGGGGGQQR&amp;Dta=/var/www/html/dta/yong/23612.2893.3.dta&amp;Global_Mod=CS57.0215", "2893")</f>
        <v>2893</v>
      </c>
      <c r="M1652" s="4" t="str">
        <f>HYPERLINK("http://ms.phosphosite.org:5080/cgi-bin/plot-msms.cgi?MassType=1&amp;NumAxis=1&amp;Mod10=170&amp;Pep=GGGGSGGGGRGGFPSGGGGGGGQQR&amp;Dta=/var/www/html/dta/yong/23613.2925.3.dta&amp;Global_Mod=CS57.0215", "2925")</f>
        <v>2925</v>
      </c>
      <c r="N1652" s="5">
        <v>17.73</v>
      </c>
      <c r="O1652" s="5">
        <v>17.68</v>
      </c>
      <c r="P1652" s="5">
        <v>3.19</v>
      </c>
      <c r="Q1652" s="5">
        <v>3.7309999999999999</v>
      </c>
      <c r="R1652" s="5">
        <v>1.1838</v>
      </c>
      <c r="S1652" s="5">
        <v>0.81810000000000005</v>
      </c>
      <c r="T1652" s="5">
        <v>0.13320000000000001</v>
      </c>
      <c r="U1652" s="5">
        <v>0.16830000000000001</v>
      </c>
      <c r="V1652" s="4">
        <v>1</v>
      </c>
      <c r="W1652" s="4">
        <v>1</v>
      </c>
      <c r="X1652" s="5">
        <v>1.23</v>
      </c>
      <c r="Y1652" s="5">
        <v>1.53</v>
      </c>
      <c r="Z1652" s="6">
        <v>1000</v>
      </c>
      <c r="AA1652" s="6">
        <v>1000</v>
      </c>
      <c r="AB1652" s="4" t="s">
        <v>13</v>
      </c>
    </row>
    <row r="1653" spans="1:28">
      <c r="A1653" s="3" t="s">
        <v>193</v>
      </c>
      <c r="B1653" s="24" t="s">
        <v>2317</v>
      </c>
      <c r="C1653" s="26" t="s">
        <v>2318</v>
      </c>
      <c r="D1653" s="4">
        <v>407</v>
      </c>
      <c r="E1653" s="3" t="s">
        <v>233</v>
      </c>
      <c r="F1653" s="3" t="s">
        <v>2320</v>
      </c>
      <c r="G1653" s="4">
        <v>53.4</v>
      </c>
      <c r="H1653" s="3" t="s">
        <v>238</v>
      </c>
      <c r="I1653" s="3" t="s">
        <v>2324</v>
      </c>
      <c r="J1653" s="4">
        <v>3</v>
      </c>
      <c r="K1653" s="4">
        <v>663.63919999999996</v>
      </c>
      <c r="L1653" s="4" t="str">
        <f>HYPERLINK("http://ms.phosphosite.org:5080/cgi-bin/plot-msms.cgi?MassType=1&amp;NumAxis=1&amp;Mod10=170&amp;Pep=GGGGSGGGGRGGFPSGGGGGGGQQR&amp;Dta=/var/www/html/dta/yong/23612.2869.3.dta&amp;Global_Mod=CS57.0215", "2869")</f>
        <v>2869</v>
      </c>
      <c r="M1653" s="4"/>
      <c r="N1653" s="5">
        <v>17.64</v>
      </c>
      <c r="O1653" s="5"/>
      <c r="P1653" s="5">
        <v>3.8959999999999999</v>
      </c>
      <c r="Q1653" s="5"/>
      <c r="R1653" s="5">
        <v>1.2293000000000001</v>
      </c>
      <c r="S1653" s="5"/>
      <c r="T1653" s="5">
        <v>0.19489999999999999</v>
      </c>
      <c r="U1653" s="5"/>
      <c r="V1653" s="4">
        <v>1</v>
      </c>
      <c r="W1653" s="4"/>
      <c r="X1653" s="5">
        <v>1.67</v>
      </c>
      <c r="Y1653" s="5"/>
      <c r="Z1653" s="6">
        <v>1000</v>
      </c>
      <c r="AA1653" s="6"/>
      <c r="AB1653" s="4" t="s">
        <v>13</v>
      </c>
    </row>
    <row r="1654" spans="1:28">
      <c r="A1654" s="3" t="s">
        <v>193</v>
      </c>
      <c r="B1654" s="24" t="s">
        <v>2317</v>
      </c>
      <c r="C1654" s="26" t="s">
        <v>2318</v>
      </c>
      <c r="D1654" s="4">
        <v>503</v>
      </c>
      <c r="E1654" s="3" t="s">
        <v>233</v>
      </c>
      <c r="F1654" s="3" t="s">
        <v>2320</v>
      </c>
      <c r="G1654" s="4">
        <v>53.4</v>
      </c>
      <c r="H1654" s="3" t="s">
        <v>2325</v>
      </c>
      <c r="I1654" s="3" t="s">
        <v>2326</v>
      </c>
      <c r="J1654" s="4">
        <v>2</v>
      </c>
      <c r="K1654" s="4">
        <v>538.26760000000002</v>
      </c>
      <c r="L1654" s="4" t="str">
        <f>HYPERLINK("http://ms.phosphosite.org:5080/cgi-bin/plot-msms.cgi?MassType=1&amp;NumAxis=1&amp;Mod5=170&amp;Pep=GGGDRGGFGPGK&amp;Dta=/var/www/html/dta/yong/23612.2584.2.dta&amp;Global_Mod=CS57.0215", "2584")</f>
        <v>2584</v>
      </c>
      <c r="M1654" s="4" t="str">
        <f>HYPERLINK("http://ms.phosphosite.org:5080/cgi-bin/plot-msms.cgi?MassType=1&amp;NumAxis=1&amp;Mod5=170&amp;Pep=GGGDRGGFGPGK&amp;Dta=/var/www/html/dta/yong/23613.2609.2.dta&amp;Global_Mod=CS57.0215", "2609")</f>
        <v>2609</v>
      </c>
      <c r="N1654" s="5">
        <v>16.600000000000001</v>
      </c>
      <c r="O1654" s="5">
        <v>16.53</v>
      </c>
      <c r="P1654" s="5">
        <v>2.5289999999999999</v>
      </c>
      <c r="Q1654" s="5">
        <v>2.242</v>
      </c>
      <c r="R1654" s="5">
        <v>-0.72370000000000001</v>
      </c>
      <c r="S1654" s="5">
        <v>-0.3458</v>
      </c>
      <c r="T1654" s="5">
        <v>0.20749999999999999</v>
      </c>
      <c r="U1654" s="5">
        <v>0.12529999999999999</v>
      </c>
      <c r="V1654" s="4">
        <v>8</v>
      </c>
      <c r="W1654" s="4">
        <v>16</v>
      </c>
      <c r="X1654" s="5">
        <v>1.53</v>
      </c>
      <c r="Y1654" s="5">
        <v>1.1000000000000001</v>
      </c>
      <c r="Z1654" s="6">
        <v>1000</v>
      </c>
      <c r="AA1654" s="6">
        <v>1000</v>
      </c>
      <c r="AB1654" s="4" t="s">
        <v>13</v>
      </c>
    </row>
    <row r="1655" spans="1:28">
      <c r="A1655" s="3" t="s">
        <v>193</v>
      </c>
      <c r="B1655" s="24" t="s">
        <v>2317</v>
      </c>
      <c r="C1655" s="26" t="s">
        <v>2318</v>
      </c>
      <c r="D1655" s="4">
        <v>213</v>
      </c>
      <c r="E1655" s="3" t="s">
        <v>233</v>
      </c>
      <c r="F1655" s="3" t="s">
        <v>2320</v>
      </c>
      <c r="G1655" s="4">
        <v>53.4</v>
      </c>
      <c r="H1655" s="3" t="s">
        <v>2327</v>
      </c>
      <c r="I1655" s="3" t="s">
        <v>2328</v>
      </c>
      <c r="J1655" s="4">
        <v>2</v>
      </c>
      <c r="K1655" s="4">
        <v>648.78179999999998</v>
      </c>
      <c r="L1655" s="4" t="str">
        <f>HYPERLINK("http://ms.phosphosite.org:5080/cgi-bin/plot-msms.cgi?MassType=1&amp;NumAxis=1&amp;Mod14=170&amp;Pep=SGGGGSGGYGQQDR&amp;Dta=/var/www/html/dta/yong/23612.1936.2.dta&amp;Global_Mod=CS57.0215", "1936")</f>
        <v>1936</v>
      </c>
      <c r="M1655" s="4" t="str">
        <f>HYPERLINK("http://ms.phosphosite.org:5080/cgi-bin/plot-msms.cgi?MassType=1&amp;NumAxis=1&amp;Mod14=170&amp;Pep=SGGGGSGGYGQQDR&amp;Dta=/var/www/html/dta/yong/23613.1951.2.dta&amp;Global_Mod=CS57.0215", "1951")</f>
        <v>1951</v>
      </c>
      <c r="N1655" s="5">
        <v>14.13</v>
      </c>
      <c r="O1655" s="5">
        <v>14.02</v>
      </c>
      <c r="P1655" s="5">
        <v>3.165</v>
      </c>
      <c r="Q1655" s="5">
        <v>3.343</v>
      </c>
      <c r="R1655" s="5">
        <v>0.47739999999999999</v>
      </c>
      <c r="S1655" s="5">
        <v>0.74160000000000004</v>
      </c>
      <c r="T1655" s="5">
        <v>0.39850000000000002</v>
      </c>
      <c r="U1655" s="5">
        <v>0.47549999999999998</v>
      </c>
      <c r="V1655" s="4">
        <v>2</v>
      </c>
      <c r="W1655" s="4">
        <v>1</v>
      </c>
      <c r="X1655" s="5">
        <v>2.83</v>
      </c>
      <c r="Y1655" s="5">
        <v>3.25</v>
      </c>
      <c r="Z1655" s="6">
        <v>1000</v>
      </c>
      <c r="AA1655" s="6">
        <v>1000</v>
      </c>
      <c r="AB1655" s="4" t="s">
        <v>13</v>
      </c>
    </row>
    <row r="1656" spans="1:28">
      <c r="A1656" s="3" t="s">
        <v>193</v>
      </c>
      <c r="B1656" s="24" t="s">
        <v>2317</v>
      </c>
      <c r="C1656" s="26" t="s">
        <v>2318</v>
      </c>
      <c r="D1656" s="4">
        <v>213</v>
      </c>
      <c r="E1656" s="3" t="s">
        <v>233</v>
      </c>
      <c r="F1656" s="3" t="s">
        <v>2320</v>
      </c>
      <c r="G1656" s="4">
        <v>53.4</v>
      </c>
      <c r="H1656" s="3" t="s">
        <v>2327</v>
      </c>
      <c r="I1656" s="3" t="s">
        <v>2329</v>
      </c>
      <c r="J1656" s="4">
        <v>3</v>
      </c>
      <c r="K1656" s="4">
        <v>947.04499999999996</v>
      </c>
      <c r="L1656" s="4" t="str">
        <f>HYPERLINK("http://ms.phosphosite.org:5080/cgi-bin/plot-msms.cgi?MassType=1&amp;NumAxis=1&amp;Mod2=147&amp;Mod31=170&amp;Pep=SMSSGGGSGGGYGNQDQSGGGGSGGYGQQDR&amp;Dta=/var/www/html/dta/yong/23612.3909.3.dta&amp;Global_Mod=CS57.0215", "3909")</f>
        <v>3909</v>
      </c>
      <c r="M1656" s="4" t="str">
        <f>HYPERLINK("http://ms.phosphosite.org:5080/cgi-bin/plot-msms.cgi?MassType=1&amp;NumAxis=1&amp;Mod2=147&amp;Mod31=170&amp;Pep=SMSSGGGSGGGYGNQDQSGGGGSGGYGQQDR&amp;Dta=/var/www/html/dta/yong/23613.3945.3.dta&amp;Global_Mod=CS57.0215", "3945")</f>
        <v>3945</v>
      </c>
      <c r="N1656" s="5">
        <v>21.65</v>
      </c>
      <c r="O1656" s="5">
        <v>21.57</v>
      </c>
      <c r="P1656" s="5">
        <v>6.47</v>
      </c>
      <c r="Q1656" s="5">
        <v>6.4640000000000004</v>
      </c>
      <c r="R1656" s="5">
        <v>-0.2243</v>
      </c>
      <c r="S1656" s="5">
        <v>2.3374000000000001</v>
      </c>
      <c r="T1656" s="5">
        <v>0.5978</v>
      </c>
      <c r="U1656" s="5">
        <v>0.56699999999999995</v>
      </c>
      <c r="V1656" s="4">
        <v>1</v>
      </c>
      <c r="W1656" s="4">
        <v>1</v>
      </c>
      <c r="X1656" s="5">
        <v>4.29</v>
      </c>
      <c r="Y1656" s="5">
        <v>4.08</v>
      </c>
      <c r="Z1656" s="6">
        <v>1000</v>
      </c>
      <c r="AA1656" s="6">
        <v>1000</v>
      </c>
      <c r="AB1656" s="4" t="s">
        <v>13</v>
      </c>
    </row>
    <row r="1657" spans="1:28">
      <c r="A1657" s="3" t="s">
        <v>193</v>
      </c>
      <c r="B1657" s="24" t="s">
        <v>2317</v>
      </c>
      <c r="C1657" s="26" t="s">
        <v>2318</v>
      </c>
      <c r="D1657" s="4">
        <v>213</v>
      </c>
      <c r="E1657" s="3" t="s">
        <v>233</v>
      </c>
      <c r="F1657" s="3" t="s">
        <v>2320</v>
      </c>
      <c r="G1657" s="4">
        <v>53.4</v>
      </c>
      <c r="H1657" s="3" t="s">
        <v>2327</v>
      </c>
      <c r="I1657" s="3" t="s">
        <v>2330</v>
      </c>
      <c r="J1657" s="4">
        <v>3</v>
      </c>
      <c r="K1657" s="4">
        <v>869.02250000000004</v>
      </c>
      <c r="L1657" s="4" t="str">
        <f>HYPERLINK("http://ms.phosphosite.org:5080/cgi-bin/plot-msms.cgi?MassType=1&amp;NumAxis=1&amp;Mod29=170&amp;Pep=SSGGGSGGGYGNQDQSGGGGSGGYGQQDR&amp;Dta=/var/www/html/dta/yong/23612.3817.3.dta&amp;Global_Mod=CS57.0215", "3817")</f>
        <v>3817</v>
      </c>
      <c r="M1657" s="4" t="str">
        <f>HYPERLINK("http://ms.phosphosite.org:5080/cgi-bin/plot-msms.cgi?MassType=1&amp;NumAxis=1&amp;Mod29=170&amp;Pep=SSGGGSGGGYGNQDQSGGGGSGGYGQQDR&amp;Dta=/var/www/html/dta/yong/23613.3870.3.dta&amp;Global_Mod=CS57.0215", "3870")</f>
        <v>3870</v>
      </c>
      <c r="N1657" s="5">
        <v>21.27</v>
      </c>
      <c r="O1657" s="5">
        <v>21.28</v>
      </c>
      <c r="P1657" s="5">
        <v>7.57</v>
      </c>
      <c r="Q1657" s="5">
        <v>7.125</v>
      </c>
      <c r="R1657" s="5">
        <v>1.2784</v>
      </c>
      <c r="S1657" s="5">
        <v>1.0455000000000001</v>
      </c>
      <c r="T1657" s="5">
        <v>0.62250000000000005</v>
      </c>
      <c r="U1657" s="5">
        <v>0.59819999999999995</v>
      </c>
      <c r="V1657" s="4">
        <v>1</v>
      </c>
      <c r="W1657" s="4">
        <v>1</v>
      </c>
      <c r="X1657" s="5">
        <v>4.6399999999999997</v>
      </c>
      <c r="Y1657" s="5">
        <v>4.47</v>
      </c>
      <c r="Z1657" s="6">
        <v>1000</v>
      </c>
      <c r="AA1657" s="6">
        <v>1000</v>
      </c>
      <c r="AB1657" s="4" t="s">
        <v>13</v>
      </c>
    </row>
    <row r="1658" spans="1:28">
      <c r="A1658" s="3" t="s">
        <v>193</v>
      </c>
      <c r="B1658" s="24" t="s">
        <v>2331</v>
      </c>
      <c r="C1658" s="26" t="s">
        <v>2332</v>
      </c>
      <c r="D1658" s="4">
        <v>739</v>
      </c>
      <c r="E1658" s="3" t="s">
        <v>243</v>
      </c>
      <c r="F1658" s="3" t="s">
        <v>2333</v>
      </c>
      <c r="G1658" s="4">
        <v>90.5</v>
      </c>
      <c r="H1658" s="3" t="s">
        <v>2334</v>
      </c>
      <c r="I1658" s="3" t="s">
        <v>2335</v>
      </c>
      <c r="J1658" s="4">
        <v>3</v>
      </c>
      <c r="K1658" s="4">
        <v>708.00099999999998</v>
      </c>
      <c r="L1658" s="4" t="str">
        <f>HYPERLINK("http://ms.phosphosite.org:5080/cgi-bin/plot-msms.cgi?MassType=1&amp;NumAxis=1&amp;Mod3=147&amp;Mod6=170&amp;Pep=GNMPQRGGGGGGSGGIGYPYPR&amp;Dta=/var/www/html/dta/yong/23612.6904.3.dta&amp;Global_Mod=CS57.0215", "6904")</f>
        <v>6904</v>
      </c>
      <c r="M1658" s="4" t="str">
        <f>HYPERLINK("http://ms.phosphosite.org:5080/cgi-bin/plot-msms.cgi?MassType=1&amp;NumAxis=1&amp;Mod3=147&amp;Mod6=170&amp;Pep=GNMPQRGGGGGGSGGIGYPYPR&amp;Dta=/var/www/html/dta/yong/23613.6907.3.dta&amp;Global_Mod=CS57.0215", "6907")</f>
        <v>6907</v>
      </c>
      <c r="N1658" s="5">
        <v>32.94</v>
      </c>
      <c r="O1658" s="5">
        <v>32.770000000000003</v>
      </c>
      <c r="P1658" s="5">
        <v>3.4550000000000001</v>
      </c>
      <c r="Q1658" s="5">
        <v>4.3369999999999997</v>
      </c>
      <c r="R1658" s="5">
        <v>0.28299999999999997</v>
      </c>
      <c r="S1658" s="5">
        <v>0.62590000000000001</v>
      </c>
      <c r="T1658" s="5">
        <v>0.36649999999999999</v>
      </c>
      <c r="U1658" s="5">
        <v>0.45100000000000001</v>
      </c>
      <c r="V1658" s="4">
        <v>1</v>
      </c>
      <c r="W1658" s="4">
        <v>1</v>
      </c>
      <c r="X1658" s="5">
        <v>2.25</v>
      </c>
      <c r="Y1658" s="5">
        <v>2.82</v>
      </c>
      <c r="Z1658" s="6">
        <v>1000</v>
      </c>
      <c r="AA1658" s="6">
        <v>1000</v>
      </c>
      <c r="AB1658" s="4" t="s">
        <v>13</v>
      </c>
    </row>
    <row r="1659" spans="1:28">
      <c r="A1659" s="3" t="s">
        <v>193</v>
      </c>
      <c r="B1659" s="24" t="s">
        <v>2331</v>
      </c>
      <c r="C1659" s="26" t="s">
        <v>2332</v>
      </c>
      <c r="D1659" s="4">
        <v>739</v>
      </c>
      <c r="E1659" s="3" t="s">
        <v>243</v>
      </c>
      <c r="F1659" s="3" t="s">
        <v>2333</v>
      </c>
      <c r="G1659" s="4">
        <v>90.5</v>
      </c>
      <c r="H1659" s="3" t="s">
        <v>2334</v>
      </c>
      <c r="I1659" s="3" t="s">
        <v>2335</v>
      </c>
      <c r="J1659" s="4">
        <v>3</v>
      </c>
      <c r="K1659" s="4">
        <v>708.00099999999998</v>
      </c>
      <c r="L1659" s="4" t="str">
        <f>HYPERLINK("http://ms.phosphosite.org:5080/cgi-bin/plot-msms.cgi?MassType=1&amp;NumAxis=1&amp;Mod3=147&amp;Mod6=170&amp;Pep=GNMPQRGGGGGGSGGIGYPYPR&amp;Dta=/var/www/html/dta/yong/23612.6858.3.dta&amp;Global_Mod=CS57.0215", "6858")</f>
        <v>6858</v>
      </c>
      <c r="M1659" s="4"/>
      <c r="N1659" s="5">
        <v>32.76</v>
      </c>
      <c r="O1659" s="5"/>
      <c r="P1659" s="5">
        <v>4.07</v>
      </c>
      <c r="Q1659" s="5"/>
      <c r="R1659" s="5">
        <v>0.28299999999999997</v>
      </c>
      <c r="S1659" s="5"/>
      <c r="T1659" s="5">
        <v>0.42170000000000002</v>
      </c>
      <c r="U1659" s="5"/>
      <c r="V1659" s="4">
        <v>1</v>
      </c>
      <c r="W1659" s="4"/>
      <c r="X1659" s="5">
        <v>2.64</v>
      </c>
      <c r="Y1659" s="5"/>
      <c r="Z1659" s="6">
        <v>1000</v>
      </c>
      <c r="AA1659" s="6"/>
      <c r="AB1659" s="4" t="s">
        <v>13</v>
      </c>
    </row>
    <row r="1660" spans="1:28">
      <c r="A1660" s="3" t="s">
        <v>193</v>
      </c>
      <c r="B1660" s="24" t="s">
        <v>2331</v>
      </c>
      <c r="C1660" s="26" t="s">
        <v>2332</v>
      </c>
      <c r="D1660" s="4">
        <v>702</v>
      </c>
      <c r="E1660" s="3" t="s">
        <v>243</v>
      </c>
      <c r="F1660" s="3" t="s">
        <v>2333</v>
      </c>
      <c r="G1660" s="4">
        <v>90.5</v>
      </c>
      <c r="H1660" s="3" t="s">
        <v>250</v>
      </c>
      <c r="I1660" s="3" t="s">
        <v>2336</v>
      </c>
      <c r="J1660" s="4">
        <v>2</v>
      </c>
      <c r="K1660" s="4">
        <v>500.73899999999998</v>
      </c>
      <c r="L1660" s="4" t="str">
        <f>HYPERLINK("http://ms.phosphosite.org:5080/cgi-bin/plot-msms.cgi?MassType=1&amp;NumAxis=1&amp;Mod5=170&amp;Pep=NQFNRGGGH&amp;Dta=/var/www/html/dta/yong/23612.1459.2.dta&amp;Global_Mod=CS57.0215", "1459")</f>
        <v>1459</v>
      </c>
      <c r="M1660" s="4" t="str">
        <f>HYPERLINK("http://ms.phosphosite.org:5080/cgi-bin/plot-msms.cgi?MassType=1&amp;NumAxis=1&amp;Mod5=170&amp;Pep=NQFNRGGGH&amp;Dta=/var/www/html/dta/yong/23613.1477.2.dta&amp;Global_Mod=CS57.0215", "1477")</f>
        <v>1477</v>
      </c>
      <c r="N1660" s="5">
        <v>12.34</v>
      </c>
      <c r="O1660" s="5">
        <v>12.25</v>
      </c>
      <c r="P1660" s="5">
        <v>2.3090000000000002</v>
      </c>
      <c r="Q1660" s="5">
        <v>2.1520000000000001</v>
      </c>
      <c r="R1660" s="5">
        <v>0.61580000000000001</v>
      </c>
      <c r="S1660" s="5">
        <v>0.53080000000000005</v>
      </c>
      <c r="T1660" s="5">
        <v>0.22109999999999999</v>
      </c>
      <c r="U1660" s="5">
        <v>0.2248</v>
      </c>
      <c r="V1660" s="4">
        <v>3</v>
      </c>
      <c r="W1660" s="4">
        <v>2</v>
      </c>
      <c r="X1660" s="5">
        <v>1.39</v>
      </c>
      <c r="Y1660" s="5">
        <v>1.38</v>
      </c>
      <c r="Z1660" s="6">
        <v>1000</v>
      </c>
      <c r="AA1660" s="6">
        <v>1000</v>
      </c>
      <c r="AB1660" s="4" t="s">
        <v>13</v>
      </c>
    </row>
    <row r="1661" spans="1:28">
      <c r="A1661" s="3" t="s">
        <v>193</v>
      </c>
      <c r="B1661" s="24" t="s">
        <v>2337</v>
      </c>
      <c r="C1661" s="26" t="s">
        <v>2338</v>
      </c>
      <c r="D1661" s="4">
        <v>609</v>
      </c>
      <c r="E1661" s="3" t="s">
        <v>2339</v>
      </c>
      <c r="F1661" s="3" t="s">
        <v>2340</v>
      </c>
      <c r="G1661" s="4">
        <v>95.3</v>
      </c>
      <c r="H1661" s="3" t="s">
        <v>2341</v>
      </c>
      <c r="I1661" s="3" t="s">
        <v>2342</v>
      </c>
      <c r="J1661" s="4">
        <v>2</v>
      </c>
      <c r="K1661" s="4">
        <v>496.30599999999998</v>
      </c>
      <c r="L1661" s="4" t="str">
        <f>HYPERLINK("http://ms.phosphosite.org:5080/cgi-bin/plot-msms.cgi?MassType=1&amp;NumAxis=1&amp;Mod6=170&amp;Pep=APVPVRGGPK&amp;Dta=/var/www/html/dta/yong/23612.2653.2.dta&amp;Global_Mod=CS57.0215", "2653")</f>
        <v>2653</v>
      </c>
      <c r="M1661" s="4" t="str">
        <f>HYPERLINK("http://ms.phosphosite.org:5080/cgi-bin/plot-msms.cgi?MassType=1&amp;NumAxis=1&amp;Mod6=170&amp;Pep=APVPVRGGPK&amp;Dta=/var/www/html/dta/yong/23613.2691.2.dta&amp;Global_Mod=CS57.0215", "2691")</f>
        <v>2691</v>
      </c>
      <c r="N1661" s="5">
        <v>16.84</v>
      </c>
      <c r="O1661" s="5">
        <v>16.8</v>
      </c>
      <c r="P1661" s="5">
        <v>1.764</v>
      </c>
      <c r="Q1661" s="5">
        <v>2.2120000000000002</v>
      </c>
      <c r="R1661" s="5">
        <v>0.15</v>
      </c>
      <c r="S1661" s="5">
        <v>5.9700000000000003E-2</v>
      </c>
      <c r="T1661" s="5">
        <v>0.20030000000000001</v>
      </c>
      <c r="U1661" s="5">
        <v>0.2571</v>
      </c>
      <c r="V1661" s="4">
        <v>1</v>
      </c>
      <c r="W1661" s="4">
        <v>1</v>
      </c>
      <c r="X1661" s="5">
        <v>1.17</v>
      </c>
      <c r="Y1661" s="5">
        <v>1.5</v>
      </c>
      <c r="Z1661" s="6">
        <v>1000</v>
      </c>
      <c r="AA1661" s="6">
        <v>1000</v>
      </c>
      <c r="AB1661" s="4" t="s">
        <v>13</v>
      </c>
    </row>
    <row r="1662" spans="1:28">
      <c r="A1662" s="3" t="s">
        <v>193</v>
      </c>
      <c r="B1662" s="24" t="s">
        <v>2337</v>
      </c>
      <c r="C1662" s="26" t="s">
        <v>2338</v>
      </c>
      <c r="D1662" s="4">
        <v>609</v>
      </c>
      <c r="E1662" s="3" t="s">
        <v>2339</v>
      </c>
      <c r="F1662" s="3" t="s">
        <v>2340</v>
      </c>
      <c r="G1662" s="4">
        <v>95.3</v>
      </c>
      <c r="H1662" s="3" t="s">
        <v>2341</v>
      </c>
      <c r="I1662" s="3" t="s">
        <v>2343</v>
      </c>
      <c r="J1662" s="4">
        <v>2</v>
      </c>
      <c r="K1662" s="4">
        <v>412.2611</v>
      </c>
      <c r="L1662" s="4" t="str">
        <f>HYPERLINK("http://ms.phosphosite.org:5080/cgi-bin/plot-msms.cgi?MassType=1&amp;NumAxis=1&amp;Mod4=170&amp;Pep=VPVRGGPK&amp;Dta=/var/www/html/dta/yong/23612.1377.2.dta&amp;Global_Mod=CS57.0215", "1377")</f>
        <v>1377</v>
      </c>
      <c r="M1662" s="4" t="str">
        <f>HYPERLINK("http://ms.phosphosite.org:5080/cgi-bin/plot-msms.cgi?MassType=1&amp;NumAxis=1&amp;Mod4=170&amp;Pep=VPVRGGPK&amp;Dta=/var/www/html/dta/yong/23613.1394.2.dta&amp;Global_Mod=CS57.0215", "1394")</f>
        <v>1394</v>
      </c>
      <c r="N1662" s="5">
        <v>12.03</v>
      </c>
      <c r="O1662" s="5">
        <v>11.94</v>
      </c>
      <c r="P1662" s="5">
        <v>2.2210000000000001</v>
      </c>
      <c r="Q1662" s="5">
        <v>2.593</v>
      </c>
      <c r="R1662" s="5">
        <v>0.75449999999999995</v>
      </c>
      <c r="S1662" s="5">
        <v>0.66059999999999997</v>
      </c>
      <c r="T1662" s="5">
        <v>9.5200000000000007E-2</v>
      </c>
      <c r="U1662" s="5">
        <v>0.16789999999999999</v>
      </c>
      <c r="V1662" s="4">
        <v>13</v>
      </c>
      <c r="W1662" s="4">
        <v>10</v>
      </c>
      <c r="X1662" s="5">
        <v>0.75</v>
      </c>
      <c r="Y1662" s="5">
        <v>1.17</v>
      </c>
      <c r="Z1662" s="6">
        <v>1000</v>
      </c>
      <c r="AA1662" s="6">
        <v>1000</v>
      </c>
      <c r="AB1662" s="4" t="s">
        <v>13</v>
      </c>
    </row>
    <row r="1663" spans="1:28">
      <c r="A1663" s="3" t="s">
        <v>193</v>
      </c>
      <c r="B1663" s="24" t="s">
        <v>2344</v>
      </c>
      <c r="C1663" s="26" t="s">
        <v>2344</v>
      </c>
      <c r="D1663" s="4">
        <v>88</v>
      </c>
      <c r="E1663" s="3" t="s">
        <v>2345</v>
      </c>
      <c r="F1663" s="3"/>
      <c r="G1663" s="4">
        <v>44.2</v>
      </c>
      <c r="H1663" s="3" t="s">
        <v>2346</v>
      </c>
      <c r="I1663" s="3" t="s">
        <v>2347</v>
      </c>
      <c r="J1663" s="4">
        <v>2</v>
      </c>
      <c r="K1663" s="4">
        <v>519.7518</v>
      </c>
      <c r="L1663" s="4" t="str">
        <f>HYPERLINK("http://ms.phosphosite.org:5080/cgi-bin/plot-msms.cgi?MassType=1&amp;NumAxis=1&amp;Mod2=170&amp;Pep=AREHPDDGK&amp;Dta=/var/www/html/dta/yong/23612.10336.2.dta&amp;Global_Mod=CS57.0215", "10336")</f>
        <v>10336</v>
      </c>
      <c r="M1663" s="4" t="str">
        <f>HYPERLINK("http://ms.phosphosite.org:5080/cgi-bin/plot-msms.cgi?MassType=1&amp;NumAxis=1&amp;Mod2=170&amp;Pep=AREHPDDGK&amp;Dta=/var/www/html/dta/yong/23613.10423.2.dta&amp;Global_Mod=CS57.0215", "10423")</f>
        <v>10423</v>
      </c>
      <c r="N1663" s="5">
        <v>45.14</v>
      </c>
      <c r="O1663" s="5">
        <v>45.22</v>
      </c>
      <c r="P1663" s="5">
        <v>1.7789999999999999</v>
      </c>
      <c r="Q1663" s="5">
        <v>1.9370000000000001</v>
      </c>
      <c r="R1663" s="5">
        <v>-6.7141999999999999</v>
      </c>
      <c r="S1663" s="5">
        <v>-6.7889999999999997</v>
      </c>
      <c r="T1663" s="5">
        <v>0.20330000000000001</v>
      </c>
      <c r="U1663" s="5">
        <v>0.23269999999999999</v>
      </c>
      <c r="V1663" s="4">
        <v>8</v>
      </c>
      <c r="W1663" s="4">
        <v>1</v>
      </c>
      <c r="X1663" s="5">
        <v>0.8</v>
      </c>
      <c r="Y1663" s="5">
        <v>0.95</v>
      </c>
      <c r="Z1663" s="6">
        <v>1000</v>
      </c>
      <c r="AA1663" s="6">
        <v>1000</v>
      </c>
      <c r="AB1663" s="4" t="s">
        <v>13</v>
      </c>
    </row>
    <row r="1664" spans="1:28">
      <c r="A1664" s="3" t="s">
        <v>193</v>
      </c>
      <c r="B1664" s="24" t="s">
        <v>2344</v>
      </c>
      <c r="C1664" s="26" t="s">
        <v>2344</v>
      </c>
      <c r="D1664" s="4">
        <v>88</v>
      </c>
      <c r="E1664" s="3" t="s">
        <v>2345</v>
      </c>
      <c r="F1664" s="3"/>
      <c r="G1664" s="4">
        <v>44.2</v>
      </c>
      <c r="H1664" s="3" t="s">
        <v>2346</v>
      </c>
      <c r="I1664" s="3" t="s">
        <v>2347</v>
      </c>
      <c r="J1664" s="4">
        <v>2</v>
      </c>
      <c r="K1664" s="4">
        <v>519.7518</v>
      </c>
      <c r="L1664" s="4"/>
      <c r="M1664" s="4" t="str">
        <f>HYPERLINK("http://ms.phosphosite.org:5080/cgi-bin/plot-msms.cgi?MassType=1&amp;NumAxis=1&amp;Mod2=170&amp;Pep=AREHPDDGK&amp;Dta=/var/www/html/dta/yong/23613.9529.2.dta&amp;Global_Mod=CS57.0215", "9529")</f>
        <v>9529</v>
      </c>
      <c r="N1664" s="5"/>
      <c r="O1664" s="5">
        <v>42.19</v>
      </c>
      <c r="P1664" s="5"/>
      <c r="Q1664" s="5">
        <v>1.919</v>
      </c>
      <c r="R1664" s="5"/>
      <c r="S1664" s="5">
        <v>-7.0091000000000001</v>
      </c>
      <c r="T1664" s="5"/>
      <c r="U1664" s="5">
        <v>0.19220000000000001</v>
      </c>
      <c r="V1664" s="4"/>
      <c r="W1664" s="4">
        <v>1</v>
      </c>
      <c r="X1664" s="5"/>
      <c r="Y1664" s="5">
        <v>0.74</v>
      </c>
      <c r="Z1664" s="6"/>
      <c r="AA1664" s="6">
        <v>1000</v>
      </c>
      <c r="AB1664" s="4" t="s">
        <v>13</v>
      </c>
    </row>
    <row r="1665" spans="1:28">
      <c r="A1665" s="3" t="s">
        <v>193</v>
      </c>
      <c r="B1665" s="24" t="s">
        <v>2348</v>
      </c>
      <c r="C1665" s="26" t="s">
        <v>2348</v>
      </c>
      <c r="D1665" s="4">
        <v>1023</v>
      </c>
      <c r="E1665" s="3" t="s">
        <v>2349</v>
      </c>
      <c r="F1665" s="3" t="s">
        <v>2350</v>
      </c>
      <c r="G1665" s="4">
        <v>129.9</v>
      </c>
      <c r="H1665" s="3" t="s">
        <v>2351</v>
      </c>
      <c r="I1665" s="3" t="s">
        <v>2352</v>
      </c>
      <c r="J1665" s="4">
        <v>5</v>
      </c>
      <c r="K1665" s="4">
        <v>556.86689999999999</v>
      </c>
      <c r="L1665" s="4" t="str">
        <f>HYPERLINK("http://ms.phosphosite.org:5080/cgi-bin/plot-msms.cgi?MassType=1&amp;NumAxis=1&amp;Mod2=170&amp;Mod4=147&amp;Mod14=147&amp;Pep=TRAMREMYRSYVEMLVSTALDPD&amp;Dta=/var/www/html/dta/yong/23612.11084.5.dta&amp;Global_Mod=CS57.0215", "11084")</f>
        <v>11084</v>
      </c>
      <c r="M1665" s="4"/>
      <c r="N1665" s="5">
        <v>47.75</v>
      </c>
      <c r="O1665" s="5"/>
      <c r="P1665" s="5">
        <v>3.0169999999999999</v>
      </c>
      <c r="Q1665" s="5"/>
      <c r="R1665" s="5">
        <v>-0.502</v>
      </c>
      <c r="S1665" s="5"/>
      <c r="T1665" s="5">
        <v>0.1774</v>
      </c>
      <c r="U1665" s="5"/>
      <c r="V1665" s="4">
        <v>9</v>
      </c>
      <c r="W1665" s="4"/>
      <c r="X1665" s="5">
        <v>0.87</v>
      </c>
      <c r="Y1665" s="5"/>
      <c r="Z1665" s="6">
        <v>4</v>
      </c>
      <c r="AA1665" s="6"/>
      <c r="AB1665" s="4" t="s">
        <v>13</v>
      </c>
    </row>
    <row r="1666" spans="1:28">
      <c r="A1666" s="3" t="s">
        <v>193</v>
      </c>
      <c r="B1666" s="24" t="s">
        <v>2353</v>
      </c>
      <c r="C1666" t="s">
        <v>2353</v>
      </c>
      <c r="D1666" s="4">
        <v>152</v>
      </c>
      <c r="E1666" s="3" t="s">
        <v>2354</v>
      </c>
      <c r="F1666" s="3" t="s">
        <v>2355</v>
      </c>
      <c r="G1666" s="4">
        <v>33.200000000000003</v>
      </c>
      <c r="H1666" s="3" t="s">
        <v>2356</v>
      </c>
      <c r="I1666" s="3" t="s">
        <v>2357</v>
      </c>
      <c r="J1666" s="4">
        <v>3</v>
      </c>
      <c r="K1666" s="4">
        <v>762.05250000000001</v>
      </c>
      <c r="L1666" s="4"/>
      <c r="M1666" s="4" t="str">
        <f>HYPERLINK("http://ms.phosphosite.org:5080/cgi-bin/plot-msms.cgi?MassType=1&amp;NumAxis=1&amp;Mod5=170&amp;Pep=QTVNRGGGGFGAGPGPGGLQSGQTI&amp;Dta=/var/www/html/dta/yong/23613.10989.3.dta&amp;Global_Mod=CS57.0215", "10989")</f>
        <v>10989</v>
      </c>
      <c r="N1666" s="5"/>
      <c r="O1666" s="5">
        <v>47.16</v>
      </c>
      <c r="P1666" s="5"/>
      <c r="Q1666" s="5">
        <v>3.0779999999999998</v>
      </c>
      <c r="R1666" s="5"/>
      <c r="S1666" s="5">
        <v>0.43149999999999999</v>
      </c>
      <c r="T1666" s="5"/>
      <c r="U1666" s="5">
        <v>0.13900000000000001</v>
      </c>
      <c r="V1666" s="4"/>
      <c r="W1666" s="4">
        <v>1</v>
      </c>
      <c r="X1666" s="5"/>
      <c r="Y1666" s="5">
        <v>0.99</v>
      </c>
      <c r="Z1666" s="6"/>
      <c r="AA1666" s="6">
        <v>1000</v>
      </c>
      <c r="AB1666" s="4" t="s">
        <v>13</v>
      </c>
    </row>
    <row r="1667" spans="1:28">
      <c r="A1667" s="3" t="s">
        <v>193</v>
      </c>
      <c r="B1667" s="24" t="s">
        <v>2353</v>
      </c>
      <c r="C1667" t="s">
        <v>2353</v>
      </c>
      <c r="D1667" s="4">
        <v>152</v>
      </c>
      <c r="E1667" s="3" t="s">
        <v>2354</v>
      </c>
      <c r="F1667" s="3" t="s">
        <v>2355</v>
      </c>
      <c r="G1667" s="4">
        <v>33.200000000000003</v>
      </c>
      <c r="H1667" s="3" t="s">
        <v>2356</v>
      </c>
      <c r="I1667" s="3" t="s">
        <v>2358</v>
      </c>
      <c r="J1667" s="4">
        <v>3</v>
      </c>
      <c r="K1667" s="4">
        <v>1160.6096</v>
      </c>
      <c r="L1667" s="4" t="str">
        <f>HYPERLINK("http://ms.phosphosite.org:5080/cgi-bin/plot-msms.cgi?MassType=1&amp;NumAxis=1&amp;Mod5=170&amp;Pep=QTVNRGGGGFGAGPGPGGLQSGQTIALPAQGLIEFR&amp;Dta=/var/www/html/dta/yong/23612.17330.3.dta&amp;Global_Mod=CS57.0215", "17330")</f>
        <v>17330</v>
      </c>
      <c r="M1667" s="4"/>
      <c r="N1667" s="5">
        <v>71.2</v>
      </c>
      <c r="O1667" s="5"/>
      <c r="P1667" s="5">
        <v>4.6719999999999997</v>
      </c>
      <c r="Q1667" s="5"/>
      <c r="R1667" s="5">
        <v>1.0323</v>
      </c>
      <c r="S1667" s="5"/>
      <c r="T1667" s="5">
        <v>0.34</v>
      </c>
      <c r="U1667" s="5"/>
      <c r="V1667" s="4">
        <v>1</v>
      </c>
      <c r="W1667" s="4"/>
      <c r="X1667" s="5">
        <v>2.17</v>
      </c>
      <c r="Y1667" s="5"/>
      <c r="Z1667" s="6">
        <v>1000</v>
      </c>
      <c r="AA1667" s="6"/>
      <c r="AB1667" s="4" t="s">
        <v>13</v>
      </c>
    </row>
    <row r="1668" spans="1:28">
      <c r="A1668" s="3" t="s">
        <v>193</v>
      </c>
      <c r="B1668" s="24" t="s">
        <v>2353</v>
      </c>
      <c r="C1668" t="s">
        <v>2353</v>
      </c>
      <c r="D1668" s="4">
        <v>152</v>
      </c>
      <c r="E1668" s="3" t="s">
        <v>2354</v>
      </c>
      <c r="F1668" s="3" t="s">
        <v>2355</v>
      </c>
      <c r="G1668" s="4">
        <v>33.200000000000003</v>
      </c>
      <c r="H1668" s="3" t="s">
        <v>2356</v>
      </c>
      <c r="I1668" s="3" t="s">
        <v>2358</v>
      </c>
      <c r="J1668" s="4">
        <v>4</v>
      </c>
      <c r="K1668" s="4">
        <v>870.70899999999995</v>
      </c>
      <c r="L1668" s="4"/>
      <c r="M1668" s="4" t="str">
        <f>HYPERLINK("http://ms.phosphosite.org:5080/cgi-bin/plot-msms.cgi?MassType=1&amp;NumAxis=1&amp;Mod5=170&amp;Pep=QTVNRGGGGFGAGPGPGGLQSGQTIALPAQGLIEFR&amp;Dta=/var/www/html/dta/yong/23613.17434.4.dta&amp;Global_Mod=CS57.0215", "17434")</f>
        <v>17434</v>
      </c>
      <c r="N1668" s="5"/>
      <c r="O1668" s="5">
        <v>71.209999999999994</v>
      </c>
      <c r="P1668" s="5"/>
      <c r="Q1668" s="5">
        <v>3.38</v>
      </c>
      <c r="R1668" s="5"/>
      <c r="S1668" s="5">
        <v>3.4493</v>
      </c>
      <c r="T1668" s="5"/>
      <c r="U1668" s="5">
        <v>0.15759999999999999</v>
      </c>
      <c r="V1668" s="4"/>
      <c r="W1668" s="4">
        <v>1</v>
      </c>
      <c r="X1668" s="5"/>
      <c r="Y1668" s="5">
        <v>0.9</v>
      </c>
      <c r="Z1668" s="6"/>
      <c r="AA1668" s="6">
        <v>1000</v>
      </c>
      <c r="AB1668" s="4" t="s">
        <v>13</v>
      </c>
    </row>
    <row r="1669" spans="1:28">
      <c r="A1669" s="3" t="s">
        <v>193</v>
      </c>
      <c r="B1669" s="24" t="s">
        <v>2359</v>
      </c>
      <c r="C1669" s="26" t="s">
        <v>2359</v>
      </c>
      <c r="D1669" s="4">
        <v>370</v>
      </c>
      <c r="E1669" s="3" t="s">
        <v>2360</v>
      </c>
      <c r="F1669" s="3" t="s">
        <v>2361</v>
      </c>
      <c r="G1669" s="4">
        <v>65.3</v>
      </c>
      <c r="H1669" s="3" t="s">
        <v>2362</v>
      </c>
      <c r="I1669" s="3" t="s">
        <v>2363</v>
      </c>
      <c r="J1669" s="4">
        <v>2</v>
      </c>
      <c r="K1669" s="4">
        <v>479.29</v>
      </c>
      <c r="L1669" s="4" t="str">
        <f>HYPERLINK("http://ms.phosphosite.org:5080/cgi-bin/plot-msms.cgi?MassType=1&amp;NumAxis=1&amp;Mod9=170&amp;Pep=VATLPLSSR&amp;Dta=/var/www/html/dta/yong/23612.8153.2.dta&amp;Global_Mod=CS57.0215", "8153")</f>
        <v>8153</v>
      </c>
      <c r="M1669" s="4" t="str">
        <f>HYPERLINK("http://ms.phosphosite.org:5080/cgi-bin/plot-msms.cgi?MassType=1&amp;NumAxis=1&amp;Mod9=170&amp;Pep=VATLPLSSR&amp;Dta=/var/www/html/dta/yong/23613.8174.2.dta&amp;Global_Mod=CS57.0215", "8174")</f>
        <v>8174</v>
      </c>
      <c r="N1669" s="5">
        <v>37.380000000000003</v>
      </c>
      <c r="O1669" s="5">
        <v>37.369999999999997</v>
      </c>
      <c r="P1669" s="5">
        <v>1.7729999999999999</v>
      </c>
      <c r="Q1669" s="5">
        <v>1.7110000000000001</v>
      </c>
      <c r="R1669" s="5">
        <v>0.17069999999999999</v>
      </c>
      <c r="S1669" s="5">
        <v>0.186</v>
      </c>
      <c r="T1669" s="5">
        <v>8.8400000000000006E-2</v>
      </c>
      <c r="U1669" s="5">
        <v>9.1600000000000001E-2</v>
      </c>
      <c r="V1669" s="4">
        <v>122</v>
      </c>
      <c r="W1669" s="4">
        <v>76</v>
      </c>
      <c r="X1669" s="5">
        <v>0.71</v>
      </c>
      <c r="Y1669" s="5">
        <v>0.73</v>
      </c>
      <c r="Z1669" s="6">
        <v>1000</v>
      </c>
      <c r="AA1669" s="6">
        <v>1000</v>
      </c>
      <c r="AB1669" s="4" t="s">
        <v>13</v>
      </c>
    </row>
    <row r="1670" spans="1:28">
      <c r="A1670" s="3" t="s">
        <v>193</v>
      </c>
      <c r="B1670" s="24" t="s">
        <v>2364</v>
      </c>
      <c r="C1670" s="26" t="s">
        <v>2364</v>
      </c>
      <c r="D1670" s="4">
        <v>811</v>
      </c>
      <c r="E1670" s="3" t="s">
        <v>2365</v>
      </c>
      <c r="F1670" s="3" t="s">
        <v>2366</v>
      </c>
      <c r="G1670" s="4">
        <v>102.6</v>
      </c>
      <c r="H1670" s="3" t="s">
        <v>2367</v>
      </c>
      <c r="I1670" s="3" t="s">
        <v>2368</v>
      </c>
      <c r="J1670" s="4">
        <v>3</v>
      </c>
      <c r="K1670" s="4">
        <v>441.89940000000001</v>
      </c>
      <c r="L1670" s="4" t="str">
        <f>HYPERLINK("http://ms.phosphosite.org:5080/cgi-bin/plot-msms.cgi?MassType=1&amp;NumAxis=1&amp;Mod1=147&amp;Mod5=170&amp;Pep=MSEGRGLPPPPR&amp;Dta=/var/www/html/dta/yong/23612.4598.3.dta&amp;Global_Mod=CS57.0215", "4598")</f>
        <v>4598</v>
      </c>
      <c r="M1670" s="4"/>
      <c r="N1670" s="5">
        <v>24.3</v>
      </c>
      <c r="O1670" s="5"/>
      <c r="P1670" s="5">
        <v>2.34</v>
      </c>
      <c r="Q1670" s="5"/>
      <c r="R1670" s="5">
        <v>-9.6500000000000002E-2</v>
      </c>
      <c r="S1670" s="5"/>
      <c r="T1670" s="5">
        <v>0.1232</v>
      </c>
      <c r="U1670" s="5"/>
      <c r="V1670" s="4">
        <v>3</v>
      </c>
      <c r="W1670" s="4"/>
      <c r="X1670" s="5">
        <v>0.9</v>
      </c>
      <c r="Y1670" s="5"/>
      <c r="Z1670" s="6">
        <v>1000</v>
      </c>
      <c r="AA1670" s="6"/>
      <c r="AB1670" s="4" t="s">
        <v>13</v>
      </c>
    </row>
    <row r="1671" spans="1:28">
      <c r="A1671" s="3" t="s">
        <v>193</v>
      </c>
      <c r="B1671" s="24" t="s">
        <v>2364</v>
      </c>
      <c r="C1671" s="26" t="s">
        <v>2364</v>
      </c>
      <c r="D1671" s="4">
        <v>902</v>
      </c>
      <c r="E1671" s="3" t="s">
        <v>2365</v>
      </c>
      <c r="F1671" s="3" t="s">
        <v>2366</v>
      </c>
      <c r="G1671" s="4">
        <v>102.6</v>
      </c>
      <c r="H1671" s="3" t="s">
        <v>2369</v>
      </c>
      <c r="I1671" s="3" t="s">
        <v>2370</v>
      </c>
      <c r="J1671" s="4">
        <v>2</v>
      </c>
      <c r="K1671" s="4">
        <v>584.76179999999999</v>
      </c>
      <c r="L1671" s="4" t="str">
        <f>HYPERLINK("http://ms.phosphosite.org:5080/cgi-bin/plot-msms.cgi?MassType=1&amp;NumAxis=1&amp;Mod3=147&amp;Mod12=170&amp;Pep=GGMQGGFGGQSR&amp;Dta=/var/www/html/dta/yong/23612.2967.2.dta&amp;Global_Mod=CS57.0215", "2967")</f>
        <v>2967</v>
      </c>
      <c r="M1671" s="4" t="str">
        <f>HYPERLINK("http://ms.phosphosite.org:5080/cgi-bin/plot-msms.cgi?MassType=1&amp;NumAxis=1&amp;Mod3=147&amp;Mod12=170&amp;Pep=GGMQGGFGGQSR&amp;Dta=/var/www/html/dta/yong/23613.3000.2.dta&amp;Global_Mod=CS57.0215", "3000")</f>
        <v>3000</v>
      </c>
      <c r="N1671" s="5">
        <v>18.010000000000002</v>
      </c>
      <c r="O1671" s="5">
        <v>17.98</v>
      </c>
      <c r="P1671" s="5">
        <v>3.3769999999999998</v>
      </c>
      <c r="Q1671" s="5">
        <v>3.375</v>
      </c>
      <c r="R1671" s="5">
        <v>0.78690000000000004</v>
      </c>
      <c r="S1671" s="5">
        <v>0.79390000000000005</v>
      </c>
      <c r="T1671" s="5">
        <v>0.3024</v>
      </c>
      <c r="U1671" s="5">
        <v>0.3261</v>
      </c>
      <c r="V1671" s="4">
        <v>1</v>
      </c>
      <c r="W1671" s="4">
        <v>2</v>
      </c>
      <c r="X1671" s="5">
        <v>2.13</v>
      </c>
      <c r="Y1671" s="5">
        <v>2.2400000000000002</v>
      </c>
      <c r="Z1671" s="6">
        <v>1000</v>
      </c>
      <c r="AA1671" s="6">
        <v>1000</v>
      </c>
      <c r="AB1671" s="4" t="s">
        <v>13</v>
      </c>
    </row>
    <row r="1672" spans="1:28">
      <c r="A1672" s="3" t="s">
        <v>193</v>
      </c>
      <c r="B1672" s="24" t="s">
        <v>2371</v>
      </c>
      <c r="C1672" s="26" t="s">
        <v>2372</v>
      </c>
      <c r="D1672" s="4">
        <v>158</v>
      </c>
      <c r="E1672" s="3" t="s">
        <v>2373</v>
      </c>
      <c r="F1672" s="3" t="s">
        <v>2374</v>
      </c>
      <c r="G1672" s="4">
        <v>121.4</v>
      </c>
      <c r="H1672" s="3" t="s">
        <v>2375</v>
      </c>
      <c r="I1672" s="3" t="s">
        <v>2376</v>
      </c>
      <c r="J1672" s="4">
        <v>3</v>
      </c>
      <c r="K1672" s="4">
        <v>436.91059999999999</v>
      </c>
      <c r="L1672" s="4" t="str">
        <f>HYPERLINK("http://ms.phosphosite.org:5080/cgi-bin/plot-msms.cgi?MassType=1&amp;NumAxis=1&amp;Mod1=170&amp;Pep=RGGHTWVSGKPI&amp;Dta=/var/www/html/dta/yong/23612.5394.3.dta&amp;Global_Mod=CS57.0215", "5394")</f>
        <v>5394</v>
      </c>
      <c r="M1672" s="4" t="str">
        <f>HYPERLINK("http://ms.phosphosite.org:5080/cgi-bin/plot-msms.cgi?MassType=1&amp;NumAxis=1&amp;Mod1=170&amp;Pep=RGGHTWVSGKPI&amp;Dta=/var/www/html/dta/yong/23613.5388.3.dta&amp;Global_Mod=CS57.0215", "5388")</f>
        <v>5388</v>
      </c>
      <c r="N1672" s="5">
        <v>27.32</v>
      </c>
      <c r="O1672" s="5">
        <v>27.11</v>
      </c>
      <c r="P1672" s="5">
        <v>2.0910000000000002</v>
      </c>
      <c r="Q1672" s="5">
        <v>2.85</v>
      </c>
      <c r="R1672" s="5">
        <v>0.2112</v>
      </c>
      <c r="S1672" s="5">
        <v>0.39679999999999999</v>
      </c>
      <c r="T1672" s="5">
        <v>0.10580000000000001</v>
      </c>
      <c r="U1672" s="5">
        <v>0.21</v>
      </c>
      <c r="V1672" s="4">
        <v>105</v>
      </c>
      <c r="W1672" s="4">
        <v>1</v>
      </c>
      <c r="X1672" s="5">
        <v>0.72</v>
      </c>
      <c r="Y1672" s="5">
        <v>1.43</v>
      </c>
      <c r="Z1672" s="6">
        <v>1000</v>
      </c>
      <c r="AA1672" s="6">
        <v>1000</v>
      </c>
      <c r="AB1672" s="4" t="s">
        <v>13</v>
      </c>
    </row>
    <row r="1673" spans="1:28">
      <c r="A1673" s="3" t="s">
        <v>193</v>
      </c>
      <c r="B1673" s="24" t="s">
        <v>2371</v>
      </c>
      <c r="C1673" s="26" t="s">
        <v>2372</v>
      </c>
      <c r="D1673" s="4">
        <v>158</v>
      </c>
      <c r="E1673" s="3" t="s">
        <v>2373</v>
      </c>
      <c r="F1673" s="3" t="s">
        <v>2374</v>
      </c>
      <c r="G1673" s="4">
        <v>121.4</v>
      </c>
      <c r="H1673" s="3" t="s">
        <v>2375</v>
      </c>
      <c r="I1673" s="3" t="s">
        <v>2376</v>
      </c>
      <c r="J1673" s="4">
        <v>3</v>
      </c>
      <c r="K1673" s="4">
        <v>436.91059999999999</v>
      </c>
      <c r="L1673" s="4" t="str">
        <f>HYPERLINK("http://ms.phosphosite.org:5080/cgi-bin/plot-msms.cgi?MassType=1&amp;NumAxis=1&amp;Mod1=170&amp;Pep=RGGHTWVSGKPI&amp;Dta=/var/www/html/dta/yong/23612.5330.3.dta&amp;Global_Mod=CS57.0215", "5330")</f>
        <v>5330</v>
      </c>
      <c r="M1673" s="4"/>
      <c r="N1673" s="5">
        <v>27.08</v>
      </c>
      <c r="O1673" s="5"/>
      <c r="P1673" s="5">
        <v>2.3570000000000002</v>
      </c>
      <c r="Q1673" s="5"/>
      <c r="R1673" s="5">
        <v>0.2112</v>
      </c>
      <c r="S1673" s="5"/>
      <c r="T1673" s="5">
        <v>0.20680000000000001</v>
      </c>
      <c r="U1673" s="5"/>
      <c r="V1673" s="4">
        <v>22</v>
      </c>
      <c r="W1673" s="4"/>
      <c r="X1673" s="5">
        <v>1.32</v>
      </c>
      <c r="Y1673" s="5"/>
      <c r="Z1673" s="6">
        <v>1000</v>
      </c>
      <c r="AA1673" s="6"/>
      <c r="AB1673" s="4" t="s">
        <v>13</v>
      </c>
    </row>
    <row r="1674" spans="1:28">
      <c r="A1674" s="3" t="s">
        <v>193</v>
      </c>
      <c r="B1674" s="24" t="s">
        <v>2371</v>
      </c>
      <c r="C1674" s="26" t="s">
        <v>2372</v>
      </c>
      <c r="D1674" s="4">
        <v>158</v>
      </c>
      <c r="E1674" s="3" t="s">
        <v>2373</v>
      </c>
      <c r="F1674" s="3" t="s">
        <v>2374</v>
      </c>
      <c r="G1674" s="4">
        <v>121.4</v>
      </c>
      <c r="H1674" s="3" t="s">
        <v>2375</v>
      </c>
      <c r="I1674" s="3" t="s">
        <v>2377</v>
      </c>
      <c r="J1674" s="4">
        <v>3</v>
      </c>
      <c r="K1674" s="4">
        <v>597.99440000000004</v>
      </c>
      <c r="L1674" s="4"/>
      <c r="M1674" s="4" t="str">
        <f>HYPERLINK("http://ms.phosphosite.org:5080/cgi-bin/plot-msms.cgi?MassType=1&amp;NumAxis=1&amp;Mod1=170&amp;Pep=RGGHTWVSGKPILCPI&amp;Dta=/var/www/html/dta/yong/23613.10930.3.dta&amp;Global_Mod=CS57.0215", "10930")</f>
        <v>10930</v>
      </c>
      <c r="N1674" s="5"/>
      <c r="O1674" s="5">
        <v>46.95</v>
      </c>
      <c r="P1674" s="5"/>
      <c r="Q1674" s="5">
        <v>2.194</v>
      </c>
      <c r="R1674" s="5"/>
      <c r="S1674" s="5">
        <v>0.42320000000000002</v>
      </c>
      <c r="T1674" s="5"/>
      <c r="U1674" s="5">
        <v>0.15540000000000001</v>
      </c>
      <c r="V1674" s="4"/>
      <c r="W1674" s="4">
        <v>1</v>
      </c>
      <c r="X1674" s="5"/>
      <c r="Y1674" s="5">
        <v>0.98</v>
      </c>
      <c r="Z1674" s="6"/>
      <c r="AA1674" s="6">
        <v>1000</v>
      </c>
      <c r="AB1674" s="4" t="s">
        <v>13</v>
      </c>
    </row>
    <row r="1675" spans="1:28">
      <c r="A1675" s="3" t="s">
        <v>193</v>
      </c>
      <c r="B1675" s="24" t="s">
        <v>2378</v>
      </c>
      <c r="C1675" s="26" t="s">
        <v>2379</v>
      </c>
      <c r="D1675" s="4">
        <v>1465</v>
      </c>
      <c r="E1675" s="3" t="s">
        <v>2380</v>
      </c>
      <c r="F1675" s="3" t="s">
        <v>2381</v>
      </c>
      <c r="G1675" s="4">
        <v>220.5</v>
      </c>
      <c r="H1675" s="3" t="s">
        <v>2382</v>
      </c>
      <c r="I1675" s="3" t="s">
        <v>2383</v>
      </c>
      <c r="J1675" s="4">
        <v>3</v>
      </c>
      <c r="K1675" s="4">
        <v>393.55579999999998</v>
      </c>
      <c r="L1675" s="4" t="str">
        <f>HYPERLINK("http://ms.phosphosite.org:5080/cgi-bin/plot-msms.cgi?MassType=1&amp;NumAxis=1&amp;Mod10=170&amp;Pep=FKPTQSSLTR&amp;Dta=/var/www/html/dta/yong/23612.4621.3.dta&amp;Global_Mod=CS57.0215", "4621")</f>
        <v>4621</v>
      </c>
      <c r="M1675" s="4"/>
      <c r="N1675" s="5">
        <v>24.4</v>
      </c>
      <c r="O1675" s="5"/>
      <c r="P1675" s="5">
        <v>2.4409999999999998</v>
      </c>
      <c r="Q1675" s="5"/>
      <c r="R1675" s="5">
        <v>0.47889999999999999</v>
      </c>
      <c r="S1675" s="5"/>
      <c r="T1675" s="5">
        <v>0.14349999999999999</v>
      </c>
      <c r="U1675" s="5"/>
      <c r="V1675" s="4">
        <v>3</v>
      </c>
      <c r="W1675" s="4"/>
      <c r="X1675" s="5">
        <v>1.25</v>
      </c>
      <c r="Y1675" s="5"/>
      <c r="Z1675" s="6">
        <v>1000</v>
      </c>
      <c r="AA1675" s="6"/>
      <c r="AB1675" s="4" t="s">
        <v>13</v>
      </c>
    </row>
    <row r="1676" spans="1:28">
      <c r="A1676" t="s">
        <v>332</v>
      </c>
      <c r="B1676" s="2" t="s">
        <v>333</v>
      </c>
      <c r="C1676" t="s">
        <v>334</v>
      </c>
      <c r="D1676" s="1">
        <v>67</v>
      </c>
      <c r="E1676" t="s">
        <v>335</v>
      </c>
      <c r="F1676" s="3" t="s">
        <v>2384</v>
      </c>
      <c r="G1676" s="1">
        <v>51.4</v>
      </c>
      <c r="H1676" t="s">
        <v>391</v>
      </c>
      <c r="I1676" t="s">
        <v>2385</v>
      </c>
      <c r="J1676" s="1">
        <v>4</v>
      </c>
      <c r="K1676" s="1">
        <v>1040.2824000000001</v>
      </c>
      <c r="L1676" s="1"/>
      <c r="M1676" s="1" t="str">
        <f>HYPERLINK("http://ms.phosphosite.org:5080/cgi-bin/plot-msms.cgi?MassType=1&amp;NumAxis=1&amp;Mod28=147&amp;Mod42=170&amp;Pep=LDGSLGPQGGPVLNTGHPLGVNSDPFLMAAGSLGGNLTPFPR&amp;Dta=/var/www/html/dta/yong/23613.19693.4.dta&amp;Global_Mod=CS57.0215", "19693")</f>
        <v>19693</v>
      </c>
      <c r="N1676" s="27"/>
      <c r="O1676" s="27">
        <v>81.59</v>
      </c>
      <c r="P1676" s="27"/>
      <c r="Q1676" s="27">
        <v>2.9950000000000001</v>
      </c>
      <c r="R1676" s="27"/>
      <c r="S1676" s="27">
        <v>0.67449999999999999</v>
      </c>
      <c r="T1676" s="27"/>
      <c r="U1676" s="27">
        <v>0.10349999999999999</v>
      </c>
      <c r="V1676" s="1"/>
      <c r="W1676" s="1">
        <v>1</v>
      </c>
      <c r="X1676" s="27"/>
      <c r="Y1676" s="27">
        <v>0.91</v>
      </c>
      <c r="Z1676" s="28"/>
      <c r="AA1676" s="28">
        <v>1000</v>
      </c>
      <c r="AB1676" s="1" t="s">
        <v>13</v>
      </c>
    </row>
    <row r="1677" spans="1:28">
      <c r="A1677" t="s">
        <v>332</v>
      </c>
      <c r="B1677" s="2" t="s">
        <v>333</v>
      </c>
      <c r="C1677" t="s">
        <v>334</v>
      </c>
      <c r="D1677" s="1">
        <v>132</v>
      </c>
      <c r="E1677" t="s">
        <v>335</v>
      </c>
      <c r="F1677" s="3" t="s">
        <v>2384</v>
      </c>
      <c r="G1677" s="1">
        <v>51.4</v>
      </c>
      <c r="H1677" t="s">
        <v>2386</v>
      </c>
      <c r="I1677" t="s">
        <v>2387</v>
      </c>
      <c r="J1677" s="1">
        <v>2</v>
      </c>
      <c r="K1677" s="1">
        <v>672.37509999999997</v>
      </c>
      <c r="L1677" s="1" t="str">
        <f>HYPERLINK("http://ms.phosphosite.org:5080/cgi-bin/plot-msms.cgi?MassType=1&amp;NumAxis=1&amp;Mod14=170&amp;Pep=LGPGPGPGPTLNPR&amp;Dta=/var/www/html/dta/yong/23612.8492.2.dta&amp;Global_Mod=CS57.0215", "8492")</f>
        <v>8492</v>
      </c>
      <c r="M1677" s="1"/>
      <c r="N1677" s="27">
        <v>38.61</v>
      </c>
      <c r="O1677" s="27"/>
      <c r="P1677" s="27">
        <v>2.17</v>
      </c>
      <c r="Q1677" s="27"/>
      <c r="R1677" s="27">
        <v>0.44009999999999999</v>
      </c>
      <c r="S1677" s="27"/>
      <c r="T1677" s="27">
        <v>0.19500000000000001</v>
      </c>
      <c r="U1677" s="27"/>
      <c r="V1677" s="1">
        <v>1</v>
      </c>
      <c r="W1677" s="1"/>
      <c r="X1677" s="27">
        <v>1.47</v>
      </c>
      <c r="Y1677" s="27"/>
      <c r="Z1677" s="28">
        <v>1000</v>
      </c>
      <c r="AA1677" s="28"/>
      <c r="AB1677" s="1" t="s">
        <v>13</v>
      </c>
    </row>
    <row r="1678" spans="1:28">
      <c r="A1678" t="s">
        <v>332</v>
      </c>
      <c r="B1678" s="2" t="s">
        <v>333</v>
      </c>
      <c r="C1678" t="s">
        <v>334</v>
      </c>
      <c r="D1678" s="1">
        <v>132</v>
      </c>
      <c r="E1678" t="s">
        <v>335</v>
      </c>
      <c r="F1678" s="3" t="s">
        <v>2384</v>
      </c>
      <c r="G1678" s="1">
        <v>51.4</v>
      </c>
      <c r="H1678" t="s">
        <v>2386</v>
      </c>
      <c r="I1678" t="s">
        <v>2388</v>
      </c>
      <c r="J1678" s="1">
        <v>2</v>
      </c>
      <c r="K1678" s="1">
        <v>834.46500000000003</v>
      </c>
      <c r="L1678" s="1" t="str">
        <f>HYPERLINK("http://ms.phosphosite.org:5080/cgi-bin/plot-msms.cgi?MassType=1&amp;NumAxis=1&amp;Mod18=170&amp;Pep=PGGLLGPGPGPGPTLNPR&amp;Dta=/var/www/html/dta/yong/23612.12093.2.dta&amp;Global_Mod=CS57.0215", "12093")</f>
        <v>12093</v>
      </c>
      <c r="M1678" s="1" t="str">
        <f>HYPERLINK("http://ms.phosphosite.org:5080/cgi-bin/plot-msms.cgi?MassType=1&amp;NumAxis=1&amp;Mod18=170&amp;Pep=PGGLLGPGPGPGPTLNPR&amp;Dta=/var/www/html/dta/yong/23613.12165.2.dta&amp;Global_Mod=CS57.0215", "12165")</f>
        <v>12165</v>
      </c>
      <c r="N1678" s="27">
        <v>51.1</v>
      </c>
      <c r="O1678" s="27">
        <v>51.06</v>
      </c>
      <c r="P1678" s="27">
        <v>3.964</v>
      </c>
      <c r="Q1678" s="27">
        <v>4.1859999999999999</v>
      </c>
      <c r="R1678" s="27">
        <v>-1.28</v>
      </c>
      <c r="S1678" s="27">
        <v>0.25169999999999998</v>
      </c>
      <c r="T1678" s="27">
        <v>0.4924</v>
      </c>
      <c r="U1678" s="27">
        <v>0.48209999999999997</v>
      </c>
      <c r="V1678" s="1">
        <v>1</v>
      </c>
      <c r="W1678" s="1">
        <v>1</v>
      </c>
      <c r="X1678" s="27">
        <v>3.16</v>
      </c>
      <c r="Y1678" s="27">
        <v>3.23</v>
      </c>
      <c r="Z1678" s="28">
        <v>1000</v>
      </c>
      <c r="AA1678" s="28">
        <v>1000</v>
      </c>
      <c r="AB1678" s="1" t="s">
        <v>13</v>
      </c>
    </row>
    <row r="1679" spans="1:28">
      <c r="A1679" t="s">
        <v>332</v>
      </c>
      <c r="B1679" s="2" t="s">
        <v>333</v>
      </c>
      <c r="C1679" t="s">
        <v>334</v>
      </c>
      <c r="D1679" s="1">
        <v>172</v>
      </c>
      <c r="E1679" t="s">
        <v>335</v>
      </c>
      <c r="F1679" s="3" t="s">
        <v>2384</v>
      </c>
      <c r="G1679" s="1">
        <v>51.4</v>
      </c>
      <c r="H1679" t="s">
        <v>2389</v>
      </c>
      <c r="I1679" t="s">
        <v>2390</v>
      </c>
      <c r="J1679" s="1">
        <v>2</v>
      </c>
      <c r="K1679" s="1">
        <v>547.80129999999997</v>
      </c>
      <c r="L1679" s="1" t="str">
        <f>HYPERLINK("http://ms.phosphosite.org:5080/cgi-bin/plot-msms.cgi?MassType=1&amp;NumAxis=1&amp;Mod12=170&amp;Pep=AGGLLGAGPDPR&amp;Dta=/var/www/html/dta/yong/23612.8405.2.dta&amp;Global_Mod=CS57.0215", "8405")</f>
        <v>8405</v>
      </c>
      <c r="M1679" s="1" t="str">
        <f>HYPERLINK("http://ms.phosphosite.org:5080/cgi-bin/plot-msms.cgi?MassType=1&amp;NumAxis=1&amp;Mod12=170&amp;Pep=AGGLLGAGPDPR&amp;Dta=/var/www/html/dta/yong/23613.8436.2.dta&amp;Global_Mod=CS57.0215", "8436")</f>
        <v>8436</v>
      </c>
      <c r="N1679" s="27">
        <v>38.32</v>
      </c>
      <c r="O1679" s="27">
        <v>38.36</v>
      </c>
      <c r="P1679" s="27">
        <v>2.9009999999999998</v>
      </c>
      <c r="Q1679" s="27">
        <v>3.0990000000000002</v>
      </c>
      <c r="R1679" s="27">
        <v>0.24329999999999999</v>
      </c>
      <c r="S1679" s="27">
        <v>0.1077</v>
      </c>
      <c r="T1679" s="27">
        <v>0.2316</v>
      </c>
      <c r="U1679" s="27">
        <v>0.2238</v>
      </c>
      <c r="V1679" s="1">
        <v>1</v>
      </c>
      <c r="W1679" s="1">
        <v>1</v>
      </c>
      <c r="X1679" s="27">
        <v>1.81</v>
      </c>
      <c r="Y1679" s="27">
        <v>1.8</v>
      </c>
      <c r="Z1679" s="28">
        <v>1000</v>
      </c>
      <c r="AA1679" s="28">
        <v>1000</v>
      </c>
      <c r="AB1679" s="1" t="s">
        <v>13</v>
      </c>
    </row>
    <row r="1680" spans="1:28">
      <c r="A1680" t="s">
        <v>332</v>
      </c>
      <c r="B1680" s="2" t="s">
        <v>333</v>
      </c>
      <c r="C1680" t="s">
        <v>334</v>
      </c>
      <c r="D1680" s="1">
        <v>172</v>
      </c>
      <c r="E1680" t="s">
        <v>335</v>
      </c>
      <c r="F1680" s="3" t="s">
        <v>2384</v>
      </c>
      <c r="G1680" s="1">
        <v>51.4</v>
      </c>
      <c r="H1680" t="s">
        <v>2389</v>
      </c>
      <c r="I1680" t="s">
        <v>2391</v>
      </c>
      <c r="J1680" s="1">
        <v>3</v>
      </c>
      <c r="K1680" s="1">
        <v>782.39750000000004</v>
      </c>
      <c r="L1680" s="1"/>
      <c r="M1680" s="1" t="str">
        <f>HYPERLINK("http://ms.phosphosite.org:5080/cgi-bin/plot-msms.cgi?MassType=1&amp;NumAxis=1&amp;Mod12=170&amp;Mod17=147&amp;Pep=AGGLLGAGPDPRGGGPMGPGSGPNLR&amp;Dta=/var/www/html/dta/yong/23613.9790.3.dta&amp;Global_Mod=CS57.0215", "9790")</f>
        <v>9790</v>
      </c>
      <c r="N1680" s="27"/>
      <c r="O1680" s="27">
        <v>43.09</v>
      </c>
      <c r="P1680" s="27"/>
      <c r="Q1680" s="27">
        <v>3.6190000000000002</v>
      </c>
      <c r="R1680" s="27"/>
      <c r="S1680" s="27">
        <v>0.69040000000000001</v>
      </c>
      <c r="T1680" s="27"/>
      <c r="U1680" s="27">
        <v>0.23760000000000001</v>
      </c>
      <c r="V1680" s="1"/>
      <c r="W1680" s="1">
        <v>2</v>
      </c>
      <c r="X1680" s="27"/>
      <c r="Y1680" s="27">
        <v>1.66</v>
      </c>
      <c r="Z1680" s="28"/>
      <c r="AA1680" s="28">
        <v>1000</v>
      </c>
      <c r="AB1680" s="1" t="s">
        <v>13</v>
      </c>
    </row>
    <row r="1681" spans="1:28">
      <c r="A1681" t="s">
        <v>332</v>
      </c>
      <c r="B1681" s="2" t="s">
        <v>333</v>
      </c>
      <c r="C1681" t="s">
        <v>334</v>
      </c>
      <c r="D1681" s="1">
        <v>186</v>
      </c>
      <c r="E1681" t="s">
        <v>335</v>
      </c>
      <c r="F1681" s="3" t="s">
        <v>2384</v>
      </c>
      <c r="G1681" s="1">
        <v>51.4</v>
      </c>
      <c r="H1681" t="s">
        <v>351</v>
      </c>
      <c r="I1681" t="s">
        <v>2392</v>
      </c>
      <c r="J1681" s="1">
        <v>2</v>
      </c>
      <c r="K1681" s="1">
        <v>642.31169999999997</v>
      </c>
      <c r="L1681" s="1" t="str">
        <f>HYPERLINK("http://ms.phosphosite.org:5080/cgi-bin/plot-msms.cgi?MassType=1&amp;NumAxis=1&amp;Mod5=147&amp;Mod14=170&amp;Pep=GGGPMGPGSGPNLR&amp;Dta=/var/www/html/dta/yong/23612.4953.2.dta&amp;Global_Mod=CS57.0215", "4953")</f>
        <v>4953</v>
      </c>
      <c r="M1681" s="1" t="str">
        <f>HYPERLINK("http://ms.phosphosite.org:5080/cgi-bin/plot-msms.cgi?MassType=1&amp;NumAxis=1&amp;Mod5=147&amp;Mod14=170&amp;Pep=GGGPMGPGSGPNLR&amp;Dta=/var/www/html/dta/yong/23613.5000.2.dta&amp;Global_Mod=CS57.0215", "5000")</f>
        <v>5000</v>
      </c>
      <c r="N1681" s="27">
        <v>25.61</v>
      </c>
      <c r="O1681" s="27">
        <v>25.6</v>
      </c>
      <c r="P1681" s="27">
        <v>3.1829999999999998</v>
      </c>
      <c r="Q1681" s="27">
        <v>2.8719999999999999</v>
      </c>
      <c r="R1681" s="27">
        <v>0.66759999999999997</v>
      </c>
      <c r="S1681" s="27">
        <v>0.753</v>
      </c>
      <c r="T1681" s="27">
        <v>0.30759999999999998</v>
      </c>
      <c r="U1681" s="27">
        <v>0.32869999999999999</v>
      </c>
      <c r="V1681" s="1">
        <v>1</v>
      </c>
      <c r="W1681" s="1">
        <v>1</v>
      </c>
      <c r="X1681" s="27">
        <v>2.21</v>
      </c>
      <c r="Y1681" s="27">
        <v>2.25</v>
      </c>
      <c r="Z1681" s="28">
        <v>1000</v>
      </c>
      <c r="AA1681" s="28">
        <v>1000</v>
      </c>
      <c r="AB1681" s="1" t="s">
        <v>13</v>
      </c>
    </row>
    <row r="1682" spans="1:28">
      <c r="A1682" t="s">
        <v>332</v>
      </c>
      <c r="B1682" s="2" t="s">
        <v>333</v>
      </c>
      <c r="C1682" t="s">
        <v>334</v>
      </c>
      <c r="D1682" s="1">
        <v>214</v>
      </c>
      <c r="E1682" t="s">
        <v>335</v>
      </c>
      <c r="F1682" s="3" t="s">
        <v>2384</v>
      </c>
      <c r="G1682" s="1">
        <v>51.4</v>
      </c>
      <c r="H1682" t="s">
        <v>2393</v>
      </c>
      <c r="I1682" t="s">
        <v>2394</v>
      </c>
      <c r="J1682" s="1">
        <v>2</v>
      </c>
      <c r="K1682" s="1">
        <v>553.30930000000001</v>
      </c>
      <c r="L1682" s="1" t="str">
        <f>HYPERLINK("http://ms.phosphosite.org:5080/cgi-bin/plot-msms.cgi?MassType=1&amp;NumAxis=1&amp;Mod11=170&amp;Pep=GLGPGPNPNLR&amp;Dta=/var/www/html/dta/yong/23612.7137.2.dta&amp;Global_Mod=CS57.0215", "7137")</f>
        <v>7137</v>
      </c>
      <c r="M1682" s="1"/>
      <c r="N1682" s="27">
        <v>33.76</v>
      </c>
      <c r="O1682" s="27"/>
      <c r="P1682" s="27">
        <v>2.2360000000000002</v>
      </c>
      <c r="Q1682" s="27"/>
      <c r="R1682" s="27">
        <v>0.1799</v>
      </c>
      <c r="S1682" s="27"/>
      <c r="T1682" s="27">
        <v>0.16450000000000001</v>
      </c>
      <c r="U1682" s="27"/>
      <c r="V1682" s="1">
        <v>23</v>
      </c>
      <c r="W1682" s="1"/>
      <c r="X1682" s="27">
        <v>1.34</v>
      </c>
      <c r="Y1682" s="27"/>
      <c r="Z1682" s="28">
        <v>1000</v>
      </c>
      <c r="AA1682" s="28"/>
      <c r="AB1682" s="1" t="s">
        <v>13</v>
      </c>
    </row>
    <row r="1683" spans="1:28">
      <c r="A1683" t="s">
        <v>332</v>
      </c>
      <c r="B1683" s="2" t="s">
        <v>333</v>
      </c>
      <c r="C1683" t="s">
        <v>334</v>
      </c>
      <c r="D1683" s="1">
        <v>225</v>
      </c>
      <c r="E1683" t="s">
        <v>335</v>
      </c>
      <c r="F1683" s="3" t="s">
        <v>2384</v>
      </c>
      <c r="G1683" s="1">
        <v>51.4</v>
      </c>
      <c r="H1683" t="s">
        <v>353</v>
      </c>
      <c r="I1683" t="s">
        <v>2395</v>
      </c>
      <c r="J1683" s="1">
        <v>2</v>
      </c>
      <c r="K1683" s="1">
        <v>565.80129999999997</v>
      </c>
      <c r="L1683" s="1" t="str">
        <f>HYPERLINK("http://ms.phosphosite.org:5080/cgi-bin/plot-msms.cgi?MassType=1&amp;NumAxis=1&amp;Mod11=170&amp;Pep=SGFLGTNPAPR&amp;Dta=/var/www/html/dta/yong/23612.8542.2.dta&amp;Global_Mod=CS57.0215", "8542")</f>
        <v>8542</v>
      </c>
      <c r="M1683" s="1" t="str">
        <f>HYPERLINK("http://ms.phosphosite.org:5080/cgi-bin/plot-msms.cgi?MassType=1&amp;NumAxis=1&amp;Mod11=170&amp;Pep=SGFLGTNPAPR&amp;Dta=/var/www/html/dta/yong/23613.8537.2.dta&amp;Global_Mod=CS57.0215", "8537")</f>
        <v>8537</v>
      </c>
      <c r="N1683" s="27">
        <v>38.79</v>
      </c>
      <c r="O1683" s="27">
        <v>38.69</v>
      </c>
      <c r="P1683" s="27">
        <v>2.5710000000000002</v>
      </c>
      <c r="Q1683" s="27">
        <v>2.5939999999999999</v>
      </c>
      <c r="R1683" s="27">
        <v>0.22090000000000001</v>
      </c>
      <c r="S1683" s="27">
        <v>0.1961</v>
      </c>
      <c r="T1683" s="27">
        <v>0.2878</v>
      </c>
      <c r="U1683" s="27">
        <v>0.15</v>
      </c>
      <c r="V1683" s="1">
        <v>1</v>
      </c>
      <c r="W1683" s="1">
        <v>1</v>
      </c>
      <c r="X1683" s="27">
        <v>2.0299999999999998</v>
      </c>
      <c r="Y1683" s="27">
        <v>1.35</v>
      </c>
      <c r="Z1683" s="28">
        <v>1000</v>
      </c>
      <c r="AA1683" s="28">
        <v>1000</v>
      </c>
      <c r="AB1683" s="1" t="s">
        <v>13</v>
      </c>
    </row>
    <row r="1684" spans="1:28">
      <c r="A1684" t="s">
        <v>332</v>
      </c>
      <c r="B1684" s="2" t="s">
        <v>333</v>
      </c>
      <c r="C1684" t="s">
        <v>334</v>
      </c>
      <c r="D1684" s="1">
        <v>387</v>
      </c>
      <c r="E1684" t="s">
        <v>335</v>
      </c>
      <c r="F1684" s="3" t="s">
        <v>2384</v>
      </c>
      <c r="G1684" s="1">
        <v>51.4</v>
      </c>
      <c r="H1684" t="s">
        <v>2396</v>
      </c>
      <c r="I1684" t="s">
        <v>2397</v>
      </c>
      <c r="J1684" s="1">
        <v>3</v>
      </c>
      <c r="K1684" s="1">
        <v>748.36109999999996</v>
      </c>
      <c r="L1684" s="1" t="str">
        <f>HYPERLINK("http://ms.phosphosite.org:5080/cgi-bin/plot-msms.cgi?MassType=1&amp;NumAxis=1&amp;Mod23=170&amp;Pep=GAGSSAFSQSSGTLASNPATFQR&amp;Dta=/var/www/html/dta/yong/23612.10803.3.dta&amp;Global_Mod=CS57.0215", "10803")</f>
        <v>10803</v>
      </c>
      <c r="M1684" s="1" t="str">
        <f>HYPERLINK("http://ms.phosphosite.org:5080/cgi-bin/plot-msms.cgi?MassType=1&amp;NumAxis=1&amp;Mod23=170&amp;Pep=GAGSSAFSQSSGTLASNPATFQR&amp;Dta=/var/www/html/dta/yong/23613.10895.3.dta&amp;Global_Mod=CS57.0215", "10895")</f>
        <v>10895</v>
      </c>
      <c r="N1684" s="27">
        <v>46.78</v>
      </c>
      <c r="O1684" s="27">
        <v>46.84</v>
      </c>
      <c r="P1684" s="27">
        <v>5.0860000000000003</v>
      </c>
      <c r="Q1684" s="27">
        <v>4.077</v>
      </c>
      <c r="R1684" s="27">
        <v>0.94310000000000005</v>
      </c>
      <c r="S1684" s="27">
        <v>9.9299999999999999E-2</v>
      </c>
      <c r="T1684" s="27">
        <v>0.4471</v>
      </c>
      <c r="U1684" s="27">
        <v>0.33789999999999998</v>
      </c>
      <c r="V1684" s="1">
        <v>1</v>
      </c>
      <c r="W1684" s="1">
        <v>1</v>
      </c>
      <c r="X1684" s="27">
        <v>3.21</v>
      </c>
      <c r="Y1684" s="27">
        <v>2.4700000000000002</v>
      </c>
      <c r="Z1684" s="28">
        <v>1000</v>
      </c>
      <c r="AA1684" s="28">
        <v>1000</v>
      </c>
      <c r="AB1684" s="1" t="s">
        <v>13</v>
      </c>
    </row>
    <row r="1685" spans="1:28">
      <c r="A1685" t="s">
        <v>332</v>
      </c>
      <c r="B1685" s="2" t="s">
        <v>333</v>
      </c>
      <c r="C1685" t="s">
        <v>334</v>
      </c>
      <c r="D1685" s="1">
        <v>387</v>
      </c>
      <c r="E1685" t="s">
        <v>335</v>
      </c>
      <c r="F1685" s="3" t="s">
        <v>2384</v>
      </c>
      <c r="G1685" s="1">
        <v>51.4</v>
      </c>
      <c r="H1685" t="s">
        <v>2396</v>
      </c>
      <c r="I1685" t="s">
        <v>2397</v>
      </c>
      <c r="J1685" s="1">
        <v>3</v>
      </c>
      <c r="K1685" s="1">
        <v>748.36109999999996</v>
      </c>
      <c r="L1685" s="1"/>
      <c r="M1685" s="1" t="str">
        <f>HYPERLINK("http://ms.phosphosite.org:5080/cgi-bin/plot-msms.cgi?MassType=1&amp;NumAxis=1&amp;Mod23=170&amp;Pep=GAGSSAFSQSSGTLASNPATFQR&amp;Dta=/var/www/html/dta/yong/23613.10874.3.dta&amp;Global_Mod=CS57.0215", "10874")</f>
        <v>10874</v>
      </c>
      <c r="N1685" s="27"/>
      <c r="O1685" s="27">
        <v>46.77</v>
      </c>
      <c r="P1685" s="27"/>
      <c r="Q1685" s="27">
        <v>4.75</v>
      </c>
      <c r="R1685" s="27"/>
      <c r="S1685" s="27">
        <v>9.9299999999999999E-2</v>
      </c>
      <c r="T1685" s="27"/>
      <c r="U1685" s="27">
        <v>0.45650000000000002</v>
      </c>
      <c r="V1685" s="1"/>
      <c r="W1685" s="1">
        <v>1</v>
      </c>
      <c r="X1685" s="27"/>
      <c r="Y1685" s="27">
        <v>3.19</v>
      </c>
      <c r="Z1685" s="28"/>
      <c r="AA1685" s="28">
        <v>1000</v>
      </c>
      <c r="AB1685" s="1" t="s">
        <v>13</v>
      </c>
    </row>
    <row r="1686" spans="1:28">
      <c r="A1686" t="s">
        <v>2398</v>
      </c>
      <c r="B1686" s="29" t="s">
        <v>2399</v>
      </c>
      <c r="C1686" s="26" t="s">
        <v>2400</v>
      </c>
      <c r="D1686" s="1">
        <v>294</v>
      </c>
      <c r="E1686" t="s">
        <v>2401</v>
      </c>
      <c r="F1686" s="3" t="s">
        <v>2402</v>
      </c>
      <c r="G1686" s="1">
        <v>464</v>
      </c>
      <c r="H1686" t="s">
        <v>2403</v>
      </c>
      <c r="I1686" t="s">
        <v>2404</v>
      </c>
      <c r="J1686" s="1">
        <v>2</v>
      </c>
      <c r="K1686" s="1">
        <v>957.40620000000001</v>
      </c>
      <c r="L1686" s="1"/>
      <c r="M1686" s="1" t="str">
        <f>HYPERLINK("http://ms.phosphosite.org:5080/cgi-bin/plot-msms.cgi?MassType=1&amp;NumAxis=1&amp;Mod1=170&amp;Pep=RCVCNPGYTGEDCGVR&amp;Dta=/var/www/html/dta/yong/23613.13978.2.dta&amp;Global_Mod=CS57.0215", "13978")</f>
        <v>13978</v>
      </c>
      <c r="N1686" s="27"/>
      <c r="O1686" s="27">
        <v>57.45</v>
      </c>
      <c r="P1686" s="27"/>
      <c r="Q1686" s="27">
        <v>2.5529999999999999</v>
      </c>
      <c r="R1686" s="27"/>
      <c r="S1686" s="27">
        <v>-12.1675</v>
      </c>
      <c r="T1686" s="27"/>
      <c r="U1686" s="27">
        <v>0.22720000000000001</v>
      </c>
      <c r="V1686" s="1"/>
      <c r="W1686" s="1">
        <v>1</v>
      </c>
      <c r="X1686" s="27"/>
      <c r="Y1686" s="27">
        <v>0.71</v>
      </c>
      <c r="Z1686" s="28"/>
      <c r="AA1686" s="28">
        <v>1000</v>
      </c>
      <c r="AB1686" s="1" t="s">
        <v>13</v>
      </c>
    </row>
    <row r="1687" spans="1:28">
      <c r="A1687" t="s">
        <v>2405</v>
      </c>
      <c r="B1687" s="29" t="s">
        <v>2406</v>
      </c>
      <c r="C1687" s="26" t="s">
        <v>2407</v>
      </c>
      <c r="D1687" s="1">
        <v>53</v>
      </c>
      <c r="E1687" t="s">
        <v>2408</v>
      </c>
      <c r="F1687" s="3" t="s">
        <v>2409</v>
      </c>
      <c r="G1687" s="1">
        <v>40.299999999999997</v>
      </c>
      <c r="H1687" t="s">
        <v>2410</v>
      </c>
      <c r="I1687" t="s">
        <v>2411</v>
      </c>
      <c r="J1687" s="1">
        <v>4</v>
      </c>
      <c r="K1687" s="1">
        <v>782.60910000000001</v>
      </c>
      <c r="L1687" s="1"/>
      <c r="M1687" s="1" t="str">
        <f>HYPERLINK("http://ms.phosphosite.org:5080/cgi-bin/plot-msms.cgi?MassType=1&amp;NumAxis=1&amp;Mod3=147&amp;Mod7=170&amp;Pep=HTMHVGRGGDVFGDTSFLSNHGGSSGSTHR&amp;Dta=/var/www/html/dta/yong/23613.7632.4.dta&amp;Global_Mod=CS57.0215", "7632")</f>
        <v>7632</v>
      </c>
      <c r="N1687" s="27"/>
      <c r="O1687" s="27">
        <v>35.380000000000003</v>
      </c>
      <c r="P1687" s="27"/>
      <c r="Q1687" s="27">
        <v>2.61</v>
      </c>
      <c r="R1687" s="27"/>
      <c r="S1687" s="27">
        <v>0.23219999999999999</v>
      </c>
      <c r="T1687" s="27"/>
      <c r="U1687" s="27">
        <v>0.1628</v>
      </c>
      <c r="V1687" s="1"/>
      <c r="W1687" s="1">
        <v>1</v>
      </c>
      <c r="X1687" s="27"/>
      <c r="Y1687" s="27">
        <v>0.99</v>
      </c>
      <c r="Z1687" s="28"/>
      <c r="AA1687" s="28">
        <v>1000</v>
      </c>
      <c r="AB1687" s="1" t="s">
        <v>13</v>
      </c>
    </row>
    <row r="1688" spans="1:28">
      <c r="A1688" t="s">
        <v>2405</v>
      </c>
      <c r="B1688" s="29" t="s">
        <v>2406</v>
      </c>
      <c r="C1688" s="26" t="s">
        <v>2407</v>
      </c>
      <c r="D1688" s="1">
        <v>53</v>
      </c>
      <c r="E1688" t="s">
        <v>2408</v>
      </c>
      <c r="F1688" s="3" t="s">
        <v>2409</v>
      </c>
      <c r="G1688" s="1">
        <v>40.299999999999997</v>
      </c>
      <c r="H1688" t="s">
        <v>2410</v>
      </c>
      <c r="I1688" t="s">
        <v>2411</v>
      </c>
      <c r="J1688" s="1">
        <v>5</v>
      </c>
      <c r="K1688" s="1">
        <v>626.28880000000004</v>
      </c>
      <c r="L1688" s="1"/>
      <c r="M1688" s="1" t="str">
        <f>HYPERLINK("http://ms.phosphosite.org:5080/cgi-bin/plot-msms.cgi?MassType=1&amp;NumAxis=1&amp;Mod3=147&amp;Mod7=170&amp;Pep=HTMHVGRGGDVFGDTSFLSNHGGSSGSTHR&amp;Dta=/var/www/html/dta/yong/23613.7627.5.dta&amp;Global_Mod=CS57.0215", "7627")</f>
        <v>7627</v>
      </c>
      <c r="N1688" s="27"/>
      <c r="O1688" s="27">
        <v>35.369999999999997</v>
      </c>
      <c r="P1688" s="27"/>
      <c r="Q1688" s="27">
        <v>2.9359999999999999</v>
      </c>
      <c r="R1688" s="27"/>
      <c r="S1688" s="27">
        <v>0.27950000000000003</v>
      </c>
      <c r="T1688" s="27"/>
      <c r="U1688" s="27">
        <v>0.1658</v>
      </c>
      <c r="V1688" s="1"/>
      <c r="W1688" s="1">
        <v>1</v>
      </c>
      <c r="X1688" s="27"/>
      <c r="Y1688" s="27">
        <v>1.1100000000000001</v>
      </c>
      <c r="Z1688" s="28"/>
      <c r="AA1688" s="28">
        <v>1000</v>
      </c>
      <c r="AB1688" s="1" t="s">
        <v>13</v>
      </c>
    </row>
    <row r="1689" spans="1:28">
      <c r="A1689" t="s">
        <v>2405</v>
      </c>
      <c r="B1689" s="29" t="s">
        <v>2406</v>
      </c>
      <c r="C1689" s="26" t="s">
        <v>2407</v>
      </c>
      <c r="D1689" s="1">
        <v>53</v>
      </c>
      <c r="E1689" t="s">
        <v>2408</v>
      </c>
      <c r="F1689" s="3" t="s">
        <v>2409</v>
      </c>
      <c r="G1689" s="1">
        <v>40.299999999999997</v>
      </c>
      <c r="H1689" t="s">
        <v>2410</v>
      </c>
      <c r="I1689" t="s">
        <v>2411</v>
      </c>
      <c r="J1689" s="1">
        <v>6</v>
      </c>
      <c r="K1689" s="1">
        <v>522.0752</v>
      </c>
      <c r="L1689" s="1" t="str">
        <f>HYPERLINK("http://ms.phosphosite.org:5080/cgi-bin/plot-msms.cgi?MassType=1&amp;NumAxis=1&amp;Mod3=147&amp;Mod7=170&amp;Pep=HTMHVGRGGDVFGDTSFLSNHGGSSGSTHR&amp;Dta=/var/www/html/dta/yong/23612.7568.6.dta&amp;Global_Mod=CS57.0215", "7568")</f>
        <v>7568</v>
      </c>
      <c r="M1689" s="1" t="str">
        <f>HYPERLINK("http://ms.phosphosite.org:5080/cgi-bin/plot-msms.cgi?MassType=1&amp;NumAxis=1&amp;Mod3=147&amp;Mod7=170&amp;Pep=HTMHVGRGGDVFGDTSFLSNHGGSSGSTHR&amp;Dta=/var/www/html/dta/yong/23613.7618.6.dta&amp;Global_Mod=CS57.0215", "7618")</f>
        <v>7618</v>
      </c>
      <c r="N1689" s="27">
        <v>35.29</v>
      </c>
      <c r="O1689" s="27">
        <v>35.33</v>
      </c>
      <c r="P1689" s="27">
        <v>3.5449999999999999</v>
      </c>
      <c r="Q1689" s="27">
        <v>3.05</v>
      </c>
      <c r="R1689" s="27">
        <v>-0.98750000000000004</v>
      </c>
      <c r="S1689" s="27">
        <v>-0.49469999999999997</v>
      </c>
      <c r="T1689" s="27">
        <v>0.19070000000000001</v>
      </c>
      <c r="U1689" s="27">
        <v>8.7599999999999997E-2</v>
      </c>
      <c r="V1689" s="1">
        <v>2</v>
      </c>
      <c r="W1689" s="1">
        <v>1</v>
      </c>
      <c r="X1689" s="27">
        <v>1.43</v>
      </c>
      <c r="Y1689" s="27">
        <v>0.75</v>
      </c>
      <c r="Z1689" s="28">
        <v>1000</v>
      </c>
      <c r="AA1689" s="28">
        <v>1000</v>
      </c>
      <c r="AB1689" s="1" t="s">
        <v>13</v>
      </c>
    </row>
    <row r="1690" spans="1:28">
      <c r="A1690" t="s">
        <v>2412</v>
      </c>
      <c r="B1690" s="29" t="s">
        <v>2413</v>
      </c>
      <c r="C1690" s="26" t="s">
        <v>2414</v>
      </c>
      <c r="D1690" s="1">
        <v>61</v>
      </c>
      <c r="E1690" t="s">
        <v>2415</v>
      </c>
      <c r="F1690" s="3" t="s">
        <v>2416</v>
      </c>
      <c r="G1690" s="1">
        <v>88.9</v>
      </c>
      <c r="H1690" t="s">
        <v>2417</v>
      </c>
      <c r="I1690" t="s">
        <v>2418</v>
      </c>
      <c r="J1690" s="1">
        <v>2</v>
      </c>
      <c r="K1690" s="1">
        <v>568.31659999999999</v>
      </c>
      <c r="L1690" s="1" t="str">
        <f>HYPERLINK("http://ms.phosphosite.org:5080/cgi-bin/plot-msms.cgi?MassType=1&amp;NumAxis=1&amp;Mod9=170&amp;Pep=LQQYVPFAR&amp;Dta=/var/www/html/dta/yong/23612.11106.2.dta&amp;Global_Mod=CS57.0215", "11106")</f>
        <v>11106</v>
      </c>
      <c r="M1690" s="1" t="str">
        <f>HYPERLINK("http://ms.phosphosite.org:5080/cgi-bin/plot-msms.cgi?MassType=1&amp;NumAxis=1&amp;Mod9=170&amp;Pep=LQQYVPFAR&amp;Dta=/var/www/html/dta/yong/23613.11183.2.dta&amp;Global_Mod=CS57.0215", "11183")</f>
        <v>11183</v>
      </c>
      <c r="N1690" s="27">
        <v>47.83</v>
      </c>
      <c r="O1690" s="27">
        <v>47.82</v>
      </c>
      <c r="P1690" s="27">
        <v>2.395</v>
      </c>
      <c r="Q1690" s="27">
        <v>2.238</v>
      </c>
      <c r="R1690" s="27">
        <v>0.57169999999999999</v>
      </c>
      <c r="S1690" s="27">
        <v>0.49230000000000002</v>
      </c>
      <c r="T1690" s="27">
        <v>0.18870000000000001</v>
      </c>
      <c r="U1690" s="27">
        <v>0.2359</v>
      </c>
      <c r="V1690" s="1">
        <v>1</v>
      </c>
      <c r="W1690" s="1">
        <v>2</v>
      </c>
      <c r="X1690" s="27">
        <v>1.41</v>
      </c>
      <c r="Y1690" s="27">
        <v>1.6</v>
      </c>
      <c r="Z1690" s="28">
        <v>1000</v>
      </c>
      <c r="AA1690" s="28">
        <v>1000</v>
      </c>
      <c r="AB1690" s="1" t="s">
        <v>13</v>
      </c>
    </row>
    <row r="1691" spans="1:28">
      <c r="A1691" t="s">
        <v>2419</v>
      </c>
      <c r="B1691" s="2" t="s">
        <v>2420</v>
      </c>
      <c r="C1691" t="s">
        <v>2420</v>
      </c>
      <c r="D1691" s="1">
        <v>12</v>
      </c>
      <c r="E1691" t="s">
        <v>2421</v>
      </c>
      <c r="F1691" s="3" t="s">
        <v>2422</v>
      </c>
      <c r="G1691" s="1">
        <v>102.9</v>
      </c>
      <c r="H1691" t="s">
        <v>2423</v>
      </c>
      <c r="I1691" t="s">
        <v>2424</v>
      </c>
      <c r="J1691" s="1">
        <v>2</v>
      </c>
      <c r="K1691" s="1">
        <v>521.77710000000002</v>
      </c>
      <c r="L1691" s="1" t="str">
        <f>HYPERLINK("http://ms.phosphosite.org:5080/cgi-bin/plot-msms.cgi?MassType=1&amp;NumAxis=1&amp;Mod1=170&amp;Pep=RGFGFGGFAI&amp;Dta=/var/www/html/dta/yong/23612.18006.2.dta&amp;Global_Mod=CS57.0215", "18006")</f>
        <v>18006</v>
      </c>
      <c r="M1691" s="1" t="str">
        <f>HYPERLINK("http://ms.phosphosite.org:5080/cgi-bin/plot-msms.cgi?MassType=1&amp;NumAxis=1&amp;Mod1=170&amp;Pep=RGFGFGGFAI&amp;Dta=/var/www/html/dta/yong/23613.18082.2.dta&amp;Global_Mod=CS57.0215", "18082")</f>
        <v>18082</v>
      </c>
      <c r="N1691" s="27">
        <v>74.209999999999994</v>
      </c>
      <c r="O1691" s="27">
        <v>74.09</v>
      </c>
      <c r="P1691" s="27">
        <v>2.0699999999999998</v>
      </c>
      <c r="Q1691" s="27">
        <v>1.877</v>
      </c>
      <c r="R1691" s="27">
        <v>0.33260000000000001</v>
      </c>
      <c r="S1691" s="27">
        <v>0.16</v>
      </c>
      <c r="T1691" s="27">
        <v>0.26440000000000002</v>
      </c>
      <c r="U1691" s="27">
        <v>0.12790000000000001</v>
      </c>
      <c r="V1691" s="1">
        <v>1</v>
      </c>
      <c r="W1691" s="1">
        <v>3</v>
      </c>
      <c r="X1691" s="27">
        <v>1.52</v>
      </c>
      <c r="Y1691" s="27">
        <v>0.78</v>
      </c>
      <c r="Z1691" s="28">
        <v>1000</v>
      </c>
      <c r="AA1691" s="28">
        <v>1000</v>
      </c>
      <c r="AB1691" s="1" t="s">
        <v>13</v>
      </c>
    </row>
    <row r="1692" spans="1:28">
      <c r="A1692" t="s">
        <v>2419</v>
      </c>
      <c r="B1692" s="2" t="s">
        <v>2425</v>
      </c>
      <c r="C1692" t="s">
        <v>2426</v>
      </c>
      <c r="D1692" s="1">
        <v>43</v>
      </c>
      <c r="E1692" t="s">
        <v>2427</v>
      </c>
      <c r="F1692" s="3" t="s">
        <v>2428</v>
      </c>
      <c r="G1692" s="1">
        <v>78.8</v>
      </c>
      <c r="H1692" t="s">
        <v>2429</v>
      </c>
      <c r="I1692" t="s">
        <v>2430</v>
      </c>
      <c r="J1692" s="1">
        <v>2</v>
      </c>
      <c r="K1692" s="1">
        <v>496.76330000000002</v>
      </c>
      <c r="L1692" s="1" t="str">
        <f>HYPERLINK("http://ms.phosphosite.org:5080/cgi-bin/plot-msms.cgi?MassType=1&amp;NumAxis=1&amp;Mod1=147&amp;Mod10=170&amp;Pep=MLLTAGSGGR&amp;Dta=/var/www/html/dta/yong/23612.5092.2.dta&amp;Global_Mod=CS57.0215", "5092")</f>
        <v>5092</v>
      </c>
      <c r="M1692" s="1"/>
      <c r="N1692" s="27">
        <v>26.16</v>
      </c>
      <c r="O1692" s="27"/>
      <c r="P1692" s="27">
        <v>2.371</v>
      </c>
      <c r="Q1692" s="27"/>
      <c r="R1692" s="27">
        <v>-2.0799999999999999E-2</v>
      </c>
      <c r="S1692" s="27"/>
      <c r="T1692" s="27">
        <v>9.7299999999999998E-2</v>
      </c>
      <c r="U1692" s="27"/>
      <c r="V1692" s="1">
        <v>1</v>
      </c>
      <c r="W1692" s="1"/>
      <c r="X1692" s="27">
        <v>0.93</v>
      </c>
      <c r="Y1692" s="27"/>
      <c r="Z1692" s="28">
        <v>1000</v>
      </c>
      <c r="AA1692" s="28"/>
      <c r="AB1692" s="1" t="s">
        <v>13</v>
      </c>
    </row>
    <row r="1693" spans="1:28">
      <c r="A1693" t="s">
        <v>2419</v>
      </c>
      <c r="B1693" s="2" t="s">
        <v>2425</v>
      </c>
      <c r="C1693" t="s">
        <v>2426</v>
      </c>
      <c r="D1693" s="1">
        <v>43</v>
      </c>
      <c r="E1693" t="s">
        <v>2427</v>
      </c>
      <c r="F1693" s="3" t="s">
        <v>2428</v>
      </c>
      <c r="G1693" s="1">
        <v>78.8</v>
      </c>
      <c r="H1693" t="s">
        <v>2429</v>
      </c>
      <c r="I1693" t="s">
        <v>2431</v>
      </c>
      <c r="J1693" s="1">
        <v>2</v>
      </c>
      <c r="K1693" s="1">
        <v>488.76589999999999</v>
      </c>
      <c r="L1693" s="1"/>
      <c r="M1693" s="1" t="str">
        <f>HYPERLINK("http://ms.phosphosite.org:5080/cgi-bin/plot-msms.cgi?MassType=1&amp;NumAxis=1&amp;Mod10=170&amp;Pep=MLLTAGSGGR&amp;Dta=/var/www/html/dta/yong/23613.7098.2.dta&amp;Global_Mod=CS57.0215", "7098")</f>
        <v>7098</v>
      </c>
      <c r="N1693" s="27"/>
      <c r="O1693" s="27">
        <v>33.450000000000003</v>
      </c>
      <c r="P1693" s="27"/>
      <c r="Q1693" s="27">
        <v>2.04</v>
      </c>
      <c r="R1693" s="27"/>
      <c r="S1693" s="27">
        <v>0.3589</v>
      </c>
      <c r="T1693" s="27"/>
      <c r="U1693" s="27">
        <v>0.1038</v>
      </c>
      <c r="V1693" s="1"/>
      <c r="W1693" s="1">
        <v>2</v>
      </c>
      <c r="X1693" s="27"/>
      <c r="Y1693" s="27">
        <v>0.91</v>
      </c>
      <c r="Z1693" s="28"/>
      <c r="AA1693" s="28">
        <v>1000</v>
      </c>
      <c r="AB1693" s="1" t="s">
        <v>13</v>
      </c>
    </row>
    <row r="1694" spans="1:28">
      <c r="A1694" t="s">
        <v>400</v>
      </c>
      <c r="B1694" s="2" t="s">
        <v>2432</v>
      </c>
      <c r="C1694" t="s">
        <v>2433</v>
      </c>
      <c r="D1694" s="1">
        <v>60</v>
      </c>
      <c r="E1694" t="s">
        <v>2434</v>
      </c>
      <c r="F1694" s="3" t="s">
        <v>2435</v>
      </c>
      <c r="G1694" s="1">
        <v>73.900000000000006</v>
      </c>
      <c r="H1694" t="s">
        <v>2436</v>
      </c>
      <c r="I1694" t="s">
        <v>2437</v>
      </c>
      <c r="J1694" s="1">
        <v>2</v>
      </c>
      <c r="K1694" s="1">
        <v>668.34879999999998</v>
      </c>
      <c r="L1694" s="1"/>
      <c r="M1694" s="1" t="str">
        <f>HYPERLINK("http://ms.phosphosite.org:5080/cgi-bin/plot-msms.cgi?MassType=1&amp;NumAxis=1&amp;Mod12=170&amp;Pep=TLDFDALSVGQR&amp;Dta=/var/www/html/dta/yong/23613.14338.2.dta&amp;Global_Mod=CS57.0215", "14338")</f>
        <v>14338</v>
      </c>
      <c r="N1694" s="27"/>
      <c r="O1694" s="27">
        <v>58.82</v>
      </c>
      <c r="P1694" s="27"/>
      <c r="Q1694" s="27">
        <v>2.661</v>
      </c>
      <c r="R1694" s="27"/>
      <c r="S1694" s="27">
        <v>1.3482000000000001</v>
      </c>
      <c r="T1694" s="27"/>
      <c r="U1694" s="27">
        <v>0.31069999999999998</v>
      </c>
      <c r="V1694" s="1"/>
      <c r="W1694" s="1">
        <v>1</v>
      </c>
      <c r="X1694" s="27"/>
      <c r="Y1694" s="27">
        <v>1.97</v>
      </c>
      <c r="Z1694" s="28"/>
      <c r="AA1694" s="28">
        <v>1000</v>
      </c>
      <c r="AB1694" s="1" t="s">
        <v>13</v>
      </c>
    </row>
    <row r="1695" spans="1:28">
      <c r="A1695" t="s">
        <v>400</v>
      </c>
      <c r="B1695" s="2" t="s">
        <v>2438</v>
      </c>
      <c r="C1695" t="s">
        <v>2439</v>
      </c>
      <c r="D1695" s="1">
        <v>19</v>
      </c>
      <c r="E1695" t="s">
        <v>2440</v>
      </c>
      <c r="F1695" s="3" t="s">
        <v>2441</v>
      </c>
      <c r="G1695" s="1">
        <v>123.6</v>
      </c>
      <c r="H1695" t="s">
        <v>2442</v>
      </c>
      <c r="I1695" t="s">
        <v>2443</v>
      </c>
      <c r="J1695" s="1">
        <v>5</v>
      </c>
      <c r="K1695" s="1">
        <v>753.13469999999995</v>
      </c>
      <c r="L1695" s="1" t="str">
        <f>HYPERLINK("http://ms.phosphosite.org:5080/cgi-bin/plot-msms.cgi?MassType=1&amp;NumAxis=1&amp;Mod2=170&amp;Mod24=147&amp;Mod27=147&amp;Pep=ARGGLWDDDDAPRPSQFEEDLALMEEMEAEHR&amp;Dta=/var/www/html/dta/yong/23612.14749.5.dta&amp;Global_Mod=CS57.0215", "14749")</f>
        <v>14749</v>
      </c>
      <c r="M1695" s="1" t="str">
        <f>HYPERLINK("http://ms.phosphosite.org:5080/cgi-bin/plot-msms.cgi?MassType=1&amp;NumAxis=1&amp;Mod2=170&amp;Mod24=147&amp;Mod27=147&amp;Pep=ARGGLWDDDDAPRPSQFEEDLALMEEMEAEHR&amp;Dta=/var/www/html/dta/yong/23613.14837.5.dta&amp;Global_Mod=CS57.0215", "14837")</f>
        <v>14837</v>
      </c>
      <c r="N1695" s="27">
        <v>60.71</v>
      </c>
      <c r="O1695" s="27">
        <v>60.78</v>
      </c>
      <c r="P1695" s="27">
        <v>3.0249999999999999</v>
      </c>
      <c r="Q1695" s="27">
        <v>2.7519999999999998</v>
      </c>
      <c r="R1695" s="27">
        <v>1.7507999999999999</v>
      </c>
      <c r="S1695" s="27">
        <v>-2.0000000000000001E-4</v>
      </c>
      <c r="T1695" s="27">
        <v>0.20380000000000001</v>
      </c>
      <c r="U1695" s="27">
        <v>0.121</v>
      </c>
      <c r="V1695" s="1">
        <v>1</v>
      </c>
      <c r="W1695" s="1">
        <v>1</v>
      </c>
      <c r="X1695" s="27">
        <v>1.28</v>
      </c>
      <c r="Y1695" s="27">
        <v>0.8</v>
      </c>
      <c r="Z1695" s="28">
        <v>53</v>
      </c>
      <c r="AA1695" s="28">
        <v>61</v>
      </c>
      <c r="AB1695" s="1" t="s">
        <v>13</v>
      </c>
    </row>
    <row r="1696" spans="1:28">
      <c r="A1696" t="s">
        <v>400</v>
      </c>
      <c r="B1696" s="2" t="s">
        <v>2444</v>
      </c>
      <c r="C1696" t="s">
        <v>2445</v>
      </c>
      <c r="D1696" s="1">
        <v>191</v>
      </c>
      <c r="E1696" t="s">
        <v>2446</v>
      </c>
      <c r="F1696" s="3" t="s">
        <v>2447</v>
      </c>
      <c r="G1696" s="1">
        <v>131.4</v>
      </c>
      <c r="H1696" t="s">
        <v>2448</v>
      </c>
      <c r="I1696" t="s">
        <v>2449</v>
      </c>
      <c r="J1696" s="1">
        <v>3</v>
      </c>
      <c r="K1696" s="1">
        <v>525.27419999999995</v>
      </c>
      <c r="L1696" s="1" t="str">
        <f>HYPERLINK("http://ms.phosphosite.org:5080/cgi-bin/plot-msms.cgi?MassType=1&amp;NumAxis=1&amp;Mod4=170&amp;Pep=GQGRGGGGGGALEYVPK&amp;Dta=/var/www/html/dta/yong/23612.7439.3.dta&amp;Global_Mod=CS57.0215", "7439")</f>
        <v>7439</v>
      </c>
      <c r="M1696" s="1" t="str">
        <f>HYPERLINK("http://ms.phosphosite.org:5080/cgi-bin/plot-msms.cgi?MassType=1&amp;NumAxis=1&amp;Mod4=170&amp;Pep=GQGRGGGGGGALEYVPK&amp;Dta=/var/www/html/dta/yong/23613.7538.3.dta&amp;Global_Mod=CS57.0215", "7538")</f>
        <v>7538</v>
      </c>
      <c r="N1696" s="27">
        <v>34.86</v>
      </c>
      <c r="O1696" s="27">
        <v>35.04</v>
      </c>
      <c r="P1696" s="27">
        <v>3.7519999999999998</v>
      </c>
      <c r="Q1696" s="27">
        <v>3.7120000000000002</v>
      </c>
      <c r="R1696" s="27">
        <v>0.2656</v>
      </c>
      <c r="S1696" s="27">
        <v>0.1976</v>
      </c>
      <c r="T1696" s="27">
        <v>0.4073</v>
      </c>
      <c r="U1696" s="27">
        <v>0.2908</v>
      </c>
      <c r="V1696" s="1">
        <v>1</v>
      </c>
      <c r="W1696" s="1">
        <v>1</v>
      </c>
      <c r="X1696" s="27">
        <v>2.5299999999999998</v>
      </c>
      <c r="Y1696" s="27">
        <v>1.94</v>
      </c>
      <c r="Z1696" s="28">
        <v>1000</v>
      </c>
      <c r="AA1696" s="28">
        <v>1000</v>
      </c>
      <c r="AB1696" s="1" t="s">
        <v>13</v>
      </c>
    </row>
    <row r="1697" spans="1:28">
      <c r="A1697" t="s">
        <v>400</v>
      </c>
      <c r="B1697" s="2" t="s">
        <v>2444</v>
      </c>
      <c r="C1697" t="s">
        <v>2445</v>
      </c>
      <c r="D1697" s="1">
        <v>191</v>
      </c>
      <c r="E1697" t="s">
        <v>2446</v>
      </c>
      <c r="F1697" s="3" t="s">
        <v>2447</v>
      </c>
      <c r="G1697" s="1">
        <v>131.4</v>
      </c>
      <c r="H1697" t="s">
        <v>2448</v>
      </c>
      <c r="I1697" t="s">
        <v>2449</v>
      </c>
      <c r="J1697" s="1">
        <v>3</v>
      </c>
      <c r="K1697" s="1">
        <v>525.27419999999995</v>
      </c>
      <c r="L1697" s="1"/>
      <c r="M1697" s="1" t="str">
        <f>HYPERLINK("http://ms.phosphosite.org:5080/cgi-bin/plot-msms.cgi?MassType=1&amp;NumAxis=1&amp;Mod4=170&amp;Pep=GQGRGGGGGGALEYVPK&amp;Dta=/var/www/html/dta/yong/23613.7518.3.dta&amp;Global_Mod=CS57.0215", "7518")</f>
        <v>7518</v>
      </c>
      <c r="N1697" s="27"/>
      <c r="O1697" s="27">
        <v>34.979999999999997</v>
      </c>
      <c r="P1697" s="27"/>
      <c r="Q1697" s="27">
        <v>4.1589999999999998</v>
      </c>
      <c r="R1697" s="27"/>
      <c r="S1697" s="27">
        <v>0.22409999999999999</v>
      </c>
      <c r="T1697" s="27"/>
      <c r="U1697" s="27">
        <v>0.3957</v>
      </c>
      <c r="V1697" s="1"/>
      <c r="W1697" s="1">
        <v>1</v>
      </c>
      <c r="X1697" s="27"/>
      <c r="Y1697" s="27">
        <v>2.5499999999999998</v>
      </c>
      <c r="Z1697" s="28"/>
      <c r="AA1697" s="28">
        <v>1000</v>
      </c>
      <c r="AB1697" s="1" t="s">
        <v>13</v>
      </c>
    </row>
    <row r="1698" spans="1:28">
      <c r="A1698" t="s">
        <v>400</v>
      </c>
      <c r="B1698" s="2" t="s">
        <v>2444</v>
      </c>
      <c r="C1698" t="s">
        <v>2445</v>
      </c>
      <c r="D1698" s="1">
        <v>191</v>
      </c>
      <c r="E1698" t="s">
        <v>2446</v>
      </c>
      <c r="F1698" s="3" t="s">
        <v>2447</v>
      </c>
      <c r="G1698" s="1">
        <v>131.4</v>
      </c>
      <c r="H1698" t="s">
        <v>2448</v>
      </c>
      <c r="I1698" t="s">
        <v>2449</v>
      </c>
      <c r="J1698" s="1">
        <v>3</v>
      </c>
      <c r="K1698" s="1">
        <v>525.27419999999995</v>
      </c>
      <c r="L1698" s="1"/>
      <c r="M1698" s="1" t="str">
        <f>HYPERLINK("http://ms.phosphosite.org:5080/cgi-bin/plot-msms.cgi?MassType=1&amp;NumAxis=1&amp;Mod4=170&amp;Pep=GQGRGGGGGGALEYVPK&amp;Dta=/var/www/html/dta/yong/23613.7497.3.dta&amp;Global_Mod=CS57.0215", "7497")</f>
        <v>7497</v>
      </c>
      <c r="N1698" s="27"/>
      <c r="O1698" s="27">
        <v>34.909999999999997</v>
      </c>
      <c r="P1698" s="27"/>
      <c r="Q1698" s="27">
        <v>4.0190000000000001</v>
      </c>
      <c r="R1698" s="27"/>
      <c r="S1698" s="27">
        <v>0.22409999999999999</v>
      </c>
      <c r="T1698" s="27"/>
      <c r="U1698" s="27">
        <v>0.43190000000000001</v>
      </c>
      <c r="V1698" s="1"/>
      <c r="W1698" s="1">
        <v>1</v>
      </c>
      <c r="X1698" s="27"/>
      <c r="Y1698" s="27">
        <v>2.7</v>
      </c>
      <c r="Z1698" s="28"/>
      <c r="AA1698" s="28">
        <v>1000</v>
      </c>
      <c r="AB1698" s="1" t="s">
        <v>13</v>
      </c>
    </row>
    <row r="1699" spans="1:28">
      <c r="A1699" t="s">
        <v>2450</v>
      </c>
      <c r="B1699" s="2" t="s">
        <v>2451</v>
      </c>
      <c r="C1699" s="26" t="s">
        <v>2452</v>
      </c>
      <c r="D1699" s="1">
        <v>722</v>
      </c>
      <c r="E1699" t="s">
        <v>2453</v>
      </c>
      <c r="F1699" s="3" t="s">
        <v>2454</v>
      </c>
      <c r="G1699" s="1">
        <v>102.3</v>
      </c>
      <c r="H1699" t="s">
        <v>2455</v>
      </c>
      <c r="I1699" t="s">
        <v>2456</v>
      </c>
      <c r="J1699" s="1">
        <v>2</v>
      </c>
      <c r="K1699" s="1">
        <v>1476.5938000000001</v>
      </c>
      <c r="L1699" s="1" t="str">
        <f>HYPERLINK("http://ms.phosphosite.org:5080/cgi-bin/plot-msms.cgi?MassType=1&amp;NumAxis=1&amp;Mod10=147&amp;Mod25=170&amp;Pep=GEEGRMCVNMEWGAFGDNGCLDDFR&amp;Dta=/var/www/html/dta/yong/23612.12414.2.dta&amp;Global_Mod=CS57.0215", "12414")</f>
        <v>12414</v>
      </c>
      <c r="M1699" s="1"/>
      <c r="N1699" s="27">
        <v>52.19</v>
      </c>
      <c r="O1699" s="27"/>
      <c r="P1699" s="27">
        <v>1.4450000000000001</v>
      </c>
      <c r="Q1699" s="27"/>
      <c r="R1699" s="27">
        <v>0.433</v>
      </c>
      <c r="S1699" s="27"/>
      <c r="T1699" s="27">
        <v>0.1638</v>
      </c>
      <c r="U1699" s="27"/>
      <c r="V1699" s="1">
        <v>3</v>
      </c>
      <c r="W1699" s="1"/>
      <c r="X1699" s="27">
        <v>0.74</v>
      </c>
      <c r="Y1699" s="27"/>
      <c r="Z1699" s="28">
        <v>1000</v>
      </c>
      <c r="AA1699" s="28"/>
      <c r="AB1699" s="1" t="s">
        <v>13</v>
      </c>
    </row>
    <row r="1700" spans="1:28">
      <c r="A1700" t="s">
        <v>468</v>
      </c>
      <c r="B1700" s="2" t="s">
        <v>2457</v>
      </c>
      <c r="C1700" t="s">
        <v>2458</v>
      </c>
      <c r="D1700" s="1">
        <v>394</v>
      </c>
      <c r="E1700" t="s">
        <v>2459</v>
      </c>
      <c r="F1700" s="3" t="s">
        <v>2460</v>
      </c>
      <c r="G1700" s="1">
        <v>104</v>
      </c>
      <c r="H1700" t="s">
        <v>2461</v>
      </c>
      <c r="I1700" t="s">
        <v>2462</v>
      </c>
      <c r="J1700" s="1">
        <v>2</v>
      </c>
      <c r="K1700" s="1">
        <v>1148.097</v>
      </c>
      <c r="L1700" s="1"/>
      <c r="M1700" s="1" t="str">
        <f>HYPERLINK("http://ms.phosphosite.org:5080/cgi-bin/plot-msms.cgi?MassType=1&amp;NumAxis=1&amp;Mod19=170&amp;Pep=DNEGVLLTEKLKPVDYEYR&amp;Dta=/var/www/html/dta/yong/23613.20444.2.dta&amp;Global_Mod=CS57.0215", "20444")</f>
        <v>20444</v>
      </c>
      <c r="N1700" s="27"/>
      <c r="O1700" s="27">
        <v>85.09</v>
      </c>
      <c r="P1700" s="27"/>
      <c r="Q1700" s="27">
        <v>2.6219999999999999</v>
      </c>
      <c r="R1700" s="27"/>
      <c r="S1700" s="27">
        <v>-1.6344000000000001</v>
      </c>
      <c r="T1700" s="27"/>
      <c r="U1700" s="27">
        <v>0.13969999999999999</v>
      </c>
      <c r="V1700" s="1"/>
      <c r="W1700" s="1">
        <v>172</v>
      </c>
      <c r="X1700" s="27"/>
      <c r="Y1700" s="27">
        <v>0.71</v>
      </c>
      <c r="Z1700" s="28"/>
      <c r="AA1700" s="28">
        <v>1000</v>
      </c>
      <c r="AB1700" s="1" t="s">
        <v>13</v>
      </c>
    </row>
    <row r="1701" spans="1:28">
      <c r="A1701" t="s">
        <v>468</v>
      </c>
      <c r="B1701" s="29" t="s">
        <v>2463</v>
      </c>
      <c r="C1701" s="26" t="s">
        <v>2464</v>
      </c>
      <c r="D1701" s="1">
        <v>487</v>
      </c>
      <c r="E1701" t="s">
        <v>2465</v>
      </c>
      <c r="F1701" s="3" t="s">
        <v>2466</v>
      </c>
      <c r="G1701" s="1">
        <v>75.900000000000006</v>
      </c>
      <c r="H1701" t="s">
        <v>2467</v>
      </c>
      <c r="I1701" t="s">
        <v>2468</v>
      </c>
      <c r="J1701" s="1">
        <v>2</v>
      </c>
      <c r="K1701" s="1">
        <v>497.76949999999999</v>
      </c>
      <c r="L1701" s="1"/>
      <c r="M1701" s="1" t="str">
        <f>HYPERLINK("http://ms.phosphosite.org:5080/cgi-bin/plot-msms.cgi?MassType=1&amp;NumAxis=1&amp;Mod10=170&amp;Pep=PLDPGTAGPR&amp;Dta=/var/www/html/dta/yong/23613.4737.2.dta&amp;Global_Mod=CS57.0215", "4737")</f>
        <v>4737</v>
      </c>
      <c r="N1701" s="27"/>
      <c r="O1701" s="27">
        <v>24.62</v>
      </c>
      <c r="P1701" s="27"/>
      <c r="Q1701" s="27">
        <v>1.966</v>
      </c>
      <c r="R1701" s="27"/>
      <c r="S1701" s="27">
        <v>0.3886</v>
      </c>
      <c r="T1701" s="27"/>
      <c r="U1701" s="27">
        <v>0.18490000000000001</v>
      </c>
      <c r="V1701" s="1"/>
      <c r="W1701" s="1">
        <v>4</v>
      </c>
      <c r="X1701" s="27"/>
      <c r="Y1701" s="27">
        <v>1.28</v>
      </c>
      <c r="Z1701" s="28"/>
      <c r="AA1701" s="28">
        <v>1000</v>
      </c>
      <c r="AB1701" s="1" t="s">
        <v>13</v>
      </c>
    </row>
    <row r="1702" spans="1:28">
      <c r="A1702" t="s">
        <v>468</v>
      </c>
      <c r="B1702" s="29" t="s">
        <v>2469</v>
      </c>
      <c r="C1702" s="26" t="s">
        <v>2470</v>
      </c>
      <c r="D1702" s="1">
        <v>515</v>
      </c>
      <c r="E1702" t="s">
        <v>485</v>
      </c>
      <c r="F1702" s="3" t="s">
        <v>2471</v>
      </c>
      <c r="G1702" s="1">
        <v>122.5</v>
      </c>
      <c r="H1702" t="s">
        <v>486</v>
      </c>
      <c r="I1702" t="s">
        <v>2472</v>
      </c>
      <c r="J1702" s="1">
        <v>2</v>
      </c>
      <c r="K1702" s="1">
        <v>513.80640000000005</v>
      </c>
      <c r="L1702" s="1"/>
      <c r="M1702" s="1" t="str">
        <f>HYPERLINK("http://ms.phosphosite.org:5080/cgi-bin/plot-msms.cgi?MassType=1&amp;NumAxis=1&amp;Mod9=170&amp;Pep=GQINLAQLR&amp;Dta=/var/www/html/dta/yong/23613.10766.2.dta&amp;Global_Mod=CS57.0215", "10766")</f>
        <v>10766</v>
      </c>
      <c r="N1702" s="27"/>
      <c r="O1702" s="27">
        <v>46.42</v>
      </c>
      <c r="P1702" s="27"/>
      <c r="Q1702" s="27">
        <v>2.1749999999999998</v>
      </c>
      <c r="R1702" s="27"/>
      <c r="S1702" s="27">
        <v>-3.0300000000000001E-2</v>
      </c>
      <c r="T1702" s="27"/>
      <c r="U1702" s="27">
        <v>0.16300000000000001</v>
      </c>
      <c r="V1702" s="1"/>
      <c r="W1702" s="1">
        <v>1</v>
      </c>
      <c r="X1702" s="27"/>
      <c r="Y1702" s="27">
        <v>1.21</v>
      </c>
      <c r="Z1702" s="28"/>
      <c r="AA1702" s="28">
        <v>1000</v>
      </c>
      <c r="AB1702" s="1" t="s">
        <v>13</v>
      </c>
    </row>
    <row r="1703" spans="1:28">
      <c r="A1703" t="s">
        <v>503</v>
      </c>
      <c r="B1703" s="2" t="s">
        <v>2473</v>
      </c>
      <c r="C1703" t="s">
        <v>2474</v>
      </c>
      <c r="D1703" s="1">
        <v>9</v>
      </c>
      <c r="E1703" t="s">
        <v>2475</v>
      </c>
      <c r="F1703" s="3" t="s">
        <v>2476</v>
      </c>
      <c r="G1703" s="1">
        <v>41.4</v>
      </c>
      <c r="H1703" t="s">
        <v>2477</v>
      </c>
      <c r="I1703" t="s">
        <v>2478</v>
      </c>
      <c r="J1703" s="1">
        <v>2</v>
      </c>
      <c r="K1703" s="1">
        <v>474.2747</v>
      </c>
      <c r="L1703" s="1"/>
      <c r="M1703" s="1" t="str">
        <f>HYPERLINK("http://ms.phosphosite.org:5080/cgi-bin/plot-msms.cgi?MassType=1&amp;NumAxis=1&amp;Mod1=170&amp;Pep=RGGFAVQAK&amp;Dta=/var/www/html/dta/yong/23613.3385.2.dta&amp;Global_Mod=CS57.0215", "3385")</f>
        <v>3385</v>
      </c>
      <c r="N1703" s="27"/>
      <c r="O1703" s="27">
        <v>19.440000000000001</v>
      </c>
      <c r="P1703" s="27"/>
      <c r="Q1703" s="27">
        <v>2.35</v>
      </c>
      <c r="R1703" s="27"/>
      <c r="S1703" s="27">
        <v>-1.0036</v>
      </c>
      <c r="T1703" s="27"/>
      <c r="U1703" s="27">
        <v>0.11609999999999999</v>
      </c>
      <c r="V1703" s="1"/>
      <c r="W1703" s="1">
        <v>22</v>
      </c>
      <c r="X1703" s="27"/>
      <c r="Y1703" s="27">
        <v>0.77</v>
      </c>
      <c r="Z1703" s="28"/>
      <c r="AA1703" s="28">
        <v>1000</v>
      </c>
      <c r="AB1703" s="1" t="s">
        <v>13</v>
      </c>
    </row>
    <row r="1704" spans="1:28">
      <c r="A1704" t="s">
        <v>503</v>
      </c>
      <c r="B1704" s="2" t="s">
        <v>2473</v>
      </c>
      <c r="C1704" t="s">
        <v>2474</v>
      </c>
      <c r="D1704" s="1">
        <v>9</v>
      </c>
      <c r="E1704" t="s">
        <v>2475</v>
      </c>
      <c r="F1704" s="3" t="s">
        <v>2476</v>
      </c>
      <c r="G1704" s="1">
        <v>41.4</v>
      </c>
      <c r="H1704" t="s">
        <v>2477</v>
      </c>
      <c r="I1704" t="s">
        <v>2478</v>
      </c>
      <c r="J1704" s="1">
        <v>3</v>
      </c>
      <c r="K1704" s="1">
        <v>316.51889999999997</v>
      </c>
      <c r="L1704" s="1" t="str">
        <f>HYPERLINK("http://ms.phosphosite.org:5080/cgi-bin/plot-msms.cgi?MassType=1&amp;NumAxis=1&amp;Mod1=170&amp;Pep=RGGFAVQAK&amp;Dta=/var/www/html/dta/yong/23612.3361.3.dta&amp;Global_Mod=CS57.0215", "3361")</f>
        <v>3361</v>
      </c>
      <c r="M1704" s="1"/>
      <c r="N1704" s="27">
        <v>19.510000000000002</v>
      </c>
      <c r="O1704" s="27"/>
      <c r="P1704" s="27">
        <v>3.028</v>
      </c>
      <c r="Q1704" s="27"/>
      <c r="R1704" s="27">
        <v>0.17069999999999999</v>
      </c>
      <c r="S1704" s="27"/>
      <c r="T1704" s="27">
        <v>0.12670000000000001</v>
      </c>
      <c r="U1704" s="27"/>
      <c r="V1704" s="1">
        <v>38</v>
      </c>
      <c r="W1704" s="1"/>
      <c r="X1704" s="27">
        <v>1.07</v>
      </c>
      <c r="Y1704" s="27"/>
      <c r="Z1704" s="28">
        <v>1000</v>
      </c>
      <c r="AA1704" s="28"/>
      <c r="AB1704" s="1" t="s">
        <v>13</v>
      </c>
    </row>
    <row r="1705" spans="1:28">
      <c r="A1705" t="s">
        <v>503</v>
      </c>
      <c r="B1705" s="29" t="s">
        <v>2479</v>
      </c>
      <c r="C1705" s="26" t="s">
        <v>2479</v>
      </c>
      <c r="D1705" s="1">
        <v>553</v>
      </c>
      <c r="E1705" t="s">
        <v>2480</v>
      </c>
      <c r="F1705" s="3" t="s">
        <v>2481</v>
      </c>
      <c r="G1705" s="1">
        <v>68</v>
      </c>
      <c r="H1705" t="s">
        <v>2482</v>
      </c>
      <c r="I1705" t="s">
        <v>2483</v>
      </c>
      <c r="J1705" s="1">
        <v>3</v>
      </c>
      <c r="K1705" s="1">
        <v>679.00329999999997</v>
      </c>
      <c r="L1705" s="1" t="str">
        <f>HYPERLINK("http://ms.phosphosite.org:5080/cgi-bin/plot-msms.cgi?MassType=1&amp;NumAxis=1&amp;Mod15=147&amp;Mod19=170&amp;Pep=TALEYGLPPTAGWGMGIDR&amp;Dta=/var/www/html/dta/yong/23612.16628.3.dta&amp;Global_Mod=CS57.0215", "16628")</f>
        <v>16628</v>
      </c>
      <c r="M1705" s="1"/>
      <c r="N1705" s="27">
        <v>68.239999999999995</v>
      </c>
      <c r="O1705" s="27"/>
      <c r="P1705" s="27">
        <v>3.476</v>
      </c>
      <c r="Q1705" s="27"/>
      <c r="R1705" s="27">
        <v>-11.4779</v>
      </c>
      <c r="S1705" s="27"/>
      <c r="T1705" s="27">
        <v>0.16520000000000001</v>
      </c>
      <c r="U1705" s="27"/>
      <c r="V1705" s="1">
        <v>17</v>
      </c>
      <c r="W1705" s="1"/>
      <c r="X1705" s="27">
        <v>0.82</v>
      </c>
      <c r="Y1705" s="27"/>
      <c r="Z1705" s="28">
        <v>1000</v>
      </c>
      <c r="AA1705" s="28"/>
      <c r="AB1705" s="1" t="s">
        <v>13</v>
      </c>
    </row>
    <row r="1706" spans="1:28">
      <c r="A1706" t="s">
        <v>503</v>
      </c>
      <c r="B1706" s="2" t="s">
        <v>2484</v>
      </c>
      <c r="C1706" t="s">
        <v>2485</v>
      </c>
      <c r="D1706" s="1">
        <v>84</v>
      </c>
      <c r="E1706" t="s">
        <v>2486</v>
      </c>
      <c r="F1706" s="3" t="s">
        <v>2487</v>
      </c>
      <c r="G1706" s="1">
        <v>79.3</v>
      </c>
      <c r="H1706" t="s">
        <v>2488</v>
      </c>
      <c r="I1706" t="s">
        <v>2489</v>
      </c>
      <c r="J1706" s="1">
        <v>2</v>
      </c>
      <c r="K1706" s="1">
        <v>598.79200000000003</v>
      </c>
      <c r="L1706" s="1" t="str">
        <f>HYPERLINK("http://ms.phosphosite.org:5080/cgi-bin/plot-msms.cgi?MassType=1&amp;NumAxis=1&amp;Mod7=170&amp;Pep=SGQSSGRGGSFR&amp;Dta=/var/www/html/dta/yong/23612.1607.2.dta&amp;Global_Mod=CS57.0215", "1607")</f>
        <v>1607</v>
      </c>
      <c r="M1706" s="1" t="str">
        <f>HYPERLINK("http://ms.phosphosite.org:5080/cgi-bin/plot-msms.cgi?MassType=1&amp;NumAxis=1&amp;Mod7=170&amp;Pep=SGQSSGRGGSFR&amp;Dta=/var/www/html/dta/yong/23613.1624.2.dta&amp;Global_Mod=CS57.0215", "1624")</f>
        <v>1624</v>
      </c>
      <c r="N1706" s="27">
        <v>12.92</v>
      </c>
      <c r="O1706" s="27">
        <v>12.83</v>
      </c>
      <c r="P1706" s="27">
        <v>2.16</v>
      </c>
      <c r="Q1706" s="27">
        <v>2.2410000000000001</v>
      </c>
      <c r="R1706" s="27">
        <v>0.46610000000000001</v>
      </c>
      <c r="S1706" s="27">
        <v>1.2941</v>
      </c>
      <c r="T1706" s="27">
        <v>0.1028</v>
      </c>
      <c r="U1706" s="27">
        <v>0.1133</v>
      </c>
      <c r="V1706" s="1">
        <v>3</v>
      </c>
      <c r="W1706" s="1">
        <v>2</v>
      </c>
      <c r="X1706" s="27">
        <v>0.72</v>
      </c>
      <c r="Y1706" s="27">
        <v>0.74</v>
      </c>
      <c r="Z1706" s="28">
        <v>1000</v>
      </c>
      <c r="AA1706" s="28">
        <v>1000</v>
      </c>
      <c r="AB1706" s="1" t="s">
        <v>13</v>
      </c>
    </row>
    <row r="1707" spans="1:28">
      <c r="A1707" t="s">
        <v>2490</v>
      </c>
      <c r="B1707" s="29" t="s">
        <v>2491</v>
      </c>
      <c r="C1707" s="26" t="s">
        <v>2492</v>
      </c>
      <c r="D1707" s="1">
        <v>207</v>
      </c>
      <c r="E1707" t="s">
        <v>2493</v>
      </c>
      <c r="F1707" s="3" t="s">
        <v>2494</v>
      </c>
      <c r="G1707" s="1">
        <v>74.8</v>
      </c>
      <c r="H1707" t="s">
        <v>2495</v>
      </c>
      <c r="I1707" t="s">
        <v>2496</v>
      </c>
      <c r="J1707" s="1">
        <v>2</v>
      </c>
      <c r="K1707" s="1">
        <v>815.88509999999997</v>
      </c>
      <c r="L1707" s="1"/>
      <c r="M1707" s="1" t="str">
        <f>HYPERLINK("http://ms.phosphosite.org:5080/cgi-bin/plot-msms.cgi?MassType=1&amp;NumAxis=1&amp;Mod2=170&amp;Mod14=147&amp;Pep=IRGESELYTSDTVM&amp;Dta=/var/www/html/dta/yong/23613.22788.2.dta&amp;Global_Mod=CS57.0215", "22788")</f>
        <v>22788</v>
      </c>
      <c r="N1707" s="27"/>
      <c r="O1707" s="27">
        <v>96.74</v>
      </c>
      <c r="P1707" s="27"/>
      <c r="Q1707" s="27">
        <v>2.1829999999999998</v>
      </c>
      <c r="R1707" s="27"/>
      <c r="S1707" s="27">
        <v>1.4956</v>
      </c>
      <c r="T1707" s="27"/>
      <c r="U1707" s="27">
        <v>0.1704</v>
      </c>
      <c r="V1707" s="1"/>
      <c r="W1707" s="1">
        <v>4</v>
      </c>
      <c r="X1707" s="27"/>
      <c r="Y1707" s="27">
        <v>0.96</v>
      </c>
      <c r="Z1707" s="28"/>
      <c r="AA1707" s="28">
        <v>1000</v>
      </c>
      <c r="AB1707" s="1" t="s">
        <v>13</v>
      </c>
    </row>
    <row r="1708" spans="1:28">
      <c r="A1708" t="s">
        <v>518</v>
      </c>
      <c r="B1708" s="2" t="s">
        <v>2497</v>
      </c>
      <c r="C1708" t="s">
        <v>2497</v>
      </c>
      <c r="D1708" s="1">
        <v>19</v>
      </c>
      <c r="E1708" t="s">
        <v>2498</v>
      </c>
      <c r="F1708" s="3" t="s">
        <v>2499</v>
      </c>
      <c r="G1708" s="1">
        <v>22.2</v>
      </c>
      <c r="H1708" t="s">
        <v>2500</v>
      </c>
      <c r="I1708" t="s">
        <v>2501</v>
      </c>
      <c r="J1708" s="1">
        <v>3</v>
      </c>
      <c r="K1708" s="1">
        <v>607.97230000000002</v>
      </c>
      <c r="L1708" s="1" t="str">
        <f>HYPERLINK("http://ms.phosphosite.org:5080/cgi-bin/plot-msms.cgi?MassType=1&amp;NumAxis=1&amp;Mod2=170&amp;Pep=ARGGCPGGEATLSQPPPR&amp;Dta=/var/www/html/dta/yong/23612.4762.3.dta&amp;Global_Mod=CS57.0215", "4762")</f>
        <v>4762</v>
      </c>
      <c r="M1708" s="1" t="str">
        <f>HYPERLINK("http://ms.phosphosite.org:5080/cgi-bin/plot-msms.cgi?MassType=1&amp;NumAxis=1&amp;Mod2=170&amp;Pep=ARGGCPGGEATLSQPPPR&amp;Dta=/var/www/html/dta/yong/23613.4829.3.dta&amp;Global_Mod=CS57.0215", "4829")</f>
        <v>4829</v>
      </c>
      <c r="N1708" s="27">
        <v>24.93</v>
      </c>
      <c r="O1708" s="27">
        <v>24.99</v>
      </c>
      <c r="P1708" s="27">
        <v>2.7530000000000001</v>
      </c>
      <c r="Q1708" s="27">
        <v>2.8159999999999998</v>
      </c>
      <c r="R1708" s="27">
        <v>0.76839999999999997</v>
      </c>
      <c r="S1708" s="27">
        <v>0.64529999999999998</v>
      </c>
      <c r="T1708" s="27">
        <v>0.3498</v>
      </c>
      <c r="U1708" s="27">
        <v>0.29020000000000001</v>
      </c>
      <c r="V1708" s="1">
        <v>1</v>
      </c>
      <c r="W1708" s="1">
        <v>1</v>
      </c>
      <c r="X1708" s="27">
        <v>2.0699999999999998</v>
      </c>
      <c r="Y1708" s="27">
        <v>1.76</v>
      </c>
      <c r="Z1708" s="28">
        <v>1000</v>
      </c>
      <c r="AA1708" s="28">
        <v>1000</v>
      </c>
      <c r="AB1708" s="1" t="s">
        <v>13</v>
      </c>
    </row>
    <row r="1709" spans="1:28">
      <c r="A1709" t="s">
        <v>518</v>
      </c>
      <c r="B1709" s="2" t="s">
        <v>2497</v>
      </c>
      <c r="C1709" t="s">
        <v>2497</v>
      </c>
      <c r="D1709" s="1">
        <v>19</v>
      </c>
      <c r="E1709" t="s">
        <v>2498</v>
      </c>
      <c r="F1709" s="3" t="s">
        <v>2499</v>
      </c>
      <c r="G1709" s="1">
        <v>22.2</v>
      </c>
      <c r="H1709" t="s">
        <v>2500</v>
      </c>
      <c r="I1709" t="s">
        <v>2501</v>
      </c>
      <c r="J1709" s="1">
        <v>3</v>
      </c>
      <c r="K1709" s="1">
        <v>607.97230000000002</v>
      </c>
      <c r="L1709" s="1" t="str">
        <f>HYPERLINK("http://ms.phosphosite.org:5080/cgi-bin/plot-msms.cgi?MassType=1&amp;NumAxis=1&amp;Mod2=170&amp;Pep=ARGGCPGGEATLSQPPPR&amp;Dta=/var/www/html/dta/yong/23612.4586.3.dta&amp;Global_Mod=CS57.0215", "4586")</f>
        <v>4586</v>
      </c>
      <c r="M1709" s="1"/>
      <c r="N1709" s="27">
        <v>24.25</v>
      </c>
      <c r="O1709" s="27"/>
      <c r="P1709" s="27">
        <v>2.5649999999999999</v>
      </c>
      <c r="Q1709" s="27"/>
      <c r="R1709" s="27">
        <v>0.95409999999999995</v>
      </c>
      <c r="S1709" s="27"/>
      <c r="T1709" s="27">
        <v>0.14799999999999999</v>
      </c>
      <c r="U1709" s="27"/>
      <c r="V1709" s="1">
        <v>1</v>
      </c>
      <c r="W1709" s="1"/>
      <c r="X1709" s="27">
        <v>1.03</v>
      </c>
      <c r="Y1709" s="27"/>
      <c r="Z1709" s="28">
        <v>1000</v>
      </c>
      <c r="AA1709" s="28"/>
      <c r="AB1709" s="1" t="s">
        <v>13</v>
      </c>
    </row>
    <row r="1710" spans="1:28">
      <c r="A1710" t="s">
        <v>518</v>
      </c>
      <c r="B1710" s="2" t="s">
        <v>2497</v>
      </c>
      <c r="C1710" t="s">
        <v>2497</v>
      </c>
      <c r="D1710" s="1">
        <v>13</v>
      </c>
      <c r="E1710" t="s">
        <v>2498</v>
      </c>
      <c r="F1710" s="3" t="s">
        <v>2499</v>
      </c>
      <c r="G1710" s="1">
        <v>22.2</v>
      </c>
      <c r="H1710" t="s">
        <v>2502</v>
      </c>
      <c r="I1710" t="s">
        <v>2503</v>
      </c>
      <c r="J1710" s="1">
        <v>2</v>
      </c>
      <c r="K1710" s="1">
        <v>494.24630000000002</v>
      </c>
      <c r="L1710" s="1"/>
      <c r="M1710" s="1" t="str">
        <f>HYPERLINK("http://ms.phosphosite.org:5080/cgi-bin/plot-msms.cgi?MassType=1&amp;NumAxis=1&amp;Mod10=170&amp;Pep=TGAPAQADSR&amp;Dta=/var/www/html/dta/yong/23613.1612.2.dta&amp;Global_Mod=CS57.0215", "1612")</f>
        <v>1612</v>
      </c>
      <c r="N1710" s="27"/>
      <c r="O1710" s="27">
        <v>12.78</v>
      </c>
      <c r="P1710" s="27"/>
      <c r="Q1710" s="27">
        <v>2.0859999999999999</v>
      </c>
      <c r="R1710" s="27"/>
      <c r="S1710" s="27">
        <v>0.46439999999999998</v>
      </c>
      <c r="T1710" s="27"/>
      <c r="U1710" s="27">
        <v>9.8000000000000004E-2</v>
      </c>
      <c r="V1710" s="1"/>
      <c r="W1710" s="1">
        <v>1</v>
      </c>
      <c r="X1710" s="27"/>
      <c r="Y1710" s="27">
        <v>0.91</v>
      </c>
      <c r="Z1710" s="28"/>
      <c r="AA1710" s="28">
        <v>1000</v>
      </c>
      <c r="AB1710" s="1" t="s">
        <v>13</v>
      </c>
    </row>
    <row r="1711" spans="1:28">
      <c r="A1711" t="s">
        <v>518</v>
      </c>
      <c r="B1711" s="29" t="s">
        <v>2504</v>
      </c>
      <c r="C1711" s="26" t="s">
        <v>2505</v>
      </c>
      <c r="D1711" s="1">
        <v>26</v>
      </c>
      <c r="E1711" t="s">
        <v>2506</v>
      </c>
      <c r="F1711" s="3" t="s">
        <v>2507</v>
      </c>
      <c r="G1711" s="1">
        <v>61.6</v>
      </c>
      <c r="H1711" t="s">
        <v>2508</v>
      </c>
      <c r="I1711" t="s">
        <v>2509</v>
      </c>
      <c r="J1711" s="1">
        <v>2</v>
      </c>
      <c r="K1711" s="1">
        <v>1280.345</v>
      </c>
      <c r="L1711" s="1"/>
      <c r="M1711" s="1" t="str">
        <f>HYPERLINK("http://ms.phosphosite.org:5080/cgi-bin/plot-msms.cgi?MassType=1&amp;NumAxis=1&amp;Mod24=170&amp;Pep=VLEITLAVILTLLGLAILAILLTR&amp;Dta=/var/www/html/dta/yong/23613.19061.2.dta&amp;Global_Mod=CS57.0215", "19061")</f>
        <v>19061</v>
      </c>
      <c r="N1711" s="27"/>
      <c r="O1711" s="27">
        <v>78.59</v>
      </c>
      <c r="P1711" s="27"/>
      <c r="Q1711" s="27">
        <v>1.4850000000000001</v>
      </c>
      <c r="R1711" s="27"/>
      <c r="S1711" s="27">
        <v>10.768000000000001</v>
      </c>
      <c r="T1711" s="27"/>
      <c r="U1711" s="27">
        <v>0.37630000000000002</v>
      </c>
      <c r="V1711" s="1"/>
      <c r="W1711" s="1">
        <v>3</v>
      </c>
      <c r="X1711" s="27"/>
      <c r="Y1711" s="27">
        <v>1.41</v>
      </c>
      <c r="Z1711" s="28"/>
      <c r="AA1711" s="28">
        <v>1000</v>
      </c>
      <c r="AB1711" s="1" t="s">
        <v>13</v>
      </c>
    </row>
    <row r="1712" spans="1:28">
      <c r="A1712" t="s">
        <v>518</v>
      </c>
      <c r="B1712" s="29" t="s">
        <v>2510</v>
      </c>
      <c r="C1712" s="26" t="s">
        <v>2511</v>
      </c>
      <c r="D1712" s="30" t="s">
        <v>2512</v>
      </c>
      <c r="E1712" t="s">
        <v>523</v>
      </c>
      <c r="F1712" s="3" t="s">
        <v>2513</v>
      </c>
      <c r="G1712" s="1">
        <v>90.9</v>
      </c>
      <c r="H1712" t="s">
        <v>2514</v>
      </c>
      <c r="I1712" t="s">
        <v>2515</v>
      </c>
      <c r="J1712" s="1">
        <v>3</v>
      </c>
      <c r="K1712" s="1">
        <v>848.49509999999998</v>
      </c>
      <c r="L1712" s="1" t="str">
        <f>HYPERLINK("http://ms.phosphosite.org:5080/cgi-bin/plot-msms.cgi?MassType=1&amp;NumAxis=1&amp;Mod14=170&amp;Mod25=170&amp;Pep=AFLSPPTLLEGPLRLSPLLPGGGGR&amp;Dta=/var/www/html/dta/yong/23612.20799.3.dta&amp;Global_Mod=CS57.0215", "20799")</f>
        <v>20799</v>
      </c>
      <c r="M1712" s="1" t="str">
        <f>HYPERLINK("http://ms.phosphosite.org:5080/cgi-bin/plot-msms.cgi?MassType=1&amp;NumAxis=1&amp;Mod14=170&amp;Mod25=170&amp;Pep=AFLSPPTLLEGPLRLSPLLPGGGGR&amp;Dta=/var/www/html/dta/yong/23613.20904.3.dta&amp;Global_Mod=CS57.0215", "20904")</f>
        <v>20904</v>
      </c>
      <c r="N1712" s="27">
        <v>87.26</v>
      </c>
      <c r="O1712" s="27">
        <v>87.33</v>
      </c>
      <c r="P1712" s="27">
        <v>2.5449999999999999</v>
      </c>
      <c r="Q1712" s="27">
        <v>2.5950000000000002</v>
      </c>
      <c r="R1712" s="27">
        <v>0.70679999999999998</v>
      </c>
      <c r="S1712" s="27">
        <v>2.6133999999999999</v>
      </c>
      <c r="T1712" s="27">
        <v>0.22889999999999999</v>
      </c>
      <c r="U1712" s="27">
        <v>0.20710000000000001</v>
      </c>
      <c r="V1712" s="1">
        <v>1</v>
      </c>
      <c r="W1712" s="1">
        <v>1</v>
      </c>
      <c r="X1712" s="27">
        <v>1.34</v>
      </c>
      <c r="Y1712" s="27">
        <v>1.1100000000000001</v>
      </c>
      <c r="Z1712" s="28" t="s">
        <v>1306</v>
      </c>
      <c r="AA1712" s="28" t="s">
        <v>1306</v>
      </c>
      <c r="AB1712" s="1" t="s">
        <v>13</v>
      </c>
    </row>
    <row r="1713" spans="1:28">
      <c r="A1713" t="s">
        <v>518</v>
      </c>
      <c r="B1713" s="29" t="s">
        <v>2510</v>
      </c>
      <c r="C1713" s="26" t="s">
        <v>2511</v>
      </c>
      <c r="D1713" s="30" t="s">
        <v>2512</v>
      </c>
      <c r="E1713" t="s">
        <v>523</v>
      </c>
      <c r="F1713" s="3" t="s">
        <v>2513</v>
      </c>
      <c r="G1713" s="1">
        <v>90.9</v>
      </c>
      <c r="H1713" t="s">
        <v>2514</v>
      </c>
      <c r="I1713" t="s">
        <v>2515</v>
      </c>
      <c r="J1713" s="1">
        <v>3</v>
      </c>
      <c r="K1713" s="1">
        <v>848.49509999999998</v>
      </c>
      <c r="L1713" s="1" t="str">
        <f>HYPERLINK("http://ms.phosphosite.org:5080/cgi-bin/plot-msms.cgi?MassType=1&amp;NumAxis=1&amp;Mod14=170&amp;Mod25=170&amp;Pep=AFLSPPTLLEGPLRLSPLLPGGGGR&amp;Dta=/var/www/html/dta/yong/23612.20814.3.dta&amp;Global_Mod=CS57.0215", "20814")</f>
        <v>20814</v>
      </c>
      <c r="M1713" s="1"/>
      <c r="N1713" s="27">
        <v>87.34</v>
      </c>
      <c r="O1713" s="27"/>
      <c r="P1713" s="27">
        <v>2.68</v>
      </c>
      <c r="Q1713" s="27"/>
      <c r="R1713" s="27">
        <v>0.36890000000000001</v>
      </c>
      <c r="S1713" s="27"/>
      <c r="T1713" s="27">
        <v>0.28920000000000001</v>
      </c>
      <c r="U1713" s="27"/>
      <c r="V1713" s="1">
        <v>1</v>
      </c>
      <c r="W1713" s="1"/>
      <c r="X1713" s="27">
        <v>1.68</v>
      </c>
      <c r="Y1713" s="27"/>
      <c r="Z1713" s="28" t="s">
        <v>1306</v>
      </c>
      <c r="AA1713" s="28"/>
      <c r="AB1713" s="1" t="s">
        <v>13</v>
      </c>
    </row>
    <row r="1714" spans="1:28">
      <c r="A1714" t="s">
        <v>518</v>
      </c>
      <c r="B1714" s="29" t="s">
        <v>2510</v>
      </c>
      <c r="C1714" s="26" t="s">
        <v>2511</v>
      </c>
      <c r="D1714" s="1">
        <v>560</v>
      </c>
      <c r="E1714" t="s">
        <v>523</v>
      </c>
      <c r="F1714" s="3" t="s">
        <v>2513</v>
      </c>
      <c r="G1714" s="1">
        <v>90.9</v>
      </c>
      <c r="H1714" t="s">
        <v>2516</v>
      </c>
      <c r="I1714" t="s">
        <v>2517</v>
      </c>
      <c r="J1714" s="1">
        <v>3</v>
      </c>
      <c r="K1714" s="1">
        <v>621.31359999999995</v>
      </c>
      <c r="L1714" s="1" t="str">
        <f>HYPERLINK("http://ms.phosphosite.org:5080/cgi-bin/plot-msms.cgi?MassType=1&amp;NumAxis=1&amp;Mod3=170&amp;Pep=GSRGPGNPLDHQITNER&amp;Dta=/var/www/html/dta/yong/23612.5588.3.dta&amp;Global_Mod=CS57.0215", "5588")</f>
        <v>5588</v>
      </c>
      <c r="M1714" s="1" t="str">
        <f>HYPERLINK("http://ms.phosphosite.org:5080/cgi-bin/plot-msms.cgi?MassType=1&amp;NumAxis=1&amp;Mod3=170&amp;Pep=GSRGPGNPLDHQITNER&amp;Dta=/var/www/html/dta/yong/23613.5649.3.dta&amp;Global_Mod=CS57.0215", "5649")</f>
        <v>5649</v>
      </c>
      <c r="N1714" s="27">
        <v>28.02</v>
      </c>
      <c r="O1714" s="27">
        <v>28.05</v>
      </c>
      <c r="P1714" s="27">
        <v>4.1760000000000002</v>
      </c>
      <c r="Q1714" s="27">
        <v>3.577</v>
      </c>
      <c r="R1714" s="27">
        <v>-5.7299999999999997E-2</v>
      </c>
      <c r="S1714" s="27">
        <v>0.62690000000000001</v>
      </c>
      <c r="T1714" s="27">
        <v>0.30690000000000001</v>
      </c>
      <c r="U1714" s="27">
        <v>0.29599999999999999</v>
      </c>
      <c r="V1714" s="1">
        <v>1</v>
      </c>
      <c r="W1714" s="1">
        <v>1</v>
      </c>
      <c r="X1714" s="27">
        <v>2.13</v>
      </c>
      <c r="Y1714" s="27">
        <v>1.95</v>
      </c>
      <c r="Z1714" s="28">
        <v>1000</v>
      </c>
      <c r="AA1714" s="28">
        <v>1000</v>
      </c>
      <c r="AB1714" s="1" t="s">
        <v>13</v>
      </c>
    </row>
    <row r="1715" spans="1:28">
      <c r="A1715" t="s">
        <v>518</v>
      </c>
      <c r="B1715" s="29" t="s">
        <v>2510</v>
      </c>
      <c r="C1715" s="26" t="s">
        <v>2511</v>
      </c>
      <c r="D1715" s="1">
        <v>560</v>
      </c>
      <c r="E1715" t="s">
        <v>523</v>
      </c>
      <c r="F1715" s="3" t="s">
        <v>2513</v>
      </c>
      <c r="G1715" s="1">
        <v>90.9</v>
      </c>
      <c r="H1715" t="s">
        <v>2516</v>
      </c>
      <c r="I1715" t="s">
        <v>2517</v>
      </c>
      <c r="J1715" s="1">
        <v>3</v>
      </c>
      <c r="K1715" s="1">
        <v>621.31359999999995</v>
      </c>
      <c r="L1715" s="1"/>
      <c r="M1715" s="1" t="str">
        <f>HYPERLINK("http://ms.phosphosite.org:5080/cgi-bin/plot-msms.cgi?MassType=1&amp;NumAxis=1&amp;Mod3=170&amp;Pep=GSRGPGNPLDHQITNER&amp;Dta=/var/www/html/dta/yong/23613.5632.3.dta&amp;Global_Mod=CS57.0215", "5632")</f>
        <v>5632</v>
      </c>
      <c r="N1715" s="27"/>
      <c r="O1715" s="27">
        <v>27.99</v>
      </c>
      <c r="P1715" s="27"/>
      <c r="Q1715" s="27">
        <v>4.3360000000000003</v>
      </c>
      <c r="R1715" s="27"/>
      <c r="S1715" s="27">
        <v>0.62690000000000001</v>
      </c>
      <c r="T1715" s="27"/>
      <c r="U1715" s="27">
        <v>0.40089999999999998</v>
      </c>
      <c r="V1715" s="1"/>
      <c r="W1715" s="1">
        <v>1</v>
      </c>
      <c r="X1715" s="27"/>
      <c r="Y1715" s="27">
        <v>2.62</v>
      </c>
      <c r="Z1715" s="28"/>
      <c r="AA1715" s="28">
        <v>1000</v>
      </c>
      <c r="AB1715" s="1" t="s">
        <v>13</v>
      </c>
    </row>
    <row r="1716" spans="1:28">
      <c r="A1716" t="s">
        <v>518</v>
      </c>
      <c r="B1716" s="2" t="s">
        <v>2518</v>
      </c>
      <c r="C1716" t="s">
        <v>2519</v>
      </c>
      <c r="D1716" s="1">
        <v>656</v>
      </c>
      <c r="E1716" t="s">
        <v>2520</v>
      </c>
      <c r="F1716" s="3" t="s">
        <v>2521</v>
      </c>
      <c r="G1716" s="1">
        <v>76.599999999999994</v>
      </c>
      <c r="H1716" t="s">
        <v>2522</v>
      </c>
      <c r="I1716" t="s">
        <v>2523</v>
      </c>
      <c r="J1716" s="1">
        <v>2</v>
      </c>
      <c r="K1716" s="1">
        <v>375.68009999999998</v>
      </c>
      <c r="L1716" s="1" t="str">
        <f>HYPERLINK("http://ms.phosphosite.org:5080/cgi-bin/plot-msms.cgi?MassType=1&amp;NumAxis=1&amp;Mod8=170&amp;Pep=GEGGFGGR&amp;Dta=/var/www/html/dta/yong/23612.3118.2.dta&amp;Global_Mod=CS57.0215", "3118")</f>
        <v>3118</v>
      </c>
      <c r="M1716" s="1"/>
      <c r="N1716" s="27">
        <v>18.61</v>
      </c>
      <c r="O1716" s="27"/>
      <c r="P1716" s="27">
        <v>2.363</v>
      </c>
      <c r="Q1716" s="27"/>
      <c r="R1716" s="27">
        <v>5.8000000000000003E-2</v>
      </c>
      <c r="S1716" s="27"/>
      <c r="T1716" s="27">
        <v>1.9199999999999998E-2</v>
      </c>
      <c r="U1716" s="27"/>
      <c r="V1716" s="1">
        <v>1</v>
      </c>
      <c r="W1716" s="1"/>
      <c r="X1716" s="27">
        <v>0.71</v>
      </c>
      <c r="Y1716" s="27"/>
      <c r="Z1716" s="28">
        <v>1000</v>
      </c>
      <c r="AA1716" s="28"/>
      <c r="AB1716" s="1" t="s">
        <v>13</v>
      </c>
    </row>
    <row r="1717" spans="1:28">
      <c r="A1717" t="s">
        <v>518</v>
      </c>
      <c r="B1717" s="29" t="s">
        <v>2524</v>
      </c>
      <c r="C1717" s="26" t="s">
        <v>2525</v>
      </c>
      <c r="D1717" s="1">
        <v>34</v>
      </c>
      <c r="E1717" t="s">
        <v>2526</v>
      </c>
      <c r="F1717" s="3" t="s">
        <v>2527</v>
      </c>
      <c r="G1717" s="1">
        <v>140.4</v>
      </c>
      <c r="H1717" t="s">
        <v>2528</v>
      </c>
      <c r="I1717" t="s">
        <v>2529</v>
      </c>
      <c r="J1717" s="1">
        <v>4</v>
      </c>
      <c r="K1717" s="1">
        <v>606.08569999999997</v>
      </c>
      <c r="L1717" s="1" t="str">
        <f>HYPERLINK("http://ms.phosphosite.org:5080/cgi-bin/plot-msms.cgi?MassType=1&amp;NumAxis=1&amp;Mod4=170&amp;Pep=GHGRGGGLTGLLVGTLDVVLDSSAR&amp;Dta=/var/www/html/dta/yong/23612.21670.4.dta&amp;Global_Mod=CS57.0215", "21670")</f>
        <v>21670</v>
      </c>
      <c r="M1717" s="1" t="str">
        <f>HYPERLINK("http://ms.phosphosite.org:5080/cgi-bin/plot-msms.cgi?MassType=1&amp;NumAxis=1&amp;Mod4=170&amp;Pep=GHGRGGGLTGLLVGTLDVVLDSSAR&amp;Dta=/var/www/html/dta/yong/23613.21767.4.dta&amp;Global_Mod=CS57.0215", "21767")</f>
        <v>21767</v>
      </c>
      <c r="N1717" s="27">
        <v>91.51</v>
      </c>
      <c r="O1717" s="27">
        <v>91.53</v>
      </c>
      <c r="P1717" s="27">
        <v>4.8390000000000004</v>
      </c>
      <c r="Q1717" s="27">
        <v>4.2690000000000001</v>
      </c>
      <c r="R1717" s="27">
        <v>0.83740000000000003</v>
      </c>
      <c r="S1717" s="27">
        <v>0.9909</v>
      </c>
      <c r="T1717" s="27">
        <v>0.3453</v>
      </c>
      <c r="U1717" s="27">
        <v>0.32419999999999999</v>
      </c>
      <c r="V1717" s="1">
        <v>1</v>
      </c>
      <c r="W1717" s="1">
        <v>1</v>
      </c>
      <c r="X1717" s="27">
        <v>2.4</v>
      </c>
      <c r="Y1717" s="27">
        <v>2.13</v>
      </c>
      <c r="Z1717" s="28">
        <v>1000</v>
      </c>
      <c r="AA1717" s="28">
        <v>1000</v>
      </c>
      <c r="AB1717" s="1" t="s">
        <v>13</v>
      </c>
    </row>
    <row r="1718" spans="1:28">
      <c r="A1718" t="s">
        <v>518</v>
      </c>
      <c r="B1718" s="29" t="s">
        <v>2524</v>
      </c>
      <c r="C1718" s="26" t="s">
        <v>2525</v>
      </c>
      <c r="D1718" s="1">
        <v>34</v>
      </c>
      <c r="E1718" t="s">
        <v>2526</v>
      </c>
      <c r="F1718" s="3" t="s">
        <v>2527</v>
      </c>
      <c r="G1718" s="1">
        <v>140.4</v>
      </c>
      <c r="H1718" t="s">
        <v>2528</v>
      </c>
      <c r="I1718" t="s">
        <v>2529</v>
      </c>
      <c r="J1718" s="1">
        <v>4</v>
      </c>
      <c r="K1718" s="1">
        <v>606.08569999999997</v>
      </c>
      <c r="L1718" s="1" t="str">
        <f>HYPERLINK("http://ms.phosphosite.org:5080/cgi-bin/plot-msms.cgi?MassType=1&amp;NumAxis=1&amp;Mod4=170&amp;Pep=GHGRGGGLTGLLVGTLDVVLDSSAR&amp;Dta=/var/www/html/dta/yong/23612.21662.4.dta&amp;Global_Mod=CS57.0215", "21662")</f>
        <v>21662</v>
      </c>
      <c r="M1718" s="1"/>
      <c r="N1718" s="27">
        <v>91.47</v>
      </c>
      <c r="O1718" s="27"/>
      <c r="P1718" s="27">
        <v>4.5190000000000001</v>
      </c>
      <c r="Q1718" s="27"/>
      <c r="R1718" s="27">
        <v>0.83740000000000003</v>
      </c>
      <c r="S1718" s="27"/>
      <c r="T1718" s="27">
        <v>0.3478</v>
      </c>
      <c r="U1718" s="27"/>
      <c r="V1718" s="1">
        <v>1</v>
      </c>
      <c r="W1718" s="1"/>
      <c r="X1718" s="27">
        <v>2.35</v>
      </c>
      <c r="Y1718" s="27"/>
      <c r="Z1718" s="28">
        <v>1000</v>
      </c>
      <c r="AA1718" s="28"/>
      <c r="AB1718" s="1" t="s">
        <v>13</v>
      </c>
    </row>
    <row r="1719" spans="1:28">
      <c r="A1719" t="s">
        <v>518</v>
      </c>
      <c r="B1719" s="29" t="s">
        <v>2530</v>
      </c>
      <c r="C1719" s="26" t="s">
        <v>2531</v>
      </c>
      <c r="D1719" s="30" t="s">
        <v>2532</v>
      </c>
      <c r="E1719" t="s">
        <v>2533</v>
      </c>
      <c r="F1719" s="3" t="s">
        <v>2534</v>
      </c>
      <c r="G1719" s="1">
        <v>67.900000000000006</v>
      </c>
      <c r="H1719" t="s">
        <v>2535</v>
      </c>
      <c r="I1719" t="s">
        <v>2536</v>
      </c>
      <c r="J1719" s="1">
        <v>4</v>
      </c>
      <c r="K1719" s="1">
        <v>502.2715</v>
      </c>
      <c r="L1719" s="1" t="str">
        <f>HYPERLINK("http://ms.phosphosite.org:5080/cgi-bin/plot-msms.cgi?MassType=1&amp;NumAxis=1&amp;Mod5=170&amp;Mod12=170&amp;Pep=VVSGRIINGYCRGDWLL&amp;Dta=/var/www/html/dta/yong/23612.6012.4.dta&amp;Global_Mod=CS57.0215", "6012")</f>
        <v>6012</v>
      </c>
      <c r="M1719" s="1"/>
      <c r="N1719" s="27">
        <v>29.63</v>
      </c>
      <c r="O1719" s="27"/>
      <c r="P1719" s="27">
        <v>2.637</v>
      </c>
      <c r="Q1719" s="27"/>
      <c r="R1719" s="27">
        <v>-0.32619999999999999</v>
      </c>
      <c r="S1719" s="27"/>
      <c r="T1719" s="27">
        <v>0.20669999999999999</v>
      </c>
      <c r="U1719" s="27"/>
      <c r="V1719" s="1">
        <v>646</v>
      </c>
      <c r="W1719" s="1"/>
      <c r="X1719" s="27">
        <v>0.75</v>
      </c>
      <c r="Y1719" s="27"/>
      <c r="Z1719" s="28" t="s">
        <v>1306</v>
      </c>
      <c r="AA1719" s="28"/>
      <c r="AB1719" s="1" t="s">
        <v>13</v>
      </c>
    </row>
    <row r="1720" spans="1:28">
      <c r="A1720" t="s">
        <v>518</v>
      </c>
      <c r="B1720" s="29" t="s">
        <v>2537</v>
      </c>
      <c r="C1720" s="26" t="s">
        <v>2538</v>
      </c>
      <c r="D1720" s="1">
        <v>29</v>
      </c>
      <c r="E1720" t="s">
        <v>2539</v>
      </c>
      <c r="F1720" s="3" t="s">
        <v>2540</v>
      </c>
      <c r="G1720" s="1">
        <v>77.099999999999994</v>
      </c>
      <c r="H1720" t="s">
        <v>2541</v>
      </c>
      <c r="I1720" t="s">
        <v>2542</v>
      </c>
      <c r="J1720" s="1">
        <v>2</v>
      </c>
      <c r="K1720" s="1">
        <v>521.77869999999996</v>
      </c>
      <c r="L1720" s="1" t="str">
        <f>HYPERLINK("http://ms.phosphosite.org:5080/cgi-bin/plot-msms.cgi?MassType=1&amp;NumAxis=1&amp;Mod9=170&amp;Pep=GVGAGAGGRGGGR&amp;Dta=/var/www/html/dta/yong/23612.1028.2.dta&amp;Global_Mod=CS57.0215", "1028")</f>
        <v>1028</v>
      </c>
      <c r="M1720" s="1" t="str">
        <f>HYPERLINK("http://ms.phosphosite.org:5080/cgi-bin/plot-msms.cgi?MassType=1&amp;NumAxis=1&amp;Mod9=170&amp;Pep=GVGAGAGGRGGGR&amp;Dta=/var/www/html/dta/yong/23613.1045.2.dta&amp;Global_Mod=CS57.0215", "1045")</f>
        <v>1045</v>
      </c>
      <c r="N1720" s="27">
        <v>10.7</v>
      </c>
      <c r="O1720" s="27">
        <v>10.59</v>
      </c>
      <c r="P1720" s="27">
        <v>2.8540000000000001</v>
      </c>
      <c r="Q1720" s="27">
        <v>3.0169999999999999</v>
      </c>
      <c r="R1720" s="27">
        <v>0.57330000000000003</v>
      </c>
      <c r="S1720" s="27">
        <v>0.69930000000000003</v>
      </c>
      <c r="T1720" s="27">
        <v>0.13300000000000001</v>
      </c>
      <c r="U1720" s="27">
        <v>0.12089999999999999</v>
      </c>
      <c r="V1720" s="1">
        <v>42</v>
      </c>
      <c r="W1720" s="1">
        <v>37</v>
      </c>
      <c r="X1720" s="27">
        <v>0.97</v>
      </c>
      <c r="Y1720" s="27">
        <v>0.94</v>
      </c>
      <c r="Z1720" s="28">
        <v>1000</v>
      </c>
      <c r="AA1720" s="28">
        <v>1000</v>
      </c>
      <c r="AB1720" s="1" t="s">
        <v>13</v>
      </c>
    </row>
    <row r="1721" spans="1:28">
      <c r="A1721" t="s">
        <v>518</v>
      </c>
      <c r="B1721" s="29" t="s">
        <v>2537</v>
      </c>
      <c r="C1721" s="26" t="s">
        <v>2538</v>
      </c>
      <c r="D1721" s="1">
        <v>29</v>
      </c>
      <c r="E1721" t="s">
        <v>2539</v>
      </c>
      <c r="F1721" s="3" t="s">
        <v>2540</v>
      </c>
      <c r="G1721" s="1">
        <v>77.099999999999994</v>
      </c>
      <c r="H1721" t="s">
        <v>2543</v>
      </c>
      <c r="I1721" t="s">
        <v>2544</v>
      </c>
      <c r="J1721" s="1">
        <v>2</v>
      </c>
      <c r="K1721" s="1">
        <v>484.77289999999999</v>
      </c>
      <c r="L1721" s="1" t="str">
        <f>HYPERLINK("http://ms.phosphosite.org:5080/cgi-bin/plot-msms.cgi?MassType=1&amp;NumAxis=1&amp;Mod11=170&amp;Pep=RPGVGAGAGGR&amp;Dta=/var/www/html/dta/yong/23612.1488.2.dta&amp;Global_Mod=CS57.0215", "1488")</f>
        <v>1488</v>
      </c>
      <c r="M1721" s="1"/>
      <c r="N1721" s="27">
        <v>12.47</v>
      </c>
      <c r="O1721" s="27"/>
      <c r="P1721" s="27">
        <v>3.081</v>
      </c>
      <c r="Q1721" s="27"/>
      <c r="R1721" s="27">
        <v>0.8911</v>
      </c>
      <c r="S1721" s="27"/>
      <c r="T1721" s="27">
        <v>4.82E-2</v>
      </c>
      <c r="U1721" s="27"/>
      <c r="V1721" s="1">
        <v>3</v>
      </c>
      <c r="W1721" s="1"/>
      <c r="X1721" s="27">
        <v>0.82</v>
      </c>
      <c r="Y1721" s="27"/>
      <c r="Z1721" s="28">
        <v>1000</v>
      </c>
      <c r="AA1721" s="28"/>
      <c r="AB1721" s="1" t="s">
        <v>13</v>
      </c>
    </row>
    <row r="1722" spans="1:28">
      <c r="A1722" t="s">
        <v>518</v>
      </c>
      <c r="B1722" s="29" t="s">
        <v>2537</v>
      </c>
      <c r="C1722" s="26" t="s">
        <v>2538</v>
      </c>
      <c r="D1722" s="1">
        <v>29</v>
      </c>
      <c r="E1722" t="s">
        <v>2539</v>
      </c>
      <c r="F1722" s="3" t="s">
        <v>2540</v>
      </c>
      <c r="G1722" s="1">
        <v>77.099999999999994</v>
      </c>
      <c r="H1722" t="s">
        <v>2543</v>
      </c>
      <c r="I1722" t="s">
        <v>2544</v>
      </c>
      <c r="J1722" s="1">
        <v>3</v>
      </c>
      <c r="K1722" s="1">
        <v>323.51769999999999</v>
      </c>
      <c r="L1722" s="1"/>
      <c r="M1722" s="1" t="str">
        <f>HYPERLINK("http://ms.phosphosite.org:5080/cgi-bin/plot-msms.cgi?MassType=1&amp;NumAxis=1&amp;Mod11=170&amp;Pep=RPGVGAGAGGR&amp;Dta=/var/www/html/dta/yong/23613.1500.3.dta&amp;Global_Mod=CS57.0215", "1500")</f>
        <v>1500</v>
      </c>
      <c r="N1722" s="27"/>
      <c r="O1722" s="27">
        <v>12.35</v>
      </c>
      <c r="P1722" s="27"/>
      <c r="Q1722" s="27">
        <v>2.2999999999999998</v>
      </c>
      <c r="R1722" s="27"/>
      <c r="S1722" s="27">
        <v>1.0972999999999999</v>
      </c>
      <c r="T1722" s="27"/>
      <c r="U1722" s="27">
        <v>0.1249</v>
      </c>
      <c r="V1722" s="1"/>
      <c r="W1722" s="1">
        <v>19</v>
      </c>
      <c r="X1722" s="27"/>
      <c r="Y1722" s="27">
        <v>1.05</v>
      </c>
      <c r="Z1722" s="28"/>
      <c r="AA1722" s="28">
        <v>1000</v>
      </c>
      <c r="AB1722" s="1" t="s">
        <v>13</v>
      </c>
    </row>
    <row r="1723" spans="1:28">
      <c r="A1723" t="s">
        <v>518</v>
      </c>
      <c r="B1723" s="2" t="s">
        <v>2545</v>
      </c>
      <c r="C1723" t="s">
        <v>2546</v>
      </c>
      <c r="D1723" s="1">
        <v>49</v>
      </c>
      <c r="E1723" t="s">
        <v>2547</v>
      </c>
      <c r="F1723" s="3" t="s">
        <v>2548</v>
      </c>
      <c r="G1723" s="1">
        <v>22.1</v>
      </c>
      <c r="H1723" t="s">
        <v>2549</v>
      </c>
      <c r="I1723" t="s">
        <v>2550</v>
      </c>
      <c r="J1723" s="1">
        <v>2</v>
      </c>
      <c r="K1723" s="1">
        <v>1046.4466</v>
      </c>
      <c r="L1723" s="1" t="str">
        <f>HYPERLINK("http://ms.phosphosite.org:5080/cgi-bin/plot-msms.cgi?MassType=1&amp;NumAxis=1&amp;Mod19=170&amp;Pep=LGFADGSCDPSDQCPPQAR&amp;Dta=/var/www/html/dta/yong/23612.15792.2.dta&amp;Global_Mod=CS57.0215", "15792")</f>
        <v>15792</v>
      </c>
      <c r="M1723" s="1"/>
      <c r="N1723" s="27">
        <v>64.760000000000005</v>
      </c>
      <c r="O1723" s="27"/>
      <c r="P1723" s="27">
        <v>2.7749999999999999</v>
      </c>
      <c r="Q1723" s="27"/>
      <c r="R1723" s="27">
        <v>2.0329000000000002</v>
      </c>
      <c r="S1723" s="27"/>
      <c r="T1723" s="27">
        <v>8.2500000000000004E-2</v>
      </c>
      <c r="U1723" s="27"/>
      <c r="V1723" s="1">
        <v>4</v>
      </c>
      <c r="W1723" s="1"/>
      <c r="X1723" s="27">
        <v>0.77</v>
      </c>
      <c r="Y1723" s="27"/>
      <c r="Z1723" s="28">
        <v>1000</v>
      </c>
      <c r="AA1723" s="28"/>
      <c r="AB1723" s="1" t="s">
        <v>13</v>
      </c>
    </row>
    <row r="1724" spans="1:28">
      <c r="A1724" t="s">
        <v>544</v>
      </c>
      <c r="B1724" s="29" t="s">
        <v>2551</v>
      </c>
      <c r="C1724" s="26" t="s">
        <v>2552</v>
      </c>
      <c r="D1724" s="1">
        <v>292</v>
      </c>
      <c r="E1724" t="s">
        <v>2553</v>
      </c>
      <c r="F1724" s="3" t="s">
        <v>2554</v>
      </c>
      <c r="G1724" s="1">
        <v>212.7</v>
      </c>
      <c r="H1724" t="s">
        <v>2555</v>
      </c>
      <c r="I1724" t="s">
        <v>2556</v>
      </c>
      <c r="J1724" s="1">
        <v>3</v>
      </c>
      <c r="K1724" s="1">
        <v>1151.5597</v>
      </c>
      <c r="L1724" s="1" t="str">
        <f>HYPERLINK("http://ms.phosphosite.org:5080/cgi-bin/plot-msms.cgi?MassType=1&amp;NumAxis=1&amp;Mod14=170&amp;Pep=LGTPFSQDSSYSSRQPTPSYLFSQDPAVTFK&amp;Dta=/var/www/html/dta/yong/23612.16757.3.dta&amp;Global_Mod=CS57.0215", "16757")</f>
        <v>16757</v>
      </c>
      <c r="M1724" s="1"/>
      <c r="N1724" s="27">
        <v>68.8</v>
      </c>
      <c r="O1724" s="27"/>
      <c r="P1724" s="27">
        <v>4.8479999999999999</v>
      </c>
      <c r="Q1724" s="27"/>
      <c r="R1724" s="27">
        <v>-0.56589999999999996</v>
      </c>
      <c r="S1724" s="27"/>
      <c r="T1724" s="27">
        <v>0.35220000000000001</v>
      </c>
      <c r="U1724" s="27"/>
      <c r="V1724" s="1">
        <v>1</v>
      </c>
      <c r="W1724" s="1"/>
      <c r="X1724" s="27">
        <v>2.2799999999999998</v>
      </c>
      <c r="Y1724" s="27"/>
      <c r="Z1724" s="28">
        <v>1000</v>
      </c>
      <c r="AA1724" s="28"/>
      <c r="AB1724" s="1" t="s">
        <v>13</v>
      </c>
    </row>
    <row r="1725" spans="1:28">
      <c r="A1725" t="s">
        <v>544</v>
      </c>
      <c r="B1725" s="29" t="s">
        <v>2551</v>
      </c>
      <c r="C1725" s="26" t="s">
        <v>2552</v>
      </c>
      <c r="D1725" s="1">
        <v>278</v>
      </c>
      <c r="E1725" t="s">
        <v>2553</v>
      </c>
      <c r="F1725" s="3" t="s">
        <v>2554</v>
      </c>
      <c r="G1725" s="1">
        <v>212.7</v>
      </c>
      <c r="H1725" t="s">
        <v>2557</v>
      </c>
      <c r="I1725" t="s">
        <v>2558</v>
      </c>
      <c r="J1725" s="1">
        <v>2</v>
      </c>
      <c r="K1725" s="1">
        <v>865.93899999999996</v>
      </c>
      <c r="L1725" s="1" t="str">
        <f>HYPERLINK("http://ms.phosphosite.org:5080/cgi-bin/plot-msms.cgi?MassType=1&amp;NumAxis=1&amp;Mod16=170&amp;Pep=LDTPNSYGQGTPLTPR&amp;Dta=/var/www/html/dta/yong/23612.9554.2.dta&amp;Global_Mod=CS57.0215", "9554")</f>
        <v>9554</v>
      </c>
      <c r="M1725" s="1"/>
      <c r="N1725" s="27">
        <v>42.42</v>
      </c>
      <c r="O1725" s="27"/>
      <c r="P1725" s="27">
        <v>3.9049999999999998</v>
      </c>
      <c r="Q1725" s="27"/>
      <c r="R1725" s="27">
        <v>1.2357</v>
      </c>
      <c r="S1725" s="27"/>
      <c r="T1725" s="27">
        <v>0.4264</v>
      </c>
      <c r="U1725" s="27"/>
      <c r="V1725" s="1">
        <v>1</v>
      </c>
      <c r="W1725" s="1"/>
      <c r="X1725" s="27">
        <v>2.77</v>
      </c>
      <c r="Y1725" s="27"/>
      <c r="Z1725" s="28">
        <v>1000</v>
      </c>
      <c r="AA1725" s="28"/>
      <c r="AB1725" s="1" t="s">
        <v>13</v>
      </c>
    </row>
    <row r="1726" spans="1:28">
      <c r="A1726" t="s">
        <v>2559</v>
      </c>
      <c r="B1726" s="29" t="s">
        <v>2560</v>
      </c>
      <c r="C1726" s="26" t="s">
        <v>2561</v>
      </c>
      <c r="D1726" s="1">
        <v>29</v>
      </c>
      <c r="E1726" t="s">
        <v>2562</v>
      </c>
      <c r="F1726" s="3" t="s">
        <v>2563</v>
      </c>
      <c r="G1726" s="1">
        <v>41.5</v>
      </c>
      <c r="H1726" t="s">
        <v>2564</v>
      </c>
      <c r="I1726" t="s">
        <v>2565</v>
      </c>
      <c r="J1726" s="1">
        <v>3</v>
      </c>
      <c r="K1726" s="1">
        <v>537.94849999999997</v>
      </c>
      <c r="L1726" s="1" t="str">
        <f>HYPERLINK("http://ms.phosphosite.org:5080/cgi-bin/plot-msms.cgi?MassType=1&amp;NumAxis=1&amp;Mod10=170&amp;Pep=AGAGAGAGARGGAAAGVEAR&amp;Dta=/var/www/html/dta/yong/23612.3062.3.dta&amp;Global_Mod=CS57.0215", "3062")</f>
        <v>3062</v>
      </c>
      <c r="M1726" s="1" t="str">
        <f>HYPERLINK("http://ms.phosphosite.org:5080/cgi-bin/plot-msms.cgi?MassType=1&amp;NumAxis=1&amp;Mod10=170&amp;Pep=AGAGAGAGARGGAAAGVEAR&amp;Dta=/var/www/html/dta/yong/23613.3107.3.dta&amp;Global_Mod=CS57.0215", "3107")</f>
        <v>3107</v>
      </c>
      <c r="N1726" s="27">
        <v>18.39</v>
      </c>
      <c r="O1726" s="27">
        <v>18.39</v>
      </c>
      <c r="P1726" s="27">
        <v>4.4669999999999996</v>
      </c>
      <c r="Q1726" s="27">
        <v>3.7559999999999998</v>
      </c>
      <c r="R1726" s="27">
        <v>0.30230000000000001</v>
      </c>
      <c r="S1726" s="27">
        <v>0.14990000000000001</v>
      </c>
      <c r="T1726" s="27">
        <v>0.3831</v>
      </c>
      <c r="U1726" s="27">
        <v>0.37369999999999998</v>
      </c>
      <c r="V1726" s="1">
        <v>1</v>
      </c>
      <c r="W1726" s="1">
        <v>1</v>
      </c>
      <c r="X1726" s="27">
        <v>2.5499999999999998</v>
      </c>
      <c r="Y1726" s="27">
        <v>2.35</v>
      </c>
      <c r="Z1726" s="28">
        <v>1000</v>
      </c>
      <c r="AA1726" s="28">
        <v>1000</v>
      </c>
      <c r="AB1726" s="1" t="s">
        <v>13</v>
      </c>
    </row>
    <row r="1727" spans="1:28">
      <c r="A1727" t="s">
        <v>2559</v>
      </c>
      <c r="B1727" s="29" t="s">
        <v>2560</v>
      </c>
      <c r="C1727" s="26" t="s">
        <v>2561</v>
      </c>
      <c r="D1727" s="1">
        <v>29</v>
      </c>
      <c r="E1727" t="s">
        <v>2562</v>
      </c>
      <c r="F1727" s="3" t="s">
        <v>2563</v>
      </c>
      <c r="G1727" s="1">
        <v>41.5</v>
      </c>
      <c r="H1727" t="s">
        <v>2564</v>
      </c>
      <c r="I1727" t="s">
        <v>2566</v>
      </c>
      <c r="J1727" s="1">
        <v>2</v>
      </c>
      <c r="K1727" s="1">
        <v>514.78340000000003</v>
      </c>
      <c r="L1727" s="1" t="str">
        <f>HYPERLINK("http://ms.phosphosite.org:5080/cgi-bin/plot-msms.cgi?MassType=1&amp;NumAxis=1&amp;Mod1=170&amp;Pep=RGGAAAGVEAR&amp;Dta=/var/www/html/dta/yong/23612.1519.2.dta&amp;Global_Mod=CS57.0215", "1519")</f>
        <v>1519</v>
      </c>
      <c r="M1727" s="1" t="str">
        <f>HYPERLINK("http://ms.phosphosite.org:5080/cgi-bin/plot-msms.cgi?MassType=1&amp;NumAxis=1&amp;Mod1=170&amp;Pep=RGGAAAGVEAR&amp;Dta=/var/www/html/dta/yong/23613.1532.2.dta&amp;Global_Mod=CS57.0215", "1532")</f>
        <v>1532</v>
      </c>
      <c r="N1727" s="27">
        <v>12.59</v>
      </c>
      <c r="O1727" s="27">
        <v>12.48</v>
      </c>
      <c r="P1727" s="27">
        <v>2.9769999999999999</v>
      </c>
      <c r="Q1727" s="27">
        <v>2.65</v>
      </c>
      <c r="R1727" s="27">
        <v>0.33239999999999997</v>
      </c>
      <c r="S1727" s="27">
        <v>0.4642</v>
      </c>
      <c r="T1727" s="27">
        <v>0.1812</v>
      </c>
      <c r="U1727" s="27">
        <v>0.1648</v>
      </c>
      <c r="V1727" s="1">
        <v>1</v>
      </c>
      <c r="W1727" s="1">
        <v>2</v>
      </c>
      <c r="X1727" s="27">
        <v>1.31</v>
      </c>
      <c r="Y1727" s="27">
        <v>1.18</v>
      </c>
      <c r="Z1727" s="28">
        <v>1000</v>
      </c>
      <c r="AA1727" s="28">
        <v>1000</v>
      </c>
      <c r="AB1727" s="1" t="s">
        <v>13</v>
      </c>
    </row>
    <row r="1728" spans="1:28">
      <c r="A1728" t="s">
        <v>2559</v>
      </c>
      <c r="B1728" s="29" t="s">
        <v>2560</v>
      </c>
      <c r="C1728" s="26" t="s">
        <v>2561</v>
      </c>
      <c r="D1728" s="1">
        <v>29</v>
      </c>
      <c r="E1728" t="s">
        <v>2562</v>
      </c>
      <c r="F1728" s="3" t="s">
        <v>2563</v>
      </c>
      <c r="G1728" s="1">
        <v>41.5</v>
      </c>
      <c r="H1728" t="s">
        <v>2564</v>
      </c>
      <c r="I1728" t="s">
        <v>2567</v>
      </c>
      <c r="J1728" s="1">
        <v>2</v>
      </c>
      <c r="K1728" s="1">
        <v>386.70670000000001</v>
      </c>
      <c r="L1728" s="1" t="str">
        <f>HYPERLINK("http://ms.phosphosite.org:5080/cgi-bin/plot-msms.cgi?MassType=1&amp;NumAxis=1&amp;Mod10=170&amp;Pep=AGAGAGAGAR&amp;Dta=/var/www/html/dta/yong/23612.729.2.dta&amp;Global_Mod=CS57.0215", "729")</f>
        <v>729</v>
      </c>
      <c r="M1728" s="1" t="str">
        <f>HYPERLINK("http://ms.phosphosite.org:5080/cgi-bin/plot-msms.cgi?MassType=1&amp;NumAxis=1&amp;Mod10=170&amp;Pep=AGAGAGAGAR&amp;Dta=/var/www/html/dta/yong/23613.658.2.dta&amp;Global_Mod=CS57.0215", "658")</f>
        <v>658</v>
      </c>
      <c r="N1728" s="27">
        <v>9.31</v>
      </c>
      <c r="O1728" s="27">
        <v>8.4600000000000009</v>
      </c>
      <c r="P1728" s="27">
        <v>2.5939999999999999</v>
      </c>
      <c r="Q1728" s="27">
        <v>2.242</v>
      </c>
      <c r="R1728" s="27">
        <v>0.23649999999999999</v>
      </c>
      <c r="S1728" s="27">
        <v>-1.5699999999999999E-2</v>
      </c>
      <c r="T1728" s="27">
        <v>0.14480000000000001</v>
      </c>
      <c r="U1728" s="27">
        <v>8.5699999999999998E-2</v>
      </c>
      <c r="V1728" s="1">
        <v>15</v>
      </c>
      <c r="W1728" s="1">
        <v>2</v>
      </c>
      <c r="X1728" s="27">
        <v>1.25</v>
      </c>
      <c r="Y1728" s="27">
        <v>0.88</v>
      </c>
      <c r="Z1728" s="28">
        <v>1000</v>
      </c>
      <c r="AA1728" s="28">
        <v>1000</v>
      </c>
      <c r="AB1728" s="1" t="s">
        <v>13</v>
      </c>
    </row>
    <row r="1729" spans="1:28">
      <c r="A1729" t="s">
        <v>2559</v>
      </c>
      <c r="B1729" s="29" t="s">
        <v>2560</v>
      </c>
      <c r="C1729" s="26" t="s">
        <v>2561</v>
      </c>
      <c r="D1729" s="1">
        <v>29</v>
      </c>
      <c r="E1729" t="s">
        <v>2562</v>
      </c>
      <c r="F1729" s="3" t="s">
        <v>2563</v>
      </c>
      <c r="G1729" s="1">
        <v>41.5</v>
      </c>
      <c r="H1729" t="s">
        <v>2564</v>
      </c>
      <c r="I1729" t="s">
        <v>2567</v>
      </c>
      <c r="J1729" s="1">
        <v>2</v>
      </c>
      <c r="K1729" s="1">
        <v>386.70670000000001</v>
      </c>
      <c r="L1729" s="1" t="str">
        <f>HYPERLINK("http://ms.phosphosite.org:5080/cgi-bin/plot-msms.cgi?MassType=1&amp;NumAxis=1&amp;Mod10=170&amp;Pep=AGAGAGAGAR&amp;Dta=/var/www/html/dta/yong/23612.658.2.dta&amp;Global_Mod=CS57.0215", "658")</f>
        <v>658</v>
      </c>
      <c r="M1729" s="1"/>
      <c r="N1729" s="27">
        <v>8.59</v>
      </c>
      <c r="O1729" s="27"/>
      <c r="P1729" s="27">
        <v>2.4359999999999999</v>
      </c>
      <c r="Q1729" s="27"/>
      <c r="R1729" s="27">
        <v>0.1166</v>
      </c>
      <c r="S1729" s="27"/>
      <c r="T1729" s="27">
        <v>0.1268</v>
      </c>
      <c r="U1729" s="27"/>
      <c r="V1729" s="1">
        <v>10</v>
      </c>
      <c r="W1729" s="1"/>
      <c r="X1729" s="27">
        <v>1.1200000000000001</v>
      </c>
      <c r="Y1729" s="27"/>
      <c r="Z1729" s="28">
        <v>1000</v>
      </c>
      <c r="AA1729" s="28"/>
      <c r="AB1729" s="1" t="s">
        <v>13</v>
      </c>
    </row>
    <row r="1730" spans="1:28">
      <c r="A1730" t="s">
        <v>555</v>
      </c>
      <c r="B1730" s="29" t="s">
        <v>2568</v>
      </c>
      <c r="C1730" s="26" t="s">
        <v>2569</v>
      </c>
      <c r="D1730" s="1">
        <v>414</v>
      </c>
      <c r="E1730" t="s">
        <v>2570</v>
      </c>
      <c r="F1730" s="3" t="s">
        <v>2571</v>
      </c>
      <c r="G1730" s="1">
        <v>50.8</v>
      </c>
      <c r="H1730" t="s">
        <v>2572</v>
      </c>
      <c r="I1730" t="s">
        <v>2573</v>
      </c>
      <c r="J1730" s="1">
        <v>2</v>
      </c>
      <c r="K1730" s="1">
        <v>934.48670000000004</v>
      </c>
      <c r="L1730" s="1" t="str">
        <f>HYPERLINK("http://ms.phosphosite.org:5080/cgi-bin/plot-msms.cgi?MassType=1&amp;NumAxis=1&amp;Mod18=170&amp;Pep=TFGNSTLALGPGESLPHR&amp;Dta=/var/www/html/dta/yong/23612.16174.2.dta&amp;Global_Mod=CS57.0215", "16174")</f>
        <v>16174</v>
      </c>
      <c r="M1730" s="1"/>
      <c r="N1730" s="27">
        <v>66.349999999999994</v>
      </c>
      <c r="O1730" s="27"/>
      <c r="P1730" s="27">
        <v>2.306</v>
      </c>
      <c r="Q1730" s="27"/>
      <c r="R1730" s="27">
        <v>0.93430000000000002</v>
      </c>
      <c r="S1730" s="27"/>
      <c r="T1730" s="27">
        <v>0.1021</v>
      </c>
      <c r="U1730" s="27"/>
      <c r="V1730" s="1">
        <v>2</v>
      </c>
      <c r="W1730" s="1"/>
      <c r="X1730" s="27">
        <v>0.84</v>
      </c>
      <c r="Y1730" s="27"/>
      <c r="Z1730" s="28">
        <v>1000</v>
      </c>
      <c r="AA1730" s="28"/>
      <c r="AB1730" s="1" t="s">
        <v>13</v>
      </c>
    </row>
    <row r="1731" spans="1:28">
      <c r="A1731" t="s">
        <v>563</v>
      </c>
      <c r="B1731" s="2" t="s">
        <v>564</v>
      </c>
      <c r="C1731" t="s">
        <v>564</v>
      </c>
      <c r="D1731" s="1">
        <v>2165</v>
      </c>
      <c r="E1731" t="s">
        <v>566</v>
      </c>
      <c r="F1731" s="3" t="s">
        <v>2574</v>
      </c>
      <c r="G1731" s="1">
        <v>267.10000000000002</v>
      </c>
      <c r="H1731" t="s">
        <v>2575</v>
      </c>
      <c r="I1731" t="s">
        <v>2576</v>
      </c>
      <c r="J1731" s="1">
        <v>5</v>
      </c>
      <c r="K1731" s="1">
        <v>1000.0616</v>
      </c>
      <c r="L1731" s="1"/>
      <c r="M1731" s="1" t="str">
        <f>HYPERLINK("http://ms.phosphosite.org:5080/cgi-bin/plot-msms.cgi?MassType=1&amp;NumAxis=1&amp;Mod2=170&amp;Mod9=147&amp;Mod30=147&amp;Pep=FRFGPPEDMPQTSSSHSDLGQLASQGGLGMYETPLFLAHEEESGGR&amp;Dta=/var/www/html/dta/yong/23613.16662.5.dta&amp;Global_Mod=CS57.0215", "16662")</f>
        <v>16662</v>
      </c>
      <c r="N1731" s="27"/>
      <c r="O1731" s="27">
        <v>68</v>
      </c>
      <c r="P1731" s="27"/>
      <c r="Q1731" s="27">
        <v>4.0460000000000003</v>
      </c>
      <c r="R1731" s="27"/>
      <c r="S1731" s="27">
        <v>-0.49940000000000001</v>
      </c>
      <c r="T1731" s="27"/>
      <c r="U1731" s="27">
        <v>0.1244</v>
      </c>
      <c r="V1731" s="1"/>
      <c r="W1731" s="1">
        <v>1</v>
      </c>
      <c r="X1731" s="27"/>
      <c r="Y1731" s="27">
        <v>0.9</v>
      </c>
      <c r="Z1731" s="28"/>
      <c r="AA1731" s="28">
        <v>1000</v>
      </c>
      <c r="AB1731" s="1" t="s">
        <v>13</v>
      </c>
    </row>
    <row r="1732" spans="1:28">
      <c r="A1732" t="s">
        <v>563</v>
      </c>
      <c r="B1732" s="2" t="s">
        <v>564</v>
      </c>
      <c r="C1732" t="s">
        <v>564</v>
      </c>
      <c r="D1732" s="1">
        <v>2163</v>
      </c>
      <c r="E1732" t="s">
        <v>566</v>
      </c>
      <c r="F1732" s="3" t="s">
        <v>2574</v>
      </c>
      <c r="G1732" s="1">
        <v>267.10000000000002</v>
      </c>
      <c r="H1732" t="s">
        <v>2577</v>
      </c>
      <c r="I1732" t="s">
        <v>2578</v>
      </c>
      <c r="J1732" s="1">
        <v>3</v>
      </c>
      <c r="K1732" s="1">
        <v>622.65499999999997</v>
      </c>
      <c r="L1732" s="1" t="str">
        <f>HYPERLINK("http://ms.phosphosite.org:5080/cgi-bin/plot-msms.cgi?MassType=1&amp;NumAxis=1&amp;Mod18=170&amp;Pep=TDGFAEAIHSPQVAGVPR&amp;Dta=/var/www/html/dta/yong/23612.11169.3.dta&amp;Global_Mod=CS57.0215", "11169")</f>
        <v>11169</v>
      </c>
      <c r="M1732" s="1" t="str">
        <f>HYPERLINK("http://ms.phosphosite.org:5080/cgi-bin/plot-msms.cgi?MassType=1&amp;NumAxis=1&amp;Mod18=170&amp;Pep=TDGFAEAIHSPQVAGVPR&amp;Dta=/var/www/html/dta/yong/23613.11238.3.dta&amp;Global_Mod=CS57.0215", "11238")</f>
        <v>11238</v>
      </c>
      <c r="N1732" s="27">
        <v>48.02</v>
      </c>
      <c r="O1732" s="27">
        <v>47.99</v>
      </c>
      <c r="P1732" s="27">
        <v>3.8879999999999999</v>
      </c>
      <c r="Q1732" s="27">
        <v>3.4510000000000001</v>
      </c>
      <c r="R1732" s="27">
        <v>0.56079999999999997</v>
      </c>
      <c r="S1732" s="27">
        <v>0.53779999999999994</v>
      </c>
      <c r="T1732" s="27">
        <v>0.37630000000000002</v>
      </c>
      <c r="U1732" s="27">
        <v>0.31440000000000001</v>
      </c>
      <c r="V1732" s="1">
        <v>1</v>
      </c>
      <c r="W1732" s="1">
        <v>1</v>
      </c>
      <c r="X1732" s="27">
        <v>2.6</v>
      </c>
      <c r="Y1732" s="27">
        <v>2.2000000000000002</v>
      </c>
      <c r="Z1732" s="28">
        <v>1000</v>
      </c>
      <c r="AA1732" s="28">
        <v>1000</v>
      </c>
      <c r="AB1732" s="1" t="s">
        <v>13</v>
      </c>
    </row>
    <row r="1733" spans="1:28">
      <c r="A1733" t="s">
        <v>2579</v>
      </c>
      <c r="B1733" s="2" t="s">
        <v>2580</v>
      </c>
      <c r="C1733" t="s">
        <v>2581</v>
      </c>
      <c r="D1733" s="1">
        <v>90</v>
      </c>
      <c r="E1733" t="s">
        <v>2582</v>
      </c>
      <c r="F1733" s="3" t="s">
        <v>2583</v>
      </c>
      <c r="G1733" s="1">
        <v>61.4</v>
      </c>
      <c r="H1733" t="s">
        <v>2584</v>
      </c>
      <c r="I1733" t="s">
        <v>2585</v>
      </c>
      <c r="J1733" s="1">
        <v>4</v>
      </c>
      <c r="K1733" s="1">
        <v>703.86289999999997</v>
      </c>
      <c r="L1733" s="1" t="str">
        <f>HYPERLINK("http://ms.phosphosite.org:5080/cgi-bin/plot-msms.cgi?MassType=1&amp;NumAxis=1&amp;Mod1=147&amp;Mod22=170&amp;Pep=MVEGFFDRGASIVEDKLVEDLRTR&amp;Dta=/var/www/html/dta/yong/23612.19088.4.dta&amp;Global_Mod=CS57.0215", "19088")</f>
        <v>19088</v>
      </c>
      <c r="M1733" s="1" t="str">
        <f>HYPERLINK("http://ms.phosphosite.org:5080/cgi-bin/plot-msms.cgi?MassType=1&amp;NumAxis=1&amp;Mod1=147&amp;Mod22=170&amp;Pep=MVEGFFDRGASIVEDKLVEDLRTR&amp;Dta=/var/www/html/dta/yong/23613.19175.4.dta&amp;Global_Mod=CS57.0215", "19175")</f>
        <v>19175</v>
      </c>
      <c r="N1733" s="27">
        <v>79.16</v>
      </c>
      <c r="O1733" s="27">
        <v>79.13</v>
      </c>
      <c r="P1733" s="27">
        <v>3.6280000000000001</v>
      </c>
      <c r="Q1733" s="27">
        <v>3.21</v>
      </c>
      <c r="R1733" s="27">
        <v>-3.2705000000000002</v>
      </c>
      <c r="S1733" s="27">
        <v>-3.6259000000000001</v>
      </c>
      <c r="T1733" s="27">
        <v>0.28589999999999999</v>
      </c>
      <c r="U1733" s="27">
        <v>0.2828</v>
      </c>
      <c r="V1733" s="1">
        <v>3</v>
      </c>
      <c r="W1733" s="1">
        <v>4</v>
      </c>
      <c r="X1733" s="27">
        <v>1.32</v>
      </c>
      <c r="Y1733" s="27">
        <v>1.17</v>
      </c>
      <c r="Z1733" s="28">
        <v>69</v>
      </c>
      <c r="AA1733" s="28">
        <v>62</v>
      </c>
      <c r="AB1733" s="1" t="s">
        <v>13</v>
      </c>
    </row>
    <row r="1734" spans="1:28">
      <c r="A1734" t="s">
        <v>2579</v>
      </c>
      <c r="B1734" s="2" t="s">
        <v>2586</v>
      </c>
      <c r="C1734" t="s">
        <v>2586</v>
      </c>
      <c r="D1734" s="1" t="s">
        <v>2587</v>
      </c>
      <c r="E1734" t="s">
        <v>2588</v>
      </c>
      <c r="F1734" s="3" t="s">
        <v>2589</v>
      </c>
      <c r="G1734" s="1">
        <v>25.8</v>
      </c>
      <c r="H1734" t="s">
        <v>2590</v>
      </c>
      <c r="I1734" t="s">
        <v>2591</v>
      </c>
      <c r="J1734" s="1">
        <v>3</v>
      </c>
      <c r="K1734" s="1">
        <v>747.40129999999999</v>
      </c>
      <c r="L1734" s="1"/>
      <c r="M1734" s="1" t="str">
        <f>HYPERLINK("http://ms.phosphosite.org:5080/cgi-bin/plot-msms.cgi?MassType=1&amp;NumAxis=1&amp;Mod9=170&amp;Mod22=170&amp;Pep=AGPHSIVGRAVVVHAGEDDLGR&amp;Dta=/var/www/html/dta/yong/23613.14320.3.dta&amp;Global_Mod=CS57.0215", "14320")</f>
        <v>14320</v>
      </c>
      <c r="N1734" s="27"/>
      <c r="O1734" s="27">
        <v>58.76</v>
      </c>
      <c r="P1734" s="27"/>
      <c r="Q1734" s="27">
        <v>2.5710000000000002</v>
      </c>
      <c r="R1734" s="27"/>
      <c r="S1734" s="27">
        <v>-8.1062999999999992</v>
      </c>
      <c r="T1734" s="27"/>
      <c r="U1734" s="27">
        <v>0.1893</v>
      </c>
      <c r="V1734" s="1"/>
      <c r="W1734" s="1">
        <v>3</v>
      </c>
      <c r="X1734" s="27"/>
      <c r="Y1734" s="27">
        <v>0.68</v>
      </c>
      <c r="Z1734" s="28"/>
      <c r="AA1734" s="28" t="s">
        <v>1306</v>
      </c>
      <c r="AB1734" s="1" t="s">
        <v>13</v>
      </c>
    </row>
    <row r="1735" spans="1:28">
      <c r="A1735" t="s">
        <v>2579</v>
      </c>
      <c r="B1735" s="2" t="s">
        <v>2592</v>
      </c>
      <c r="C1735" t="s">
        <v>2593</v>
      </c>
      <c r="D1735" s="1">
        <v>61</v>
      </c>
      <c r="E1735" t="s">
        <v>2594</v>
      </c>
      <c r="F1735" s="3" t="s">
        <v>2595</v>
      </c>
      <c r="G1735" s="1">
        <v>49.9</v>
      </c>
      <c r="H1735" t="s">
        <v>2596</v>
      </c>
      <c r="I1735" t="s">
        <v>2597</v>
      </c>
      <c r="J1735" s="1">
        <v>2</v>
      </c>
      <c r="K1735" s="1">
        <v>1082.0379</v>
      </c>
      <c r="L1735" s="1"/>
      <c r="M1735" s="1" t="str">
        <f>HYPERLINK("http://ms.phosphosite.org:5080/cgi-bin/plot-msms.cgi?MassType=1&amp;NumAxis=1&amp;Mod17=147&amp;Mod20=170&amp;Pep=NHYEVLVLGGGSGGITMAARM&amp;Dta=/var/www/html/dta/yong/23613.13461.2.dta&amp;Global_Mod=CS57.0215", "13461")</f>
        <v>13461</v>
      </c>
      <c r="N1735" s="27"/>
      <c r="O1735" s="27">
        <v>55.62</v>
      </c>
      <c r="P1735" s="27"/>
      <c r="Q1735" s="27">
        <v>3.1850000000000001</v>
      </c>
      <c r="R1735" s="27"/>
      <c r="S1735" s="27">
        <v>-4.298</v>
      </c>
      <c r="T1735" s="27"/>
      <c r="U1735" s="27">
        <v>0.16020000000000001</v>
      </c>
      <c r="V1735" s="1"/>
      <c r="W1735" s="1">
        <v>1</v>
      </c>
      <c r="X1735" s="27"/>
      <c r="Y1735" s="27">
        <v>0.84</v>
      </c>
      <c r="Z1735" s="28"/>
      <c r="AA1735" s="28">
        <v>1000</v>
      </c>
      <c r="AB1735" s="1" t="s">
        <v>13</v>
      </c>
    </row>
    <row r="1736" spans="1:28">
      <c r="A1736" t="s">
        <v>2579</v>
      </c>
      <c r="B1736" s="2" t="s">
        <v>2598</v>
      </c>
      <c r="C1736" t="s">
        <v>2599</v>
      </c>
      <c r="D1736" s="1">
        <v>16</v>
      </c>
      <c r="E1736" t="s">
        <v>2600</v>
      </c>
      <c r="F1736" s="3" t="s">
        <v>2601</v>
      </c>
      <c r="G1736" s="1">
        <v>14.3</v>
      </c>
      <c r="H1736" t="s">
        <v>2602</v>
      </c>
      <c r="I1736" t="s">
        <v>2603</v>
      </c>
      <c r="J1736" s="1">
        <v>3</v>
      </c>
      <c r="K1736" s="1">
        <v>753.70399999999995</v>
      </c>
      <c r="L1736" s="1" t="str">
        <f>HYPERLINK("http://ms.phosphosite.org:5080/cgi-bin/plot-msms.cgi?MassType=1&amp;NumAxis=1&amp;Mod5=170&amp;Pep=AGAGRGAPEGPGPSGGAQGGSIHSGR&amp;Dta=/var/www/html/dta/yong/23612.3089.3.dta&amp;Global_Mod=CS57.0215", "3089")</f>
        <v>3089</v>
      </c>
      <c r="M1736" s="1" t="str">
        <f>HYPERLINK("http://ms.phosphosite.org:5080/cgi-bin/plot-msms.cgi?MassType=1&amp;NumAxis=1&amp;Mod5=170&amp;Pep=AGAGRGAPEGPGPSGGAQGGSIHSGR&amp;Dta=/var/www/html/dta/yong/23613.3136.3.dta&amp;Global_Mod=CS57.0215", "3136")</f>
        <v>3136</v>
      </c>
      <c r="N1736" s="27">
        <v>18.489999999999998</v>
      </c>
      <c r="O1736" s="27">
        <v>18.5</v>
      </c>
      <c r="P1736" s="27">
        <v>6.4710000000000001</v>
      </c>
      <c r="Q1736" s="27">
        <v>5.915</v>
      </c>
      <c r="R1736" s="27">
        <v>0.28570000000000001</v>
      </c>
      <c r="S1736" s="27">
        <v>0.8861</v>
      </c>
      <c r="T1736" s="27">
        <v>0.56089999999999995</v>
      </c>
      <c r="U1736" s="27">
        <v>0.48449999999999999</v>
      </c>
      <c r="V1736" s="1">
        <v>1</v>
      </c>
      <c r="W1736" s="1">
        <v>1</v>
      </c>
      <c r="X1736" s="27">
        <v>3.72</v>
      </c>
      <c r="Y1736" s="27">
        <v>3.21</v>
      </c>
      <c r="Z1736" s="28">
        <v>1000</v>
      </c>
      <c r="AA1736" s="28">
        <v>1000</v>
      </c>
      <c r="AB1736" s="1" t="s">
        <v>13</v>
      </c>
    </row>
    <row r="1737" spans="1:28">
      <c r="A1737" t="s">
        <v>2604</v>
      </c>
      <c r="B1737" s="29" t="s">
        <v>2605</v>
      </c>
      <c r="C1737" s="26" t="s">
        <v>2606</v>
      </c>
      <c r="D1737" s="1">
        <v>638</v>
      </c>
      <c r="E1737" t="s">
        <v>2607</v>
      </c>
      <c r="F1737" s="3" t="s">
        <v>2608</v>
      </c>
      <c r="G1737" s="1">
        <v>72.2</v>
      </c>
      <c r="H1737" t="s">
        <v>2609</v>
      </c>
      <c r="I1737" t="s">
        <v>2610</v>
      </c>
      <c r="J1737" s="1">
        <v>3</v>
      </c>
      <c r="K1737" s="1">
        <v>619.00729999999999</v>
      </c>
      <c r="L1737" s="1" t="str">
        <f>HYPERLINK("http://ms.phosphosite.org:5080/cgi-bin/plot-msms.cgi?MassType=1&amp;NumAxis=1&amp;Mod19=170&amp;Pep=AVAPSPSGAIGGLLEQFAR&amp;Dta=/var/www/html/dta/yong/23612.20429.3.dta&amp;Global_Mod=CS57.0215", "20429")</f>
        <v>20429</v>
      </c>
      <c r="M1737" s="1" t="str">
        <f>HYPERLINK("http://ms.phosphosite.org:5080/cgi-bin/plot-msms.cgi?MassType=1&amp;NumAxis=1&amp;Mod19=170&amp;Pep=AVAPSPSGAIGGLLEQFAR&amp;Dta=/var/www/html/dta/yong/23613.20528.3.dta&amp;Global_Mod=CS57.0215", "20528")</f>
        <v>20528</v>
      </c>
      <c r="N1737" s="27">
        <v>85.46</v>
      </c>
      <c r="O1737" s="27">
        <v>85.48</v>
      </c>
      <c r="P1737" s="27">
        <v>4.53</v>
      </c>
      <c r="Q1737" s="27">
        <v>4.7510000000000003</v>
      </c>
      <c r="R1737" s="27">
        <v>0.75119999999999998</v>
      </c>
      <c r="S1737" s="27">
        <v>0.70509999999999995</v>
      </c>
      <c r="T1737" s="27">
        <v>0.26900000000000002</v>
      </c>
      <c r="U1737" s="27">
        <v>0.27300000000000002</v>
      </c>
      <c r="V1737" s="1">
        <v>1</v>
      </c>
      <c r="W1737" s="1">
        <v>1</v>
      </c>
      <c r="X1737" s="27">
        <v>2.16</v>
      </c>
      <c r="Y1737" s="27">
        <v>2.21</v>
      </c>
      <c r="Z1737" s="28">
        <v>1000</v>
      </c>
      <c r="AA1737" s="28">
        <v>1000</v>
      </c>
      <c r="AB1737" s="1" t="s">
        <v>13</v>
      </c>
    </row>
    <row r="1738" spans="1:28">
      <c r="A1738" t="s">
        <v>2450</v>
      </c>
      <c r="B1738" s="2" t="s">
        <v>2611</v>
      </c>
      <c r="C1738" t="s">
        <v>2611</v>
      </c>
      <c r="D1738" s="1">
        <v>29</v>
      </c>
      <c r="E1738" t="s">
        <v>2612</v>
      </c>
      <c r="F1738" s="3" t="s">
        <v>2613</v>
      </c>
      <c r="G1738" s="1">
        <v>113.5</v>
      </c>
      <c r="H1738" t="s">
        <v>2614</v>
      </c>
      <c r="I1738" t="s">
        <v>2615</v>
      </c>
      <c r="J1738" s="1">
        <v>3</v>
      </c>
      <c r="K1738" s="1">
        <v>598.28309999999999</v>
      </c>
      <c r="L1738" s="1" t="str">
        <f>HYPERLINK("http://ms.phosphosite.org:5080/cgi-bin/plot-msms.cgi?MassType=1&amp;NumAxis=1&amp;Mod8=170&amp;Pep=GAGGLGERPDATADYSEL&amp;Dta=/var/www/html/dta/yong/23612.19098.3.dta&amp;Global_Mod=CS57.0215", "19098")</f>
        <v>19098</v>
      </c>
      <c r="M1738" s="1"/>
      <c r="N1738" s="27">
        <v>79.2</v>
      </c>
      <c r="O1738" s="27"/>
      <c r="P1738" s="27">
        <v>2.302</v>
      </c>
      <c r="Q1738" s="27"/>
      <c r="R1738" s="27">
        <v>1.0647</v>
      </c>
      <c r="S1738" s="27"/>
      <c r="T1738" s="27">
        <v>0.14910000000000001</v>
      </c>
      <c r="U1738" s="27"/>
      <c r="V1738" s="1">
        <v>29</v>
      </c>
      <c r="W1738" s="1"/>
      <c r="X1738" s="27">
        <v>1.1100000000000001</v>
      </c>
      <c r="Y1738" s="27"/>
      <c r="Z1738" s="28">
        <v>1000</v>
      </c>
      <c r="AA1738" s="28"/>
      <c r="AB1738" s="1" t="s">
        <v>13</v>
      </c>
    </row>
    <row r="1739" spans="1:28">
      <c r="A1739" t="s">
        <v>2616</v>
      </c>
      <c r="B1739" s="2" t="s">
        <v>2617</v>
      </c>
      <c r="C1739" t="s">
        <v>2618</v>
      </c>
      <c r="D1739" s="1">
        <v>693</v>
      </c>
      <c r="E1739" t="s">
        <v>2619</v>
      </c>
      <c r="F1739" s="3" t="s">
        <v>2620</v>
      </c>
      <c r="G1739" s="1">
        <v>99</v>
      </c>
      <c r="H1739" t="s">
        <v>2621</v>
      </c>
      <c r="I1739" t="s">
        <v>2622</v>
      </c>
      <c r="J1739" s="1">
        <v>2</v>
      </c>
      <c r="K1739" s="1">
        <v>684.32989999999995</v>
      </c>
      <c r="L1739" s="1" t="str">
        <f>HYPERLINK("http://ms.phosphosite.org:5080/cgi-bin/plot-msms.cgi?MassType=1&amp;NumAxis=1&amp;Mod5=170&amp;Pep=GGPMRGGPGPGPGPY&amp;Dta=/var/www/html/dta/yong/23612.7337.2.dta&amp;Global_Mod=CS57.0215", "7337")</f>
        <v>7337</v>
      </c>
      <c r="M1739" s="1" t="str">
        <f>HYPERLINK("http://ms.phosphosite.org:5080/cgi-bin/plot-msms.cgi?MassType=1&amp;NumAxis=1&amp;Mod5=170&amp;Pep=GGPMRGGPGPGPGPY&amp;Dta=/var/www/html/dta/yong/23613.7383.2.dta&amp;Global_Mod=CS57.0215", "7383")</f>
        <v>7383</v>
      </c>
      <c r="N1739" s="27">
        <v>34.479999999999997</v>
      </c>
      <c r="O1739" s="27">
        <v>34.5</v>
      </c>
      <c r="P1739" s="27">
        <v>3.3319999999999999</v>
      </c>
      <c r="Q1739" s="27">
        <v>3.1640000000000001</v>
      </c>
      <c r="R1739" s="27">
        <v>0.6704</v>
      </c>
      <c r="S1739" s="27">
        <v>0.7419</v>
      </c>
      <c r="T1739" s="27">
        <v>0.52270000000000005</v>
      </c>
      <c r="U1739" s="27">
        <v>0.46829999999999999</v>
      </c>
      <c r="V1739" s="1">
        <v>1</v>
      </c>
      <c r="W1739" s="1">
        <v>1</v>
      </c>
      <c r="X1739" s="27">
        <v>3.01</v>
      </c>
      <c r="Y1739" s="27">
        <v>2.71</v>
      </c>
      <c r="Z1739" s="28">
        <v>1000</v>
      </c>
      <c r="AA1739" s="28">
        <v>1000</v>
      </c>
      <c r="AB1739" s="1" t="s">
        <v>13</v>
      </c>
    </row>
    <row r="1740" spans="1:28">
      <c r="A1740" t="s">
        <v>2623</v>
      </c>
      <c r="B1740" s="2" t="s">
        <v>2624</v>
      </c>
      <c r="C1740" t="s">
        <v>2625</v>
      </c>
      <c r="D1740" s="1">
        <v>836</v>
      </c>
      <c r="E1740" t="s">
        <v>2626</v>
      </c>
      <c r="F1740" s="3" t="s">
        <v>2627</v>
      </c>
      <c r="G1740" s="1">
        <v>178.9</v>
      </c>
      <c r="H1740" t="s">
        <v>2628</v>
      </c>
      <c r="I1740" t="s">
        <v>2629</v>
      </c>
      <c r="J1740" s="1">
        <v>3</v>
      </c>
      <c r="K1740" s="1">
        <v>860.12950000000001</v>
      </c>
      <c r="L1740" s="1" t="str">
        <f>HYPERLINK("http://ms.phosphosite.org:5080/cgi-bin/plot-msms.cgi?MassType=1&amp;NumAxis=1&amp;Mod2=147&amp;Mod25=170&amp;Pep=AMPVAPGPALYPAPAYTPELGLVPR&amp;Dta=/var/www/html/dta/yong/23612.17616.3.dta&amp;Global_Mod=CS57.0215", "17616")</f>
        <v>17616</v>
      </c>
      <c r="M1740" s="1" t="str">
        <f>HYPERLINK("http://ms.phosphosite.org:5080/cgi-bin/plot-msms.cgi?MassType=1&amp;NumAxis=1&amp;Mod2=147&amp;Mod25=170&amp;Pep=AMPVAPGPALYPAPAYTPELGLVPR&amp;Dta=/var/www/html/dta/yong/23613.17707.3.dta&amp;Global_Mod=CS57.0215", "17707")</f>
        <v>17707</v>
      </c>
      <c r="N1740" s="27">
        <v>72.48</v>
      </c>
      <c r="O1740" s="27">
        <v>72.430000000000007</v>
      </c>
      <c r="P1740" s="27">
        <v>4.6630000000000003</v>
      </c>
      <c r="Q1740" s="27">
        <v>4.6609999999999996</v>
      </c>
      <c r="R1740" s="27">
        <v>0.27479999999999999</v>
      </c>
      <c r="S1740" s="27">
        <v>1.3979999999999999</v>
      </c>
      <c r="T1740" s="27">
        <v>0.40789999999999998</v>
      </c>
      <c r="U1740" s="27">
        <v>0.3382</v>
      </c>
      <c r="V1740" s="1">
        <v>1</v>
      </c>
      <c r="W1740" s="1">
        <v>1</v>
      </c>
      <c r="X1740" s="27">
        <v>2.81</v>
      </c>
      <c r="Y1740" s="27">
        <v>2.42</v>
      </c>
      <c r="Z1740" s="28">
        <v>1000</v>
      </c>
      <c r="AA1740" s="28">
        <v>1000</v>
      </c>
      <c r="AB1740" s="1" t="s">
        <v>13</v>
      </c>
    </row>
    <row r="1741" spans="1:28">
      <c r="A1741" t="s">
        <v>2623</v>
      </c>
      <c r="B1741" s="2" t="s">
        <v>2624</v>
      </c>
      <c r="C1741" t="s">
        <v>2625</v>
      </c>
      <c r="D1741" s="1">
        <v>836</v>
      </c>
      <c r="E1741" t="s">
        <v>2626</v>
      </c>
      <c r="F1741" s="3" t="s">
        <v>2627</v>
      </c>
      <c r="G1741" s="1">
        <v>178.9</v>
      </c>
      <c r="H1741" t="s">
        <v>2628</v>
      </c>
      <c r="I1741" t="s">
        <v>2629</v>
      </c>
      <c r="J1741" s="1">
        <v>3</v>
      </c>
      <c r="K1741" s="1">
        <v>860.12950000000001</v>
      </c>
      <c r="L1741" s="1"/>
      <c r="M1741" s="1" t="str">
        <f>HYPERLINK("http://ms.phosphosite.org:5080/cgi-bin/plot-msms.cgi?MassType=1&amp;NumAxis=1&amp;Mod2=147&amp;Mod25=170&amp;Pep=AMPVAPGPALYPAPAYTPELGLVPR&amp;Dta=/var/www/html/dta/yong/23613.17714.3.dta&amp;Global_Mod=CS57.0215", "17714")</f>
        <v>17714</v>
      </c>
      <c r="N1741" s="27"/>
      <c r="O1741" s="27">
        <v>72.459999999999994</v>
      </c>
      <c r="P1741" s="27"/>
      <c r="Q1741" s="27">
        <v>4.859</v>
      </c>
      <c r="R1741" s="27"/>
      <c r="S1741" s="27">
        <v>1.3979999999999999</v>
      </c>
      <c r="T1741" s="27"/>
      <c r="U1741" s="27">
        <v>0.4279</v>
      </c>
      <c r="V1741" s="1"/>
      <c r="W1741" s="1">
        <v>1</v>
      </c>
      <c r="X1741" s="27"/>
      <c r="Y1741" s="27">
        <v>2.9</v>
      </c>
      <c r="Z1741" s="28"/>
      <c r="AA1741" s="28">
        <v>1000</v>
      </c>
      <c r="AB1741" s="1" t="s">
        <v>13</v>
      </c>
    </row>
    <row r="1742" spans="1:28">
      <c r="A1742" t="s">
        <v>873</v>
      </c>
      <c r="B1742" s="29" t="s">
        <v>2630</v>
      </c>
      <c r="C1742" s="26" t="s">
        <v>2631</v>
      </c>
      <c r="D1742" s="1">
        <v>362</v>
      </c>
      <c r="E1742" t="s">
        <v>2632</v>
      </c>
      <c r="F1742" s="3" t="s">
        <v>2633</v>
      </c>
      <c r="G1742" s="1">
        <v>77.5</v>
      </c>
      <c r="H1742" t="s">
        <v>2634</v>
      </c>
      <c r="I1742" t="s">
        <v>2635</v>
      </c>
      <c r="J1742" s="1">
        <v>4</v>
      </c>
      <c r="K1742" s="1">
        <v>585.23490000000004</v>
      </c>
      <c r="L1742" s="1"/>
      <c r="M1742" s="1" t="str">
        <f>HYPERLINK("http://ms.phosphosite.org:5080/cgi-bin/plot-msms.cgi?MassType=1&amp;NumAxis=1&amp;Mod17=170&amp;Mod22=147&amp;Pep=MGGMEGPFGGGMENMGRFGSGMN&amp;Dta=/var/www/html/dta/yong/23613.7736.4.dta&amp;Global_Mod=CS57.0215", "7736")</f>
        <v>7736</v>
      </c>
      <c r="N1742" s="27"/>
      <c r="O1742" s="27">
        <v>35.79</v>
      </c>
      <c r="P1742" s="27"/>
      <c r="Q1742" s="27">
        <v>2.3959999999999999</v>
      </c>
      <c r="R1742" s="27"/>
      <c r="S1742" s="27">
        <v>0.95469999999999999</v>
      </c>
      <c r="T1742" s="27"/>
      <c r="U1742" s="27">
        <v>0.1159</v>
      </c>
      <c r="V1742" s="1"/>
      <c r="W1742" s="1">
        <v>22</v>
      </c>
      <c r="X1742" s="27"/>
      <c r="Y1742" s="27">
        <v>0.74</v>
      </c>
      <c r="Z1742" s="28"/>
      <c r="AA1742" s="28">
        <v>1000</v>
      </c>
      <c r="AB1742" s="1" t="s">
        <v>13</v>
      </c>
    </row>
    <row r="1743" spans="1:28">
      <c r="A1743" t="s">
        <v>873</v>
      </c>
      <c r="B1743" s="29" t="s">
        <v>2630</v>
      </c>
      <c r="C1743" s="26" t="s">
        <v>2631</v>
      </c>
      <c r="D1743" s="1">
        <v>436</v>
      </c>
      <c r="E1743" t="s">
        <v>2632</v>
      </c>
      <c r="F1743" s="3" t="s">
        <v>2633</v>
      </c>
      <c r="G1743" s="1">
        <v>77.5</v>
      </c>
      <c r="H1743" t="s">
        <v>2636</v>
      </c>
      <c r="I1743" t="s">
        <v>2637</v>
      </c>
      <c r="J1743" s="1">
        <v>3</v>
      </c>
      <c r="K1743" s="1">
        <v>826.39459999999997</v>
      </c>
      <c r="L1743" s="1" t="str">
        <f>HYPERLINK("http://ms.phosphosite.org:5080/cgi-bin/plot-msms.cgi?MassType=1&amp;NumAxis=1&amp;Mod6=147&amp;Mod15=170&amp;Mod16=147&amp;Mod20=147&amp;Pep=GLGHGMDRVGSEIERMGLVMDR&amp;Dta=/var/www/html/dta/yong/23612.12453.3.dta&amp;Global_Mod=CS57.0215", "12453")</f>
        <v>12453</v>
      </c>
      <c r="M1743" s="1"/>
      <c r="N1743" s="27">
        <v>52.36</v>
      </c>
      <c r="O1743" s="27"/>
      <c r="P1743" s="27">
        <v>4.1609999999999996</v>
      </c>
      <c r="Q1743" s="27"/>
      <c r="R1743" s="27">
        <v>-17.245000000000001</v>
      </c>
      <c r="S1743" s="27"/>
      <c r="T1743" s="27">
        <v>0.29920000000000002</v>
      </c>
      <c r="U1743" s="27"/>
      <c r="V1743" s="1">
        <v>1</v>
      </c>
      <c r="W1743" s="1"/>
      <c r="X1743" s="27">
        <v>0.92</v>
      </c>
      <c r="Y1743" s="27"/>
      <c r="Z1743" s="28">
        <v>87</v>
      </c>
      <c r="AA1743" s="28"/>
      <c r="AB1743" s="1" t="s">
        <v>13</v>
      </c>
    </row>
    <row r="1744" spans="1:28">
      <c r="A1744" t="s">
        <v>873</v>
      </c>
      <c r="B1744" s="29" t="s">
        <v>2630</v>
      </c>
      <c r="C1744" s="26" t="s">
        <v>2631</v>
      </c>
      <c r="D1744" s="1">
        <v>403</v>
      </c>
      <c r="E1744" t="s">
        <v>2632</v>
      </c>
      <c r="F1744" s="3" t="s">
        <v>2633</v>
      </c>
      <c r="G1744" s="1">
        <v>77.5</v>
      </c>
      <c r="H1744" t="s">
        <v>2638</v>
      </c>
      <c r="I1744" t="s">
        <v>2639</v>
      </c>
      <c r="J1744" s="1">
        <v>3</v>
      </c>
      <c r="K1744" s="1">
        <v>827.42359999999996</v>
      </c>
      <c r="L1744" s="1" t="str">
        <f>HYPERLINK("http://ms.phosphosite.org:5080/cgi-bin/plot-msms.cgi?MassType=1&amp;NumAxis=1&amp;Mod21=170&amp;Pep=GEIIAKQGGGGGGGSVPGIERMGPGID&amp;Dta=/var/www/html/dta/yong/23612.15328.3.dta&amp;Global_Mod=CS57.0215", "15328")</f>
        <v>15328</v>
      </c>
      <c r="M1744" s="1"/>
      <c r="N1744" s="27">
        <v>62.87</v>
      </c>
      <c r="O1744" s="27"/>
      <c r="P1744" s="27">
        <v>2.4729999999999999</v>
      </c>
      <c r="Q1744" s="27"/>
      <c r="R1744" s="27">
        <v>0.54820000000000002</v>
      </c>
      <c r="S1744" s="27"/>
      <c r="T1744" s="27">
        <v>0.15890000000000001</v>
      </c>
      <c r="U1744" s="27"/>
      <c r="V1744" s="1">
        <v>5</v>
      </c>
      <c r="W1744" s="1"/>
      <c r="X1744" s="27">
        <v>0.75</v>
      </c>
      <c r="Y1744" s="27"/>
      <c r="Z1744" s="28">
        <v>1000</v>
      </c>
      <c r="AA1744" s="28"/>
      <c r="AB1744" s="1" t="s">
        <v>13</v>
      </c>
    </row>
    <row r="1745" spans="1:28">
      <c r="A1745" t="s">
        <v>580</v>
      </c>
      <c r="B1745" s="29" t="s">
        <v>2640</v>
      </c>
      <c r="C1745" s="26" t="s">
        <v>2640</v>
      </c>
      <c r="D1745" s="30" t="s">
        <v>2641</v>
      </c>
      <c r="E1745" t="s">
        <v>581</v>
      </c>
      <c r="F1745" s="3" t="s">
        <v>2642</v>
      </c>
      <c r="G1745" s="1">
        <v>65.2</v>
      </c>
      <c r="H1745" t="s">
        <v>2643</v>
      </c>
      <c r="I1745" t="s">
        <v>2644</v>
      </c>
      <c r="J1745" s="1">
        <v>3</v>
      </c>
      <c r="K1745" s="1">
        <v>1273.2841000000001</v>
      </c>
      <c r="L1745" s="1" t="str">
        <f>HYPERLINK("http://ms.phosphosite.org:5080/cgi-bin/plot-msms.cgi?MassType=1&amp;NumAxis=1&amp;Mod3=170&amp;Mod8=170&amp;Mod11=147&amp;Pep=YTRGTGGRGTMLQGEYTYSLGQVYDPTTTYLGAPV&amp;Dta=/var/www/html/dta/yong/23612.16286.3.dta&amp;Global_Mod=CS57.0215", "16286")</f>
        <v>16286</v>
      </c>
      <c r="M1745" s="1"/>
      <c r="N1745" s="27">
        <v>66.8</v>
      </c>
      <c r="O1745" s="27"/>
      <c r="P1745" s="27">
        <v>3.0670000000000002</v>
      </c>
      <c r="Q1745" s="27"/>
      <c r="R1745" s="27">
        <v>1.5867</v>
      </c>
      <c r="S1745" s="27"/>
      <c r="T1745" s="27">
        <v>0.2271</v>
      </c>
      <c r="U1745" s="27"/>
      <c r="V1745" s="1">
        <v>1</v>
      </c>
      <c r="W1745" s="1"/>
      <c r="X1745" s="27">
        <v>1.08</v>
      </c>
      <c r="Y1745" s="27"/>
      <c r="Z1745" s="28" t="s">
        <v>1306</v>
      </c>
      <c r="AA1745" s="28"/>
      <c r="AB1745" s="1" t="s">
        <v>13</v>
      </c>
    </row>
    <row r="1746" spans="1:28">
      <c r="A1746" t="s">
        <v>580</v>
      </c>
      <c r="B1746" s="29" t="s">
        <v>2640</v>
      </c>
      <c r="C1746" s="26" t="s">
        <v>2640</v>
      </c>
      <c r="D1746" s="1">
        <v>399</v>
      </c>
      <c r="E1746" t="s">
        <v>581</v>
      </c>
      <c r="F1746" s="3" t="s">
        <v>2642</v>
      </c>
      <c r="G1746" s="1">
        <v>65.2</v>
      </c>
      <c r="H1746" t="s">
        <v>584</v>
      </c>
      <c r="I1746" t="s">
        <v>2645</v>
      </c>
      <c r="J1746" s="1">
        <v>2</v>
      </c>
      <c r="K1746" s="1">
        <v>520.77980000000002</v>
      </c>
      <c r="L1746" s="1" t="str">
        <f>HYPERLINK("http://ms.phosphosite.org:5080/cgi-bin/plot-msms.cgi?MassType=1&amp;NumAxis=1&amp;Mod5=170&amp;Pep=GLGGRGYLAY&amp;Dta=/var/www/html/dta/yong/23612.10639.2.dta&amp;Global_Mod=CS57.0215", "10639")</f>
        <v>10639</v>
      </c>
      <c r="M1746" s="1" t="str">
        <f>HYPERLINK("http://ms.phosphosite.org:5080/cgi-bin/plot-msms.cgi?MassType=1&amp;NumAxis=1&amp;Mod5=170&amp;Pep=GLGGRGYLAY&amp;Dta=/var/www/html/dta/yong/23613.10733.2.dta&amp;Global_Mod=CS57.0215", "10733")</f>
        <v>10733</v>
      </c>
      <c r="N1746" s="27">
        <v>46.23</v>
      </c>
      <c r="O1746" s="27">
        <v>46.31</v>
      </c>
      <c r="P1746" s="27">
        <v>2.1869999999999998</v>
      </c>
      <c r="Q1746" s="27">
        <v>2.1800000000000002</v>
      </c>
      <c r="R1746" s="27">
        <v>-0.19889999999999999</v>
      </c>
      <c r="S1746" s="27">
        <v>-0.24010000000000001</v>
      </c>
      <c r="T1746" s="27">
        <v>0.20760000000000001</v>
      </c>
      <c r="U1746" s="27">
        <v>0.2074</v>
      </c>
      <c r="V1746" s="1">
        <v>1</v>
      </c>
      <c r="W1746" s="1">
        <v>1</v>
      </c>
      <c r="X1746" s="27">
        <v>1.26</v>
      </c>
      <c r="Y1746" s="27">
        <v>1.24</v>
      </c>
      <c r="Z1746" s="28">
        <v>1000</v>
      </c>
      <c r="AA1746" s="28">
        <v>1000</v>
      </c>
      <c r="AB1746" s="1" t="s">
        <v>13</v>
      </c>
    </row>
    <row r="1747" spans="1:28">
      <c r="A1747" t="s">
        <v>580</v>
      </c>
      <c r="B1747" s="29" t="s">
        <v>2640</v>
      </c>
      <c r="C1747" s="26" t="s">
        <v>2640</v>
      </c>
      <c r="D1747" s="1">
        <v>399</v>
      </c>
      <c r="E1747" t="s">
        <v>581</v>
      </c>
      <c r="F1747" s="3" t="s">
        <v>2642</v>
      </c>
      <c r="G1747" s="1">
        <v>65.2</v>
      </c>
      <c r="H1747" t="s">
        <v>584</v>
      </c>
      <c r="I1747" t="s">
        <v>2646</v>
      </c>
      <c r="J1747" s="1">
        <v>2</v>
      </c>
      <c r="K1747" s="1">
        <v>571.30370000000005</v>
      </c>
      <c r="L1747" s="1" t="str">
        <f>HYPERLINK("http://ms.phosphosite.org:5080/cgi-bin/plot-msms.cgi?MassType=1&amp;NumAxis=1&amp;Mod5=170&amp;Pep=GLGGRGYLAYT&amp;Dta=/var/www/html/dta/yong/23612.10854.2.dta&amp;Global_Mod=CS57.0215", "10854")</f>
        <v>10854</v>
      </c>
      <c r="M1747" s="1" t="str">
        <f>HYPERLINK("http://ms.phosphosite.org:5080/cgi-bin/plot-msms.cgi?MassType=1&amp;NumAxis=1&amp;Mod5=170&amp;Pep=GLGGRGYLAYT&amp;Dta=/var/www/html/dta/yong/23613.10929.2.dta&amp;Global_Mod=CS57.0215", "10929")</f>
        <v>10929</v>
      </c>
      <c r="N1747" s="27">
        <v>46.93</v>
      </c>
      <c r="O1747" s="27">
        <v>46.95</v>
      </c>
      <c r="P1747" s="27">
        <v>2.1549999999999998</v>
      </c>
      <c r="Q1747" s="27">
        <v>2.3580000000000001</v>
      </c>
      <c r="R1747" s="27">
        <v>0.29680000000000001</v>
      </c>
      <c r="S1747" s="27">
        <v>0.35870000000000002</v>
      </c>
      <c r="T1747" s="27">
        <v>0.34860000000000002</v>
      </c>
      <c r="U1747" s="27">
        <v>0.38059999999999999</v>
      </c>
      <c r="V1747" s="1">
        <v>1</v>
      </c>
      <c r="W1747" s="1">
        <v>1</v>
      </c>
      <c r="X1747" s="27">
        <v>1.96</v>
      </c>
      <c r="Y1747" s="27">
        <v>2.15</v>
      </c>
      <c r="Z1747" s="28">
        <v>1000</v>
      </c>
      <c r="AA1747" s="28">
        <v>1000</v>
      </c>
      <c r="AB1747" s="1" t="s">
        <v>13</v>
      </c>
    </row>
    <row r="1748" spans="1:28">
      <c r="A1748" t="s">
        <v>580</v>
      </c>
      <c r="B1748" s="2" t="s">
        <v>2647</v>
      </c>
      <c r="C1748" t="s">
        <v>2648</v>
      </c>
      <c r="D1748" s="1">
        <v>52</v>
      </c>
      <c r="E1748" t="s">
        <v>2649</v>
      </c>
      <c r="F1748" s="3" t="s">
        <v>2650</v>
      </c>
      <c r="G1748" s="1">
        <v>76.2</v>
      </c>
      <c r="H1748" t="s">
        <v>2651</v>
      </c>
      <c r="I1748" t="s">
        <v>2652</v>
      </c>
      <c r="J1748" s="1">
        <v>2</v>
      </c>
      <c r="K1748" s="1">
        <v>897.39520000000005</v>
      </c>
      <c r="L1748" s="1"/>
      <c r="M1748" s="1" t="str">
        <f>HYPERLINK("http://ms.phosphosite.org:5080/cgi-bin/plot-msms.cgi?MassType=1&amp;NumAxis=1&amp;Mod21=170&amp;Pep=GGGSCSGSAGGGGSGSLPSQR&amp;Dta=/var/www/html/dta/yong/23613.3588.2.dta&amp;Global_Mod=CS57.0215", "3588")</f>
        <v>3588</v>
      </c>
      <c r="N1748" s="27"/>
      <c r="O1748" s="27">
        <v>20.21</v>
      </c>
      <c r="P1748" s="27"/>
      <c r="Q1748" s="27">
        <v>2.75</v>
      </c>
      <c r="R1748" s="27"/>
      <c r="S1748" s="27">
        <v>0.55489999999999995</v>
      </c>
      <c r="T1748" s="27"/>
      <c r="U1748" s="27">
        <v>0.3821</v>
      </c>
      <c r="V1748" s="1"/>
      <c r="W1748" s="1">
        <v>1</v>
      </c>
      <c r="X1748" s="27"/>
      <c r="Y1748" s="27">
        <v>2.2799999999999998</v>
      </c>
      <c r="Z1748" s="28"/>
      <c r="AA1748" s="28">
        <v>1000</v>
      </c>
      <c r="AB1748" s="1" t="s">
        <v>13</v>
      </c>
    </row>
    <row r="1749" spans="1:28">
      <c r="A1749" t="s">
        <v>580</v>
      </c>
      <c r="B1749" s="29" t="s">
        <v>2653</v>
      </c>
      <c r="C1749" s="26" t="s">
        <v>2653</v>
      </c>
      <c r="D1749" s="1">
        <v>468</v>
      </c>
      <c r="E1749" t="s">
        <v>2654</v>
      </c>
      <c r="F1749" s="3" t="s">
        <v>2655</v>
      </c>
      <c r="G1749" s="1">
        <v>60.9</v>
      </c>
      <c r="H1749" t="s">
        <v>2656</v>
      </c>
      <c r="I1749" t="s">
        <v>2657</v>
      </c>
      <c r="J1749" s="1">
        <v>3</v>
      </c>
      <c r="K1749" s="1">
        <v>840.08960000000002</v>
      </c>
      <c r="L1749" s="1"/>
      <c r="M1749" s="1" t="str">
        <f>HYPERLINK("http://ms.phosphosite.org:5080/cgi-bin/plot-msms.cgi?MassType=1&amp;NumAxis=1&amp;Mod2=147&amp;Mod5=170&amp;Mod12=170&amp;Mod19=147&amp;Pep=GMDTRGPVPGPRGPIPSGMQGPSPI&amp;Dta=/var/www/html/dta/yong/23613.10010.3.dta&amp;Global_Mod=CS57.0215", "10010")</f>
        <v>10010</v>
      </c>
      <c r="N1749" s="27"/>
      <c r="O1749" s="27">
        <v>43.82</v>
      </c>
      <c r="P1749" s="27"/>
      <c r="Q1749" s="27">
        <v>2.4590000000000001</v>
      </c>
      <c r="R1749" s="27"/>
      <c r="S1749" s="27">
        <v>0.83379999999999999</v>
      </c>
      <c r="T1749" s="27"/>
      <c r="U1749" s="27">
        <v>0.1875</v>
      </c>
      <c r="V1749" s="1"/>
      <c r="W1749" s="1">
        <v>95</v>
      </c>
      <c r="X1749" s="27"/>
      <c r="Y1749" s="27">
        <v>0.84</v>
      </c>
      <c r="Z1749" s="28"/>
      <c r="AA1749" s="28" t="s">
        <v>1306</v>
      </c>
      <c r="AB1749" s="1" t="s">
        <v>13</v>
      </c>
    </row>
    <row r="1750" spans="1:28">
      <c r="A1750" t="s">
        <v>580</v>
      </c>
      <c r="B1750" s="2" t="s">
        <v>2658</v>
      </c>
      <c r="C1750" t="s">
        <v>2659</v>
      </c>
      <c r="D1750" s="1">
        <v>393</v>
      </c>
      <c r="E1750" t="s">
        <v>2660</v>
      </c>
      <c r="F1750" s="3" t="s">
        <v>2661</v>
      </c>
      <c r="G1750" s="1">
        <v>43.4</v>
      </c>
      <c r="H1750" t="s">
        <v>2662</v>
      </c>
      <c r="I1750" t="s">
        <v>2663</v>
      </c>
      <c r="J1750" s="1">
        <v>3</v>
      </c>
      <c r="K1750" s="1">
        <v>594.29610000000002</v>
      </c>
      <c r="L1750" s="1" t="str">
        <f>HYPERLINK("http://ms.phosphosite.org:5080/cgi-bin/plot-msms.cgi?MassType=1&amp;NumAxis=1&amp;Mod2=170&amp;Pep=GRGQNHNVQGFHPYR&amp;Dta=/var/www/html/dta/yong/23612.3610.3.dta&amp;Global_Mod=CS57.0215", "3610")</f>
        <v>3610</v>
      </c>
      <c r="M1750" s="1" t="str">
        <f>HYPERLINK("http://ms.phosphosite.org:5080/cgi-bin/plot-msms.cgi?MassType=1&amp;NumAxis=1&amp;Mod2=170&amp;Pep=GRGQNHNVQGFHPYR&amp;Dta=/var/www/html/dta/yong/23613.3653.3.dta&amp;Global_Mod=CS57.0215", "3653")</f>
        <v>3653</v>
      </c>
      <c r="N1750" s="27">
        <v>20.48</v>
      </c>
      <c r="O1750" s="27">
        <v>20.46</v>
      </c>
      <c r="P1750" s="27">
        <v>3.4950000000000001</v>
      </c>
      <c r="Q1750" s="27">
        <v>3.64</v>
      </c>
      <c r="R1750" s="27">
        <v>1.0621</v>
      </c>
      <c r="S1750" s="27">
        <v>0.46250000000000002</v>
      </c>
      <c r="T1750" s="27">
        <v>0.25719999999999998</v>
      </c>
      <c r="U1750" s="27">
        <v>0.20780000000000001</v>
      </c>
      <c r="V1750" s="1">
        <v>1</v>
      </c>
      <c r="W1750" s="1">
        <v>1</v>
      </c>
      <c r="X1750" s="27">
        <v>2.0699999999999998</v>
      </c>
      <c r="Y1750" s="27">
        <v>1.89</v>
      </c>
      <c r="Z1750" s="28">
        <v>1000</v>
      </c>
      <c r="AA1750" s="28">
        <v>1000</v>
      </c>
      <c r="AB1750" s="1" t="s">
        <v>13</v>
      </c>
    </row>
    <row r="1751" spans="1:28">
      <c r="A1751" t="s">
        <v>580</v>
      </c>
      <c r="B1751" s="29" t="s">
        <v>2664</v>
      </c>
      <c r="C1751" s="26" t="s">
        <v>2665</v>
      </c>
      <c r="D1751" s="1">
        <v>253</v>
      </c>
      <c r="E1751" t="s">
        <v>2660</v>
      </c>
      <c r="F1751" s="3" t="s">
        <v>2661</v>
      </c>
      <c r="G1751" s="1">
        <v>43.4</v>
      </c>
      <c r="H1751" t="s">
        <v>2666</v>
      </c>
      <c r="I1751" t="s">
        <v>2667</v>
      </c>
      <c r="J1751" s="1">
        <v>4</v>
      </c>
      <c r="K1751" s="1">
        <v>1015.9880000000001</v>
      </c>
      <c r="L1751" s="1" t="str">
        <f>HYPERLINK("http://ms.phosphosite.org:5080/cgi-bin/plot-msms.cgi?MassType=1&amp;NumAxis=1&amp;Mod22=147&amp;Mod40=170&amp;Pep=AANGWAGQPPPTWQQGYGPQGMWVPAGQAIGGYGPPPAGR&amp;Dta=/var/www/html/dta/yong/23612.16436.4.dta&amp;Global_Mod=CS57.0215", "16436")</f>
        <v>16436</v>
      </c>
      <c r="M1751" s="1" t="str">
        <f>HYPERLINK("http://ms.phosphosite.org:5080/cgi-bin/plot-msms.cgi?MassType=1&amp;NumAxis=1&amp;Mod22=147&amp;Mod40=170&amp;Pep=AANGWAGQPPPTWQQGYGPQGMWVPAGQAIGGYGPPPAGR&amp;Dta=/var/www/html/dta/yong/23613.16570.4.dta&amp;Global_Mod=CS57.0215", "16570")</f>
        <v>16570</v>
      </c>
      <c r="N1751" s="27">
        <v>67.41</v>
      </c>
      <c r="O1751" s="27">
        <v>67.599999999999994</v>
      </c>
      <c r="P1751" s="27">
        <v>3.8260000000000001</v>
      </c>
      <c r="Q1751" s="27">
        <v>4.2960000000000003</v>
      </c>
      <c r="R1751" s="27">
        <v>1.2923</v>
      </c>
      <c r="S1751" s="27">
        <v>2.4443000000000001</v>
      </c>
      <c r="T1751" s="27">
        <v>0.19889999999999999</v>
      </c>
      <c r="U1751" s="27">
        <v>0.19409999999999999</v>
      </c>
      <c r="V1751" s="1">
        <v>15</v>
      </c>
      <c r="W1751" s="1">
        <v>1</v>
      </c>
      <c r="X1751" s="27">
        <v>1.8</v>
      </c>
      <c r="Y1751" s="27">
        <v>1.77</v>
      </c>
      <c r="Z1751" s="28">
        <v>1000</v>
      </c>
      <c r="AA1751" s="28">
        <v>1000</v>
      </c>
      <c r="AB1751" s="1" t="s">
        <v>13</v>
      </c>
    </row>
    <row r="1752" spans="1:28">
      <c r="A1752" t="s">
        <v>580</v>
      </c>
      <c r="B1752" s="29" t="s">
        <v>2664</v>
      </c>
      <c r="C1752" s="26" t="s">
        <v>2665</v>
      </c>
      <c r="D1752" s="1">
        <v>253</v>
      </c>
      <c r="E1752" t="s">
        <v>2660</v>
      </c>
      <c r="F1752" s="3" t="s">
        <v>2661</v>
      </c>
      <c r="G1752" s="1">
        <v>43.4</v>
      </c>
      <c r="H1752" t="s">
        <v>2666</v>
      </c>
      <c r="I1752" t="s">
        <v>2668</v>
      </c>
      <c r="J1752" s="1">
        <v>2</v>
      </c>
      <c r="K1752" s="1">
        <v>563.80380000000002</v>
      </c>
      <c r="L1752" s="1" t="str">
        <f>HYPERLINK("http://ms.phosphosite.org:5080/cgi-bin/plot-msms.cgi?MassType=1&amp;NumAxis=1&amp;Mod12=170&amp;Pep=AIGGYGPPPAGR&amp;Dta=/var/www/html/dta/yong/23612.6785.2.dta&amp;Global_Mod=CS57.0215", "6785")</f>
        <v>6785</v>
      </c>
      <c r="M1752" s="1" t="str">
        <f>HYPERLINK("http://ms.phosphosite.org:5080/cgi-bin/plot-msms.cgi?MassType=1&amp;NumAxis=1&amp;Mod12=170&amp;Pep=AIGGYGPPPAGR&amp;Dta=/var/www/html/dta/yong/23613.6614.2.dta&amp;Global_Mod=CS57.0215", "6614")</f>
        <v>6614</v>
      </c>
      <c r="N1752" s="27">
        <v>32.5</v>
      </c>
      <c r="O1752" s="27">
        <v>31.64</v>
      </c>
      <c r="P1752" s="27">
        <v>2.7029999999999998</v>
      </c>
      <c r="Q1752" s="27">
        <v>3.024</v>
      </c>
      <c r="R1752" s="27">
        <v>0.32679999999999998</v>
      </c>
      <c r="S1752" s="27">
        <v>6.4899999999999999E-2</v>
      </c>
      <c r="T1752" s="27">
        <v>0.31040000000000001</v>
      </c>
      <c r="U1752" s="27">
        <v>0.44059999999999999</v>
      </c>
      <c r="V1752" s="1">
        <v>5</v>
      </c>
      <c r="W1752" s="1">
        <v>1</v>
      </c>
      <c r="X1752" s="27">
        <v>2.38</v>
      </c>
      <c r="Y1752" s="27">
        <v>3.08</v>
      </c>
      <c r="Z1752" s="28">
        <v>1000</v>
      </c>
      <c r="AA1752" s="28">
        <v>1000</v>
      </c>
      <c r="AB1752" s="1" t="s">
        <v>13</v>
      </c>
    </row>
    <row r="1753" spans="1:28">
      <c r="A1753" t="s">
        <v>580</v>
      </c>
      <c r="B1753" s="29" t="s">
        <v>2664</v>
      </c>
      <c r="C1753" s="26" t="s">
        <v>2665</v>
      </c>
      <c r="D1753" s="1">
        <v>253</v>
      </c>
      <c r="E1753" t="s">
        <v>2660</v>
      </c>
      <c r="F1753" s="3" t="s">
        <v>2661</v>
      </c>
      <c r="G1753" s="1">
        <v>43.4</v>
      </c>
      <c r="H1753" t="s">
        <v>2666</v>
      </c>
      <c r="I1753" t="s">
        <v>2668</v>
      </c>
      <c r="J1753" s="1">
        <v>2</v>
      </c>
      <c r="K1753" s="1">
        <v>563.80380000000002</v>
      </c>
      <c r="L1753" s="1" t="str">
        <f>HYPERLINK("http://ms.phosphosite.org:5080/cgi-bin/plot-msms.cgi?MassType=1&amp;NumAxis=1&amp;Mod12=170&amp;Pep=AIGGYGPPPAGR&amp;Dta=/var/www/html/dta/yong/23612.6568.2.dta&amp;Global_Mod=CS57.0215", "6568")</f>
        <v>6568</v>
      </c>
      <c r="M1753" s="1" t="str">
        <f>HYPERLINK("http://ms.phosphosite.org:5080/cgi-bin/plot-msms.cgi?MassType=1&amp;NumAxis=1&amp;Mod12=170&amp;Pep=AIGGYGPPPAGR&amp;Dta=/var/www/html/dta/yong/23613.6784.2.dta&amp;Global_Mod=CS57.0215", "6784")</f>
        <v>6784</v>
      </c>
      <c r="N1753" s="27">
        <v>31.66</v>
      </c>
      <c r="O1753" s="27">
        <v>32.33</v>
      </c>
      <c r="P1753" s="27">
        <v>2.9209999999999998</v>
      </c>
      <c r="Q1753" s="27">
        <v>3.0230000000000001</v>
      </c>
      <c r="R1753" s="27">
        <v>7.3499999999999996E-2</v>
      </c>
      <c r="S1753" s="27">
        <v>0.12640000000000001</v>
      </c>
      <c r="T1753" s="27">
        <v>0.42009999999999997</v>
      </c>
      <c r="U1753" s="27">
        <v>0.35670000000000002</v>
      </c>
      <c r="V1753" s="1">
        <v>1</v>
      </c>
      <c r="W1753" s="1">
        <v>1</v>
      </c>
      <c r="X1753" s="27">
        <v>2.95</v>
      </c>
      <c r="Y1753" s="27">
        <v>2.67</v>
      </c>
      <c r="Z1753" s="28">
        <v>1000</v>
      </c>
      <c r="AA1753" s="28">
        <v>1000</v>
      </c>
      <c r="AB1753" s="1" t="s">
        <v>13</v>
      </c>
    </row>
    <row r="1754" spans="1:28">
      <c r="A1754" t="s">
        <v>580</v>
      </c>
      <c r="B1754" s="29" t="s">
        <v>2664</v>
      </c>
      <c r="C1754" s="26" t="s">
        <v>2665</v>
      </c>
      <c r="D1754" s="1">
        <v>253</v>
      </c>
      <c r="E1754" t="s">
        <v>2660</v>
      </c>
      <c r="F1754" s="3" t="s">
        <v>2661</v>
      </c>
      <c r="G1754" s="1">
        <v>43.4</v>
      </c>
      <c r="H1754" t="s">
        <v>2666</v>
      </c>
      <c r="I1754" t="s">
        <v>2669</v>
      </c>
      <c r="J1754" s="1">
        <v>2</v>
      </c>
      <c r="K1754" s="1">
        <v>471.7432</v>
      </c>
      <c r="L1754" s="1" t="str">
        <f>HYPERLINK("http://ms.phosphosite.org:5080/cgi-bin/plot-msms.cgi?MassType=1&amp;NumAxis=1&amp;Mod10=170&amp;Pep=GGYGPPPAGR&amp;Dta=/var/www/html/dta/yong/23612.4105.2.dta&amp;Global_Mod=CS57.0215", "4105")</f>
        <v>4105</v>
      </c>
      <c r="M1754" s="1" t="str">
        <f>HYPERLINK("http://ms.phosphosite.org:5080/cgi-bin/plot-msms.cgi?MassType=1&amp;NumAxis=1&amp;Mod10=170&amp;Pep=GGYGPPPAGR&amp;Dta=/var/www/html/dta/yong/23613.4157.2.dta&amp;Global_Mod=CS57.0215", "4157")</f>
        <v>4157</v>
      </c>
      <c r="N1754" s="27">
        <v>22.38</v>
      </c>
      <c r="O1754" s="27">
        <v>22.38</v>
      </c>
      <c r="P1754" s="27">
        <v>2.0179999999999998</v>
      </c>
      <c r="Q1754" s="27">
        <v>1.704</v>
      </c>
      <c r="R1754" s="27">
        <v>-0.16009999999999999</v>
      </c>
      <c r="S1754" s="27">
        <v>-0.184</v>
      </c>
      <c r="T1754" s="27">
        <v>0.2472</v>
      </c>
      <c r="U1754" s="27">
        <v>1.1599999999999999E-2</v>
      </c>
      <c r="V1754" s="1">
        <v>7</v>
      </c>
      <c r="W1754" s="1">
        <v>13</v>
      </c>
      <c r="X1754" s="27">
        <v>1.93</v>
      </c>
      <c r="Y1754" s="27">
        <v>0.7</v>
      </c>
      <c r="Z1754" s="28">
        <v>1000</v>
      </c>
      <c r="AA1754" s="28">
        <v>1000</v>
      </c>
      <c r="AB1754" s="1" t="s">
        <v>13</v>
      </c>
    </row>
    <row r="1755" spans="1:28">
      <c r="A1755" t="s">
        <v>580</v>
      </c>
      <c r="B1755" s="29" t="s">
        <v>2664</v>
      </c>
      <c r="C1755" s="26" t="s">
        <v>2665</v>
      </c>
      <c r="D1755" s="1">
        <v>253</v>
      </c>
      <c r="E1755" t="s">
        <v>2660</v>
      </c>
      <c r="F1755" s="3" t="s">
        <v>2661</v>
      </c>
      <c r="G1755" s="1">
        <v>43.4</v>
      </c>
      <c r="H1755" t="s">
        <v>2666</v>
      </c>
      <c r="I1755" t="s">
        <v>2669</v>
      </c>
      <c r="J1755" s="1">
        <v>2</v>
      </c>
      <c r="K1755" s="1">
        <v>471.7432</v>
      </c>
      <c r="L1755" s="1" t="str">
        <f>HYPERLINK("http://ms.phosphosite.org:5080/cgi-bin/plot-msms.cgi?MassType=1&amp;NumAxis=1&amp;Mod10=170&amp;Pep=GGYGPPPAGR&amp;Dta=/var/www/html/dta/yong/23612.3927.2.dta&amp;Global_Mod=CS57.0215", "3927")</f>
        <v>3927</v>
      </c>
      <c r="M1755" s="1" t="str">
        <f>HYPERLINK("http://ms.phosphosite.org:5080/cgi-bin/plot-msms.cgi?MassType=1&amp;NumAxis=1&amp;Mod10=170&amp;Pep=GGYGPPPAGR&amp;Dta=/var/www/html/dta/yong/23613.3967.2.dta&amp;Global_Mod=CS57.0215", "3967")</f>
        <v>3967</v>
      </c>
      <c r="N1755" s="27">
        <v>21.73</v>
      </c>
      <c r="O1755" s="27">
        <v>21.67</v>
      </c>
      <c r="P1755" s="27">
        <v>1.86</v>
      </c>
      <c r="Q1755" s="27">
        <v>2.125</v>
      </c>
      <c r="R1755" s="27">
        <v>-8.14E-2</v>
      </c>
      <c r="S1755" s="27">
        <v>-0.1166</v>
      </c>
      <c r="T1755" s="27">
        <v>0.27479999999999999</v>
      </c>
      <c r="U1755" s="27">
        <v>0.26600000000000001</v>
      </c>
      <c r="V1755" s="1">
        <v>51</v>
      </c>
      <c r="W1755" s="1">
        <v>14</v>
      </c>
      <c r="X1755" s="27">
        <v>2.0099999999999998</v>
      </c>
      <c r="Y1755" s="27">
        <v>2.04</v>
      </c>
      <c r="Z1755" s="28">
        <v>1000</v>
      </c>
      <c r="AA1755" s="28">
        <v>1000</v>
      </c>
      <c r="AB1755" s="1" t="s">
        <v>13</v>
      </c>
    </row>
    <row r="1756" spans="1:28">
      <c r="A1756" t="s">
        <v>580</v>
      </c>
      <c r="B1756" s="29" t="s">
        <v>2664</v>
      </c>
      <c r="C1756" s="26" t="s">
        <v>2665</v>
      </c>
      <c r="D1756" s="1">
        <v>253</v>
      </c>
      <c r="E1756" t="s">
        <v>2660</v>
      </c>
      <c r="F1756" s="3" t="s">
        <v>2661</v>
      </c>
      <c r="G1756" s="1">
        <v>43.4</v>
      </c>
      <c r="H1756" t="s">
        <v>2666</v>
      </c>
      <c r="I1756" t="s">
        <v>2670</v>
      </c>
      <c r="J1756" s="1">
        <v>2</v>
      </c>
      <c r="K1756" s="1">
        <v>656.34379999999999</v>
      </c>
      <c r="L1756" s="1" t="str">
        <f>HYPERLINK("http://ms.phosphosite.org:5080/cgi-bin/plot-msms.cgi?MassType=1&amp;NumAxis=1&amp;Mod14=170&amp;Pep=GQAIGGYGPPPAGR&amp;Dta=/var/www/html/dta/yong/23612.6899.2.dta&amp;Global_Mod=CS57.0215", "6899")</f>
        <v>6899</v>
      </c>
      <c r="M1756" s="1" t="str">
        <f>HYPERLINK("http://ms.phosphosite.org:5080/cgi-bin/plot-msms.cgi?MassType=1&amp;NumAxis=1&amp;Mod14=170&amp;Pep=GQAIGGYGPPPAGR&amp;Dta=/var/www/html/dta/yong/23613.6949.2.dta&amp;Global_Mod=CS57.0215", "6949")</f>
        <v>6949</v>
      </c>
      <c r="N1756" s="27">
        <v>32.92</v>
      </c>
      <c r="O1756" s="27">
        <v>32.92</v>
      </c>
      <c r="P1756" s="27">
        <v>3.4249999999999998</v>
      </c>
      <c r="Q1756" s="27">
        <v>3.153</v>
      </c>
      <c r="R1756" s="27">
        <v>0.75949999999999995</v>
      </c>
      <c r="S1756" s="27">
        <v>1.2134</v>
      </c>
      <c r="T1756" s="27">
        <v>0.43909999999999999</v>
      </c>
      <c r="U1756" s="27">
        <v>0.4778</v>
      </c>
      <c r="V1756" s="1">
        <v>1</v>
      </c>
      <c r="W1756" s="1">
        <v>1</v>
      </c>
      <c r="X1756" s="27">
        <v>3.12</v>
      </c>
      <c r="Y1756" s="27">
        <v>3.24</v>
      </c>
      <c r="Z1756" s="28">
        <v>1000</v>
      </c>
      <c r="AA1756" s="28">
        <v>1000</v>
      </c>
      <c r="AB1756" s="1" t="s">
        <v>13</v>
      </c>
    </row>
    <row r="1757" spans="1:28">
      <c r="A1757" t="s">
        <v>580</v>
      </c>
      <c r="B1757" s="29" t="s">
        <v>2664</v>
      </c>
      <c r="C1757" s="26" t="s">
        <v>2665</v>
      </c>
      <c r="D1757" s="1">
        <v>253</v>
      </c>
      <c r="E1757" t="s">
        <v>2660</v>
      </c>
      <c r="F1757" s="3" t="s">
        <v>2661</v>
      </c>
      <c r="G1757" s="1">
        <v>43.4</v>
      </c>
      <c r="H1757" t="s">
        <v>2666</v>
      </c>
      <c r="I1757" t="s">
        <v>2671</v>
      </c>
      <c r="J1757" s="1">
        <v>2</v>
      </c>
      <c r="K1757" s="1">
        <v>528.28530000000001</v>
      </c>
      <c r="L1757" s="1" t="str">
        <f>HYPERLINK("http://ms.phosphosite.org:5080/cgi-bin/plot-msms.cgi?MassType=1&amp;NumAxis=1&amp;Mod11=170&amp;Pep=IGGYGPPPAGR&amp;Dta=/var/www/html/dta/yong/23612.6034.2.dta&amp;Global_Mod=CS57.0215", "6034")</f>
        <v>6034</v>
      </c>
      <c r="M1757" s="1" t="str">
        <f>HYPERLINK("http://ms.phosphosite.org:5080/cgi-bin/plot-msms.cgi?MassType=1&amp;NumAxis=1&amp;Mod11=170&amp;Pep=IGGYGPPPAGR&amp;Dta=/var/www/html/dta/yong/23613.6002.2.dta&amp;Global_Mod=CS57.0215", "6002")</f>
        <v>6002</v>
      </c>
      <c r="N1757" s="27">
        <v>29.71</v>
      </c>
      <c r="O1757" s="27">
        <v>29.4</v>
      </c>
      <c r="P1757" s="27">
        <v>2.4630000000000001</v>
      </c>
      <c r="Q1757" s="27">
        <v>2.6219999999999999</v>
      </c>
      <c r="R1757" s="27">
        <v>0.80500000000000005</v>
      </c>
      <c r="S1757" s="27">
        <v>0.55700000000000005</v>
      </c>
      <c r="T1757" s="27">
        <v>0.36470000000000002</v>
      </c>
      <c r="U1757" s="27">
        <v>0.36730000000000002</v>
      </c>
      <c r="V1757" s="1">
        <v>1</v>
      </c>
      <c r="W1757" s="1">
        <v>1</v>
      </c>
      <c r="X1757" s="27">
        <v>2.6</v>
      </c>
      <c r="Y1757" s="27">
        <v>2.66</v>
      </c>
      <c r="Z1757" s="28">
        <v>1000</v>
      </c>
      <c r="AA1757" s="28">
        <v>1000</v>
      </c>
      <c r="AB1757" s="1" t="s">
        <v>13</v>
      </c>
    </row>
    <row r="1758" spans="1:28">
      <c r="A1758" t="s">
        <v>580</v>
      </c>
      <c r="B1758" s="29" t="s">
        <v>2664</v>
      </c>
      <c r="C1758" s="26" t="s">
        <v>2665</v>
      </c>
      <c r="D1758" s="1">
        <v>253</v>
      </c>
      <c r="E1758" t="s">
        <v>2660</v>
      </c>
      <c r="F1758" s="3" t="s">
        <v>2661</v>
      </c>
      <c r="G1758" s="1">
        <v>43.4</v>
      </c>
      <c r="H1758" t="s">
        <v>2666</v>
      </c>
      <c r="I1758" t="s">
        <v>2671</v>
      </c>
      <c r="J1758" s="1">
        <v>2</v>
      </c>
      <c r="K1758" s="1">
        <v>528.28530000000001</v>
      </c>
      <c r="L1758" s="1" t="str">
        <f>HYPERLINK("http://ms.phosphosite.org:5080/cgi-bin/plot-msms.cgi?MassType=1&amp;NumAxis=1&amp;Mod11=170&amp;Pep=IGGYGPPPAGR&amp;Dta=/var/www/html/dta/yong/23612.5953.2.dta&amp;Global_Mod=CS57.0215", "5953")</f>
        <v>5953</v>
      </c>
      <c r="M1758" s="1" t="str">
        <f>HYPERLINK("http://ms.phosphosite.org:5080/cgi-bin/plot-msms.cgi?MassType=1&amp;NumAxis=1&amp;Mod11=170&amp;Pep=IGGYGPPPAGR&amp;Dta=/var/www/html/dta/yong/23613.5986.2.dta&amp;Global_Mod=CS57.0215", "5986")</f>
        <v>5986</v>
      </c>
      <c r="N1758" s="27">
        <v>29.39</v>
      </c>
      <c r="O1758" s="27">
        <v>29.34</v>
      </c>
      <c r="P1758" s="27">
        <v>2.5259999999999998</v>
      </c>
      <c r="Q1758" s="27">
        <v>2.411</v>
      </c>
      <c r="R1758" s="27">
        <v>0.74239999999999995</v>
      </c>
      <c r="S1758" s="27">
        <v>0.44159999999999999</v>
      </c>
      <c r="T1758" s="27">
        <v>0.38690000000000002</v>
      </c>
      <c r="U1758" s="27">
        <v>0.41660000000000003</v>
      </c>
      <c r="V1758" s="1">
        <v>1</v>
      </c>
      <c r="W1758" s="1">
        <v>1</v>
      </c>
      <c r="X1758" s="27">
        <v>2.72</v>
      </c>
      <c r="Y1758" s="27">
        <v>2.86</v>
      </c>
      <c r="Z1758" s="28">
        <v>1000</v>
      </c>
      <c r="AA1758" s="28">
        <v>1000</v>
      </c>
      <c r="AB1758" s="1" t="s">
        <v>13</v>
      </c>
    </row>
    <row r="1759" spans="1:28">
      <c r="A1759" t="s">
        <v>580</v>
      </c>
      <c r="B1759" s="29" t="s">
        <v>2664</v>
      </c>
      <c r="C1759" s="26" t="s">
        <v>2665</v>
      </c>
      <c r="D1759" s="1">
        <v>253</v>
      </c>
      <c r="E1759" t="s">
        <v>2660</v>
      </c>
      <c r="F1759" s="3" t="s">
        <v>2661</v>
      </c>
      <c r="G1759" s="1">
        <v>43.4</v>
      </c>
      <c r="H1759" t="s">
        <v>2666</v>
      </c>
      <c r="I1759" t="s">
        <v>2672</v>
      </c>
      <c r="J1759" s="1">
        <v>4</v>
      </c>
      <c r="K1759" s="1">
        <v>1118.2961</v>
      </c>
      <c r="L1759" s="1"/>
      <c r="M1759" s="1" t="str">
        <f>HYPERLINK("http://ms.phosphosite.org:5080/cgi-bin/plot-msms.cgi?MassType=1&amp;NumAxis=1&amp;Mod26=147&amp;Mod44=170&amp;Pep=VVPNAANGWAGQPPPTWQQGYGPQGMWVPAGQAIGGYGPPPAGR&amp;Dta=/var/www/html/dta/yong/23613.16922.4.dta&amp;Global_Mod=CS57.0215", "16922")</f>
        <v>16922</v>
      </c>
      <c r="N1759" s="27"/>
      <c r="O1759" s="27">
        <v>69.099999999999994</v>
      </c>
      <c r="P1759" s="27"/>
      <c r="Q1759" s="27">
        <v>3.55</v>
      </c>
      <c r="R1759" s="27"/>
      <c r="S1759" s="27">
        <v>1.2743</v>
      </c>
      <c r="T1759" s="27"/>
      <c r="U1759" s="27">
        <v>0.13320000000000001</v>
      </c>
      <c r="V1759" s="1"/>
      <c r="W1759" s="1">
        <v>2</v>
      </c>
      <c r="X1759" s="27"/>
      <c r="Y1759" s="27">
        <v>1.33</v>
      </c>
      <c r="Z1759" s="28"/>
      <c r="AA1759" s="28">
        <v>1000</v>
      </c>
      <c r="AB1759" s="1" t="s">
        <v>13</v>
      </c>
    </row>
    <row r="1760" spans="1:28">
      <c r="A1760" t="s">
        <v>580</v>
      </c>
      <c r="B1760" s="29" t="s">
        <v>2664</v>
      </c>
      <c r="C1760" s="26" t="s">
        <v>2665</v>
      </c>
      <c r="D1760" s="1">
        <v>253</v>
      </c>
      <c r="E1760" t="s">
        <v>2660</v>
      </c>
      <c r="F1760" s="3" t="s">
        <v>2661</v>
      </c>
      <c r="G1760" s="1">
        <v>43.4</v>
      </c>
      <c r="H1760" t="s">
        <v>2666</v>
      </c>
      <c r="I1760" t="s">
        <v>2673</v>
      </c>
      <c r="J1760" s="1">
        <v>2</v>
      </c>
      <c r="K1760" s="1">
        <v>882.96259999999995</v>
      </c>
      <c r="L1760" s="1" t="str">
        <f>HYPERLINK("http://ms.phosphosite.org:5080/cgi-bin/plot-msms.cgi?MassType=1&amp;NumAxis=1&amp;Mod18=170&amp;Pep=WVPAGQAIGGYGPPPAGR&amp;Dta=/var/www/html/dta/yong/23612.11530.2.dta&amp;Global_Mod=CS57.0215", "11530")</f>
        <v>11530</v>
      </c>
      <c r="M1760" s="1" t="str">
        <f>HYPERLINK("http://ms.phosphosite.org:5080/cgi-bin/plot-msms.cgi?MassType=1&amp;NumAxis=1&amp;Mod18=170&amp;Pep=WVPAGQAIGGYGPPPAGR&amp;Dta=/var/www/html/dta/yong/23613.11602.2.dta&amp;Global_Mod=CS57.0215", "11602")</f>
        <v>11602</v>
      </c>
      <c r="N1760" s="27">
        <v>49.25</v>
      </c>
      <c r="O1760" s="27">
        <v>49.19</v>
      </c>
      <c r="P1760" s="27">
        <v>4.5919999999999996</v>
      </c>
      <c r="Q1760" s="27">
        <v>4.2119999999999997</v>
      </c>
      <c r="R1760" s="27">
        <v>0.61809999999999998</v>
      </c>
      <c r="S1760" s="27">
        <v>0.64810000000000001</v>
      </c>
      <c r="T1760" s="27">
        <v>0.4032</v>
      </c>
      <c r="U1760" s="27">
        <v>0.34039999999999998</v>
      </c>
      <c r="V1760" s="1">
        <v>1</v>
      </c>
      <c r="W1760" s="1">
        <v>1</v>
      </c>
      <c r="X1760" s="27">
        <v>3.13</v>
      </c>
      <c r="Y1760" s="27">
        <v>2.76</v>
      </c>
      <c r="Z1760" s="28">
        <v>1000</v>
      </c>
      <c r="AA1760" s="28">
        <v>1000</v>
      </c>
      <c r="AB1760" s="1" t="s">
        <v>13</v>
      </c>
    </row>
    <row r="1761" spans="1:28">
      <c r="A1761" t="s">
        <v>580</v>
      </c>
      <c r="B1761" s="29" t="s">
        <v>2664</v>
      </c>
      <c r="C1761" s="26" t="s">
        <v>2665</v>
      </c>
      <c r="D1761" s="1">
        <v>253</v>
      </c>
      <c r="E1761" t="s">
        <v>2660</v>
      </c>
      <c r="F1761" s="3" t="s">
        <v>2661</v>
      </c>
      <c r="G1761" s="1">
        <v>43.4</v>
      </c>
      <c r="H1761" t="s">
        <v>2666</v>
      </c>
      <c r="I1761" t="s">
        <v>2673</v>
      </c>
      <c r="J1761" s="1">
        <v>3</v>
      </c>
      <c r="K1761" s="1">
        <v>588.97749999999996</v>
      </c>
      <c r="L1761" s="1" t="str">
        <f>HYPERLINK("http://ms.phosphosite.org:5080/cgi-bin/plot-msms.cgi?MassType=1&amp;NumAxis=1&amp;Mod18=170&amp;Pep=WVPAGQAIGGYGPPPAGR&amp;Dta=/var/www/html/dta/yong/23612.11535.3.dta&amp;Global_Mod=CS57.0215", "11535")</f>
        <v>11535</v>
      </c>
      <c r="M1761" s="1" t="str">
        <f>HYPERLINK("http://ms.phosphosite.org:5080/cgi-bin/plot-msms.cgi?MassType=1&amp;NumAxis=1&amp;Mod18=170&amp;Pep=WVPAGQAIGGYGPPPAGR&amp;Dta=/var/www/html/dta/yong/23613.11610.3.dta&amp;Global_Mod=CS57.0215", "11610")</f>
        <v>11610</v>
      </c>
      <c r="N1761" s="27">
        <v>49.27</v>
      </c>
      <c r="O1761" s="27">
        <v>49.22</v>
      </c>
      <c r="P1761" s="27">
        <v>3.843</v>
      </c>
      <c r="Q1761" s="27">
        <v>3.903</v>
      </c>
      <c r="R1761" s="27">
        <v>0.25190000000000001</v>
      </c>
      <c r="S1761" s="27">
        <v>0.36030000000000001</v>
      </c>
      <c r="T1761" s="27">
        <v>0.30530000000000002</v>
      </c>
      <c r="U1761" s="27">
        <v>0.42549999999999999</v>
      </c>
      <c r="V1761" s="1">
        <v>1</v>
      </c>
      <c r="W1761" s="1">
        <v>1</v>
      </c>
      <c r="X1761" s="27">
        <v>2.56</v>
      </c>
      <c r="Y1761" s="27">
        <v>3.17</v>
      </c>
      <c r="Z1761" s="28">
        <v>1000</v>
      </c>
      <c r="AA1761" s="28">
        <v>1000</v>
      </c>
      <c r="AB1761" s="1" t="s">
        <v>13</v>
      </c>
    </row>
    <row r="1762" spans="1:28">
      <c r="A1762" t="s">
        <v>580</v>
      </c>
      <c r="B1762" s="29" t="s">
        <v>2674</v>
      </c>
      <c r="C1762" s="26" t="s">
        <v>2675</v>
      </c>
      <c r="D1762" s="1">
        <v>615</v>
      </c>
      <c r="E1762" t="s">
        <v>2676</v>
      </c>
      <c r="F1762" s="3" t="s">
        <v>2677</v>
      </c>
      <c r="G1762" s="1">
        <v>73.099999999999994</v>
      </c>
      <c r="H1762" t="s">
        <v>2678</v>
      </c>
      <c r="I1762" t="s">
        <v>2679</v>
      </c>
      <c r="J1762" s="1">
        <v>2</v>
      </c>
      <c r="K1762" s="1">
        <v>658.29729999999995</v>
      </c>
      <c r="L1762" s="1"/>
      <c r="M1762" s="1" t="str">
        <f>HYPERLINK("http://ms.phosphosite.org:5080/cgi-bin/plot-msms.cgi?MassType=1&amp;NumAxis=1&amp;Mod14=170&amp;Pep=QSSGSSSSGFGASR&amp;Dta=/var/www/html/dta/yong/23613.3154.2.dta&amp;Global_Mod=CS57.0215", "3154")</f>
        <v>3154</v>
      </c>
      <c r="N1762" s="27"/>
      <c r="O1762" s="27">
        <v>18.579999999999998</v>
      </c>
      <c r="P1762" s="27"/>
      <c r="Q1762" s="27">
        <v>3.129</v>
      </c>
      <c r="R1762" s="27"/>
      <c r="S1762" s="27">
        <v>1.1422000000000001</v>
      </c>
      <c r="T1762" s="27"/>
      <c r="U1762" s="27">
        <v>0.42070000000000002</v>
      </c>
      <c r="V1762" s="1"/>
      <c r="W1762" s="1">
        <v>1</v>
      </c>
      <c r="X1762" s="27"/>
      <c r="Y1762" s="27">
        <v>2.61</v>
      </c>
      <c r="Z1762" s="28"/>
      <c r="AA1762" s="28">
        <v>1000</v>
      </c>
      <c r="AB1762" s="1" t="s">
        <v>13</v>
      </c>
    </row>
    <row r="1763" spans="1:28">
      <c r="A1763" t="s">
        <v>580</v>
      </c>
      <c r="B1763" s="29" t="s">
        <v>2674</v>
      </c>
      <c r="C1763" s="26" t="s">
        <v>2675</v>
      </c>
      <c r="D1763" s="1">
        <v>615</v>
      </c>
      <c r="E1763" t="s">
        <v>2676</v>
      </c>
      <c r="F1763" s="3" t="s">
        <v>2677</v>
      </c>
      <c r="G1763" s="1">
        <v>73.099999999999994</v>
      </c>
      <c r="H1763" t="s">
        <v>2678</v>
      </c>
      <c r="I1763" t="s">
        <v>2680</v>
      </c>
      <c r="J1763" s="1">
        <v>3</v>
      </c>
      <c r="K1763" s="1">
        <v>597.27350000000001</v>
      </c>
      <c r="L1763" s="1" t="str">
        <f>HYPERLINK("http://ms.phosphosite.org:5080/cgi-bin/plot-msms.cgi?MassType=1&amp;NumAxis=1&amp;Mod14=170&amp;Pep=QSSGSSSSGFGASRGSSSR&amp;Dta=/var/www/html/dta/yong/23612.2252.3.dta&amp;Global_Mod=CS57.0215", "2252")</f>
        <v>2252</v>
      </c>
      <c r="M1763" s="1" t="str">
        <f>HYPERLINK("http://ms.phosphosite.org:5080/cgi-bin/plot-msms.cgi?MassType=1&amp;NumAxis=1&amp;Mod14=170&amp;Pep=QSSGSSSSGFGASRGSSSR&amp;Dta=/var/www/html/dta/yong/23613.2273.3.dta&amp;Global_Mod=CS57.0215", "2273")</f>
        <v>2273</v>
      </c>
      <c r="N1763" s="27">
        <v>15.34</v>
      </c>
      <c r="O1763" s="27">
        <v>15.26</v>
      </c>
      <c r="P1763" s="27">
        <v>2.0049999999999999</v>
      </c>
      <c r="Q1763" s="27">
        <v>2.87</v>
      </c>
      <c r="R1763" s="27">
        <v>-6.3100000000000003E-2</v>
      </c>
      <c r="S1763" s="27">
        <v>1.4005000000000001</v>
      </c>
      <c r="T1763" s="27">
        <v>0.15629999999999999</v>
      </c>
      <c r="U1763" s="27">
        <v>0.30940000000000001</v>
      </c>
      <c r="V1763" s="1">
        <v>7</v>
      </c>
      <c r="W1763" s="1">
        <v>3</v>
      </c>
      <c r="X1763" s="27">
        <v>0.91</v>
      </c>
      <c r="Y1763" s="27">
        <v>1.79</v>
      </c>
      <c r="Z1763" s="28">
        <v>1000</v>
      </c>
      <c r="AA1763" s="28">
        <v>1000</v>
      </c>
      <c r="AB1763" s="1" t="s">
        <v>13</v>
      </c>
    </row>
    <row r="1764" spans="1:28">
      <c r="A1764" t="s">
        <v>580</v>
      </c>
      <c r="B1764" s="31" t="s">
        <v>2681</v>
      </c>
      <c r="C1764" s="26" t="s">
        <v>2681</v>
      </c>
      <c r="D1764" s="1">
        <v>502</v>
      </c>
      <c r="E1764" t="s">
        <v>2682</v>
      </c>
      <c r="F1764" s="3" t="s">
        <v>2683</v>
      </c>
      <c r="G1764" s="1">
        <v>69.099999999999994</v>
      </c>
      <c r="H1764" t="s">
        <v>2684</v>
      </c>
      <c r="I1764" t="s">
        <v>2685</v>
      </c>
      <c r="J1764" s="1">
        <v>2</v>
      </c>
      <c r="K1764" s="1">
        <v>484.75670000000002</v>
      </c>
      <c r="L1764" s="1" t="str">
        <f>HYPERLINK("http://ms.phosphosite.org:5080/cgi-bin/plot-msms.cgi?MassType=1&amp;NumAxis=1&amp;Mod1=170&amp;Pep=RGGFNTFR&amp;Dta=/var/www/html/dta/yong/23612.5279.2.dta&amp;Global_Mod=CS57.0215", "5279")</f>
        <v>5279</v>
      </c>
      <c r="M1764" s="1" t="str">
        <f>HYPERLINK("http://ms.phosphosite.org:5080/cgi-bin/plot-msms.cgi?MassType=1&amp;NumAxis=1&amp;Mod1=170&amp;Pep=RGGFNTFR&amp;Dta=/var/www/html/dta/yong/23613.5325.2.dta&amp;Global_Mod=CS57.0215", "5325")</f>
        <v>5325</v>
      </c>
      <c r="N1764" s="27">
        <v>26.88</v>
      </c>
      <c r="O1764" s="27">
        <v>26.86</v>
      </c>
      <c r="P1764" s="27">
        <v>2.1669999999999998</v>
      </c>
      <c r="Q1764" s="27">
        <v>2.0920000000000001</v>
      </c>
      <c r="R1764" s="27">
        <v>-0.15429999999999999</v>
      </c>
      <c r="S1764" s="27">
        <v>-0.16439999999999999</v>
      </c>
      <c r="T1764" s="27">
        <v>0.16689999999999999</v>
      </c>
      <c r="U1764" s="27">
        <v>0.11940000000000001</v>
      </c>
      <c r="V1764" s="1">
        <v>5</v>
      </c>
      <c r="W1764" s="1">
        <v>2</v>
      </c>
      <c r="X1764" s="27">
        <v>1.1000000000000001</v>
      </c>
      <c r="Y1764" s="27">
        <v>0.84</v>
      </c>
      <c r="Z1764" s="28">
        <v>1000</v>
      </c>
      <c r="AA1764" s="28">
        <v>1000</v>
      </c>
      <c r="AB1764" s="1" t="s">
        <v>13</v>
      </c>
    </row>
    <row r="1765" spans="1:28">
      <c r="A1765" t="s">
        <v>580</v>
      </c>
      <c r="B1765" s="29" t="s">
        <v>2686</v>
      </c>
      <c r="C1765" s="26" t="s">
        <v>2687</v>
      </c>
      <c r="D1765" s="1">
        <v>1265</v>
      </c>
      <c r="E1765" t="s">
        <v>2688</v>
      </c>
      <c r="F1765" s="3" t="s">
        <v>2689</v>
      </c>
      <c r="G1765" s="1">
        <v>140.9</v>
      </c>
      <c r="H1765" t="s">
        <v>2690</v>
      </c>
      <c r="I1765" t="s">
        <v>2691</v>
      </c>
      <c r="J1765" s="1">
        <v>2</v>
      </c>
      <c r="K1765" s="1">
        <v>478.73289999999997</v>
      </c>
      <c r="L1765" s="1" t="str">
        <f>HYPERLINK("http://ms.phosphosite.org:5080/cgi-bin/plot-msms.cgi?MassType=1&amp;NumAxis=1&amp;Mod9=170&amp;Pep=GTGYFGQGR&amp;Dta=/var/www/html/dta/yong/23612.6056.2.dta&amp;Global_Mod=CS57.0215", "6056")</f>
        <v>6056</v>
      </c>
      <c r="M1765" s="1" t="str">
        <f>HYPERLINK("http://ms.phosphosite.org:5080/cgi-bin/plot-msms.cgi?MassType=1&amp;NumAxis=1&amp;Mod9=170&amp;Pep=GTGYFGQGR&amp;Dta=/var/www/html/dta/yong/23613.6110.2.dta&amp;Global_Mod=CS57.0215", "6110")</f>
        <v>6110</v>
      </c>
      <c r="N1765" s="27">
        <v>29.79</v>
      </c>
      <c r="O1765" s="27">
        <v>29.81</v>
      </c>
      <c r="P1765" s="27">
        <v>1.6870000000000001</v>
      </c>
      <c r="Q1765" s="27">
        <v>1.988</v>
      </c>
      <c r="R1765" s="27">
        <v>0.51980000000000004</v>
      </c>
      <c r="S1765" s="27">
        <v>0.28370000000000001</v>
      </c>
      <c r="T1765" s="27">
        <v>0.113</v>
      </c>
      <c r="U1765" s="27">
        <v>0.20730000000000001</v>
      </c>
      <c r="V1765" s="1">
        <v>2</v>
      </c>
      <c r="W1765" s="1">
        <v>43</v>
      </c>
      <c r="X1765" s="27">
        <v>0.96</v>
      </c>
      <c r="Y1765" s="27">
        <v>1.44</v>
      </c>
      <c r="Z1765" s="28">
        <v>1000</v>
      </c>
      <c r="AA1765" s="28">
        <v>1000</v>
      </c>
      <c r="AB1765" s="1" t="s">
        <v>13</v>
      </c>
    </row>
    <row r="1766" spans="1:28">
      <c r="A1766" t="s">
        <v>580</v>
      </c>
      <c r="B1766" s="29" t="s">
        <v>2686</v>
      </c>
      <c r="C1766" s="26" t="s">
        <v>2687</v>
      </c>
      <c r="D1766" s="1">
        <v>1265</v>
      </c>
      <c r="E1766" t="s">
        <v>2688</v>
      </c>
      <c r="F1766" s="3" t="s">
        <v>2689</v>
      </c>
      <c r="G1766" s="1">
        <v>140.9</v>
      </c>
      <c r="H1766" t="s">
        <v>2690</v>
      </c>
      <c r="I1766" t="s">
        <v>2692</v>
      </c>
      <c r="J1766" s="1">
        <v>2</v>
      </c>
      <c r="K1766" s="1">
        <v>674.3075</v>
      </c>
      <c r="L1766" s="1" t="str">
        <f>HYPERLINK("http://ms.phosphosite.org:5080/cgi-bin/plot-msms.cgi?MassType=1&amp;NumAxis=1&amp;Mod9=170&amp;Pep=GTGYFGQGRGGGGY&amp;Dta=/var/www/html/dta/yong/23612.8147.2.dta&amp;Global_Mod=CS57.0215", "8147")</f>
        <v>8147</v>
      </c>
      <c r="M1766" s="1" t="str">
        <f>HYPERLINK("http://ms.phosphosite.org:5080/cgi-bin/plot-msms.cgi?MassType=1&amp;NumAxis=1&amp;Mod9=170&amp;Pep=GTGYFGQGRGGGGY&amp;Dta=/var/www/html/dta/yong/23613.8182.2.dta&amp;Global_Mod=CS57.0215", "8182")</f>
        <v>8182</v>
      </c>
      <c r="N1766" s="27">
        <v>37.36</v>
      </c>
      <c r="O1766" s="27">
        <v>37.409999999999997</v>
      </c>
      <c r="P1766" s="27">
        <v>3.3159999999999998</v>
      </c>
      <c r="Q1766" s="27">
        <v>3.4860000000000002</v>
      </c>
      <c r="R1766" s="27">
        <v>0.59719999999999995</v>
      </c>
      <c r="S1766" s="27">
        <v>0.70650000000000002</v>
      </c>
      <c r="T1766" s="27">
        <v>0.36930000000000002</v>
      </c>
      <c r="U1766" s="27">
        <v>0.497</v>
      </c>
      <c r="V1766" s="1">
        <v>1</v>
      </c>
      <c r="W1766" s="1">
        <v>1</v>
      </c>
      <c r="X1766" s="27">
        <v>2.29</v>
      </c>
      <c r="Y1766" s="27">
        <v>2.94</v>
      </c>
      <c r="Z1766" s="28">
        <v>1000</v>
      </c>
      <c r="AA1766" s="28">
        <v>1000</v>
      </c>
      <c r="AB1766" s="1" t="s">
        <v>13</v>
      </c>
    </row>
    <row r="1767" spans="1:28">
      <c r="A1767" t="s">
        <v>580</v>
      </c>
      <c r="B1767" s="29" t="s">
        <v>2686</v>
      </c>
      <c r="C1767" s="26" t="s">
        <v>2687</v>
      </c>
      <c r="D1767" s="1">
        <v>1265</v>
      </c>
      <c r="E1767" t="s">
        <v>2688</v>
      </c>
      <c r="F1767" s="3" t="s">
        <v>2689</v>
      </c>
      <c r="G1767" s="1">
        <v>140.9</v>
      </c>
      <c r="H1767" t="s">
        <v>2690</v>
      </c>
      <c r="I1767" t="s">
        <v>2693</v>
      </c>
      <c r="J1767" s="1">
        <v>2</v>
      </c>
      <c r="K1767" s="1">
        <v>595.27290000000005</v>
      </c>
      <c r="L1767" s="1" t="str">
        <f>HYPERLINK("http://ms.phosphosite.org:5080/cgi-bin/plot-msms.cgi?MassType=1&amp;NumAxis=1&amp;Mod7=170&amp;Pep=GYFGQGRGGGGY&amp;Dta=/var/www/html/dta/yong/23612.7920.2.dta&amp;Global_Mod=CS57.0215", "7920")</f>
        <v>7920</v>
      </c>
      <c r="M1767" s="1"/>
      <c r="N1767" s="27">
        <v>36.53</v>
      </c>
      <c r="O1767" s="27"/>
      <c r="P1767" s="27">
        <v>3.5590000000000002</v>
      </c>
      <c r="Q1767" s="27"/>
      <c r="R1767" s="27">
        <v>-2.69E-2</v>
      </c>
      <c r="S1767" s="27"/>
      <c r="T1767" s="27">
        <v>0.3256</v>
      </c>
      <c r="U1767" s="27"/>
      <c r="V1767" s="1">
        <v>1</v>
      </c>
      <c r="W1767" s="1"/>
      <c r="X1767" s="27">
        <v>2.13</v>
      </c>
      <c r="Y1767" s="27"/>
      <c r="Z1767" s="28">
        <v>1000</v>
      </c>
      <c r="AA1767" s="28"/>
      <c r="AB1767" s="1" t="s">
        <v>13</v>
      </c>
    </row>
    <row r="1768" spans="1:28">
      <c r="A1768" t="s">
        <v>580</v>
      </c>
      <c r="B1768" s="29" t="s">
        <v>2694</v>
      </c>
      <c r="C1768" s="26" t="s">
        <v>2695</v>
      </c>
      <c r="D1768" s="30" t="s">
        <v>2696</v>
      </c>
      <c r="E1768" t="s">
        <v>2697</v>
      </c>
      <c r="F1768" s="3" t="s">
        <v>2698</v>
      </c>
      <c r="G1768" s="1">
        <v>36.1</v>
      </c>
      <c r="H1768" t="s">
        <v>2699</v>
      </c>
      <c r="I1768" t="s">
        <v>2700</v>
      </c>
      <c r="J1768" s="1">
        <v>3</v>
      </c>
      <c r="K1768" s="1">
        <v>473.2568</v>
      </c>
      <c r="L1768" s="1" t="str">
        <f>HYPERLINK("http://ms.phosphosite.org:5080/cgi-bin/plot-msms.cgi?MassType=1&amp;NumAxis=1&amp;Mod1=170&amp;Mod12=170&amp;Pep=RFGGPVHHQAQR&amp;Dta=/var/www/html/dta/yong/23612.1492.3.dta&amp;Global_Mod=CS57.0215", "1492")</f>
        <v>1492</v>
      </c>
      <c r="M1768" s="1" t="str">
        <f>HYPERLINK("http://ms.phosphosite.org:5080/cgi-bin/plot-msms.cgi?MassType=1&amp;NumAxis=1&amp;Mod1=170&amp;Mod12=170&amp;Pep=RFGGPVHHQAQR&amp;Dta=/var/www/html/dta/yong/23613.1510.3.dta&amp;Global_Mod=CS57.0215", "1510")</f>
        <v>1510</v>
      </c>
      <c r="N1768" s="27">
        <v>12.48</v>
      </c>
      <c r="O1768" s="27">
        <v>12.4</v>
      </c>
      <c r="P1768" s="27">
        <v>3.1459999999999999</v>
      </c>
      <c r="Q1768" s="27">
        <v>3.3879999999999999</v>
      </c>
      <c r="R1768" s="27">
        <v>0.29360000000000003</v>
      </c>
      <c r="S1768" s="27">
        <v>0.54469999999999996</v>
      </c>
      <c r="T1768" s="27">
        <v>0.1326</v>
      </c>
      <c r="U1768" s="27">
        <v>0.1883</v>
      </c>
      <c r="V1768" s="1">
        <v>1</v>
      </c>
      <c r="W1768" s="1">
        <v>1</v>
      </c>
      <c r="X1768" s="27">
        <v>1.1100000000000001</v>
      </c>
      <c r="Y1768" s="27">
        <v>1.42</v>
      </c>
      <c r="Z1768" s="28" t="s">
        <v>1306</v>
      </c>
      <c r="AA1768" s="28" t="s">
        <v>1306</v>
      </c>
      <c r="AB1768" s="1" t="s">
        <v>13</v>
      </c>
    </row>
    <row r="1769" spans="1:28">
      <c r="A1769" t="s">
        <v>580</v>
      </c>
      <c r="B1769" s="29" t="s">
        <v>2701</v>
      </c>
      <c r="C1769" s="26" t="s">
        <v>2702</v>
      </c>
      <c r="D1769" s="1">
        <v>471</v>
      </c>
      <c r="E1769" t="s">
        <v>592</v>
      </c>
      <c r="F1769" s="3" t="s">
        <v>2703</v>
      </c>
      <c r="G1769" s="1">
        <v>68.400000000000006</v>
      </c>
      <c r="H1769" t="s">
        <v>2704</v>
      </c>
      <c r="I1769" t="s">
        <v>2705</v>
      </c>
      <c r="J1769" s="1">
        <v>3</v>
      </c>
      <c r="K1769" s="1">
        <v>667.99639999999999</v>
      </c>
      <c r="L1769" s="1" t="str">
        <f>HYPERLINK("http://ms.phosphosite.org:5080/cgi-bin/plot-msms.cgi?MassType=1&amp;NumAxis=1&amp;Mod2=147&amp;Mod7=170&amp;Mod20=147&amp;Pep=GMPPPLRGGPGGPGGPGGPMGR&amp;Dta=/var/www/html/dta/yong/23612.6232.3.dta&amp;Global_Mod=CS57.0215", "6232")</f>
        <v>6232</v>
      </c>
      <c r="M1769" s="1" t="str">
        <f>HYPERLINK("http://ms.phosphosite.org:5080/cgi-bin/plot-msms.cgi?MassType=1&amp;NumAxis=1&amp;Mod2=147&amp;Mod7=170&amp;Mod20=147&amp;Pep=GMPPPLRGGPGGPGGPGGPMGR&amp;Dta=/var/www/html/dta/yong/23613.6268.3.dta&amp;Global_Mod=CS57.0215", "6268")</f>
        <v>6268</v>
      </c>
      <c r="N1769" s="27">
        <v>30.41</v>
      </c>
      <c r="O1769" s="27">
        <v>30.35</v>
      </c>
      <c r="P1769" s="27">
        <v>1.748</v>
      </c>
      <c r="Q1769" s="27">
        <v>2.2170000000000001</v>
      </c>
      <c r="R1769" s="27">
        <v>1.1475</v>
      </c>
      <c r="S1769" s="27">
        <v>1.1419999999999999</v>
      </c>
      <c r="T1769" s="27">
        <v>7.8700000000000006E-2</v>
      </c>
      <c r="U1769" s="27">
        <v>0.1772</v>
      </c>
      <c r="V1769" s="1">
        <v>10</v>
      </c>
      <c r="W1769" s="1">
        <v>4</v>
      </c>
      <c r="X1769" s="27">
        <v>0.85</v>
      </c>
      <c r="Y1769" s="27">
        <v>1.36</v>
      </c>
      <c r="Z1769" s="28">
        <v>1000</v>
      </c>
      <c r="AA1769" s="28">
        <v>1000</v>
      </c>
      <c r="AB1769" s="1" t="s">
        <v>13</v>
      </c>
    </row>
    <row r="1770" spans="1:28">
      <c r="A1770" t="s">
        <v>580</v>
      </c>
      <c r="B1770" s="29" t="s">
        <v>2701</v>
      </c>
      <c r="C1770" s="26" t="s">
        <v>2702</v>
      </c>
      <c r="D1770" s="1">
        <v>471</v>
      </c>
      <c r="E1770" t="s">
        <v>592</v>
      </c>
      <c r="F1770" s="3" t="s">
        <v>2703</v>
      </c>
      <c r="G1770" s="1">
        <v>68.400000000000006</v>
      </c>
      <c r="H1770" t="s">
        <v>2704</v>
      </c>
      <c r="I1770" t="s">
        <v>2705</v>
      </c>
      <c r="J1770" s="1">
        <v>3</v>
      </c>
      <c r="K1770" s="1">
        <v>667.99639999999999</v>
      </c>
      <c r="L1770" s="1" t="str">
        <f>HYPERLINK("http://ms.phosphosite.org:5080/cgi-bin/plot-msms.cgi?MassType=1&amp;NumAxis=1&amp;Mod2=147&amp;Mod7=170&amp;Mod20=147&amp;Pep=GMPPPLRGGPGGPGGPGGPMGR&amp;Dta=/var/www/html/dta/yong/23612.6504.3.dta&amp;Global_Mod=CS57.0215", "6504")</f>
        <v>6504</v>
      </c>
      <c r="M1770" s="1" t="str">
        <f>HYPERLINK("http://ms.phosphosite.org:5080/cgi-bin/plot-msms.cgi?MassType=1&amp;NumAxis=1&amp;Mod2=147&amp;Mod7=170&amp;Mod20=147&amp;Pep=GMPPPLRGGPGGPGGPGGPMGR&amp;Dta=/var/www/html/dta/yong/23613.6791.3.dta&amp;Global_Mod=CS57.0215", "6791")</f>
        <v>6791</v>
      </c>
      <c r="N1770" s="27">
        <v>31.41</v>
      </c>
      <c r="O1770" s="27">
        <v>32.35</v>
      </c>
      <c r="P1770" s="27">
        <v>2.02</v>
      </c>
      <c r="Q1770" s="27">
        <v>1.9370000000000001</v>
      </c>
      <c r="R1770" s="27">
        <v>0.56310000000000004</v>
      </c>
      <c r="S1770" s="27">
        <v>0.75929999999999997</v>
      </c>
      <c r="T1770" s="27">
        <v>0.16930000000000001</v>
      </c>
      <c r="U1770" s="27">
        <v>0.18429999999999999</v>
      </c>
      <c r="V1770" s="1">
        <v>5</v>
      </c>
      <c r="W1770" s="1">
        <v>1</v>
      </c>
      <c r="X1770" s="27">
        <v>1.38</v>
      </c>
      <c r="Y1770" s="27">
        <v>1.36</v>
      </c>
      <c r="Z1770" s="28">
        <v>1000</v>
      </c>
      <c r="AA1770" s="28">
        <v>1000</v>
      </c>
      <c r="AB1770" s="1" t="s">
        <v>13</v>
      </c>
    </row>
    <row r="1771" spans="1:28">
      <c r="A1771" t="s">
        <v>580</v>
      </c>
      <c r="B1771" s="29" t="s">
        <v>2701</v>
      </c>
      <c r="C1771" s="26" t="s">
        <v>2702</v>
      </c>
      <c r="D1771" s="1">
        <v>471</v>
      </c>
      <c r="E1771" t="s">
        <v>592</v>
      </c>
      <c r="F1771" s="3" t="s">
        <v>2703</v>
      </c>
      <c r="G1771" s="1">
        <v>68.400000000000006</v>
      </c>
      <c r="H1771" t="s">
        <v>2704</v>
      </c>
      <c r="I1771" t="s">
        <v>2705</v>
      </c>
      <c r="J1771" s="1">
        <v>3</v>
      </c>
      <c r="K1771" s="1">
        <v>667.99639999999999</v>
      </c>
      <c r="L1771" s="1" t="str">
        <f>HYPERLINK("http://ms.phosphosite.org:5080/cgi-bin/plot-msms.cgi?MassType=1&amp;NumAxis=1&amp;Mod2=147&amp;Mod7=170&amp;Mod20=147&amp;Pep=GMPPPLRGGPGGPGGPGGPMGR&amp;Dta=/var/www/html/dta/yong/23612.5404.3.dta&amp;Global_Mod=CS57.0215", "5404")</f>
        <v>5404</v>
      </c>
      <c r="M1771" s="1" t="str">
        <f>HYPERLINK("http://ms.phosphosite.org:5080/cgi-bin/plot-msms.cgi?MassType=1&amp;NumAxis=1&amp;Mod2=147&amp;Mod7=170&amp;Mod20=147&amp;Pep=GMPPPLRGGPGGPGGPGGPMGR&amp;Dta=/var/www/html/dta/yong/23613.5804.3.dta&amp;Global_Mod=CS57.0215", "5804")</f>
        <v>5804</v>
      </c>
      <c r="N1771" s="27">
        <v>27.36</v>
      </c>
      <c r="O1771" s="27">
        <v>28.63</v>
      </c>
      <c r="P1771" s="27">
        <v>1.952</v>
      </c>
      <c r="Q1771" s="27">
        <v>1.754</v>
      </c>
      <c r="R1771" s="27">
        <v>0.58120000000000005</v>
      </c>
      <c r="S1771" s="27">
        <v>0.31659999999999999</v>
      </c>
      <c r="T1771" s="27">
        <v>9.8599999999999993E-2</v>
      </c>
      <c r="U1771" s="27">
        <v>0.11459999999999999</v>
      </c>
      <c r="V1771" s="1">
        <v>1</v>
      </c>
      <c r="W1771" s="1">
        <v>1</v>
      </c>
      <c r="X1771" s="27">
        <v>1.02</v>
      </c>
      <c r="Y1771" s="27">
        <v>0.99</v>
      </c>
      <c r="Z1771" s="28">
        <v>1000</v>
      </c>
      <c r="AA1771" s="28">
        <v>1000</v>
      </c>
      <c r="AB1771" s="1" t="s">
        <v>13</v>
      </c>
    </row>
    <row r="1772" spans="1:28">
      <c r="A1772" t="s">
        <v>580</v>
      </c>
      <c r="B1772" s="29" t="s">
        <v>2701</v>
      </c>
      <c r="C1772" s="26" t="s">
        <v>2702</v>
      </c>
      <c r="D1772" s="1">
        <v>471</v>
      </c>
      <c r="E1772" t="s">
        <v>592</v>
      </c>
      <c r="F1772" s="3" t="s">
        <v>2703</v>
      </c>
      <c r="G1772" s="1">
        <v>68.400000000000006</v>
      </c>
      <c r="H1772" t="s">
        <v>2704</v>
      </c>
      <c r="I1772" t="s">
        <v>2705</v>
      </c>
      <c r="J1772" s="1">
        <v>3</v>
      </c>
      <c r="K1772" s="1">
        <v>667.99639999999999</v>
      </c>
      <c r="L1772" s="1" t="str">
        <f>HYPERLINK("http://ms.phosphosite.org:5080/cgi-bin/plot-msms.cgi?MassType=1&amp;NumAxis=1&amp;Mod2=147&amp;Mod7=170&amp;Mod20=147&amp;Pep=GMPPPLRGGPGGPGGPGGPMGR&amp;Dta=/var/www/html/dta/yong/23612.5782.3.dta&amp;Global_Mod=CS57.0215", "5782")</f>
        <v>5782</v>
      </c>
      <c r="M1772" s="1" t="str">
        <f>HYPERLINK("http://ms.phosphosite.org:5080/cgi-bin/plot-msms.cgi?MassType=1&amp;NumAxis=1&amp;Mod2=147&amp;Mod7=170&amp;Mod20=147&amp;Pep=GMPPPLRGGPGGPGGPGGPMGR&amp;Dta=/var/www/html/dta/yong/23613.6512.3.dta&amp;Global_Mod=CS57.0215", "6512")</f>
        <v>6512</v>
      </c>
      <c r="N1772" s="27">
        <v>28.75</v>
      </c>
      <c r="O1772" s="27">
        <v>31.26</v>
      </c>
      <c r="P1772" s="27">
        <v>1.696</v>
      </c>
      <c r="Q1772" s="27">
        <v>1.9390000000000001</v>
      </c>
      <c r="R1772" s="27">
        <v>0.61160000000000003</v>
      </c>
      <c r="S1772" s="27">
        <v>0.5857</v>
      </c>
      <c r="T1772" s="27">
        <v>0.1105</v>
      </c>
      <c r="U1772" s="27">
        <v>0.1149</v>
      </c>
      <c r="V1772" s="1">
        <v>1</v>
      </c>
      <c r="W1772" s="1">
        <v>7</v>
      </c>
      <c r="X1772" s="27">
        <v>1.03</v>
      </c>
      <c r="Y1772" s="27">
        <v>1.02</v>
      </c>
      <c r="Z1772" s="28">
        <v>1000</v>
      </c>
      <c r="AA1772" s="28">
        <v>1000</v>
      </c>
      <c r="AB1772" s="1" t="s">
        <v>13</v>
      </c>
    </row>
    <row r="1773" spans="1:28">
      <c r="A1773" t="s">
        <v>580</v>
      </c>
      <c r="B1773" s="29" t="s">
        <v>2701</v>
      </c>
      <c r="C1773" s="26" t="s">
        <v>2702</v>
      </c>
      <c r="D1773" s="1">
        <v>471</v>
      </c>
      <c r="E1773" t="s">
        <v>592</v>
      </c>
      <c r="F1773" s="3" t="s">
        <v>2703</v>
      </c>
      <c r="G1773" s="1">
        <v>68.400000000000006</v>
      </c>
      <c r="H1773" t="s">
        <v>2704</v>
      </c>
      <c r="I1773" t="s">
        <v>2705</v>
      </c>
      <c r="J1773" s="1">
        <v>3</v>
      </c>
      <c r="K1773" s="1">
        <v>667.99639999999999</v>
      </c>
      <c r="L1773" s="1" t="str">
        <f>HYPERLINK("http://ms.phosphosite.org:5080/cgi-bin/plot-msms.cgi?MassType=1&amp;NumAxis=1&amp;Mod2=147&amp;Mod7=170&amp;Mod20=147&amp;Pep=GMPPPLRGGPGGPGGPGGPMGR&amp;Dta=/var/www/html/dta/yong/23612.6361.3.dta&amp;Global_Mod=CS57.0215", "6361")</f>
        <v>6361</v>
      </c>
      <c r="M1773" s="1" t="str">
        <f>HYPERLINK("http://ms.phosphosite.org:5080/cgi-bin/plot-msms.cgi?MassType=1&amp;NumAxis=1&amp;Mod2=147&amp;Mod7=170&amp;Mod20=147&amp;Pep=GMPPPLRGGPGGPGGPGGPMGR&amp;Dta=/var/www/html/dta/yong/23613.5435.3.dta&amp;Global_Mod=CS57.0215", "5435")</f>
        <v>5435</v>
      </c>
      <c r="N1773" s="27">
        <v>30.88</v>
      </c>
      <c r="O1773" s="27">
        <v>27.28</v>
      </c>
      <c r="P1773" s="27">
        <v>2.16</v>
      </c>
      <c r="Q1773" s="27">
        <v>1.726</v>
      </c>
      <c r="R1773" s="27">
        <v>0.77969999999999995</v>
      </c>
      <c r="S1773" s="27">
        <v>0.52500000000000002</v>
      </c>
      <c r="T1773" s="27">
        <v>0.13589999999999999</v>
      </c>
      <c r="U1773" s="27">
        <v>0.1075</v>
      </c>
      <c r="V1773" s="1">
        <v>9</v>
      </c>
      <c r="W1773" s="1">
        <v>1</v>
      </c>
      <c r="X1773" s="27">
        <v>1.23</v>
      </c>
      <c r="Y1773" s="27">
        <v>0.95</v>
      </c>
      <c r="Z1773" s="28">
        <v>1000</v>
      </c>
      <c r="AA1773" s="28">
        <v>1000</v>
      </c>
      <c r="AB1773" s="1" t="s">
        <v>13</v>
      </c>
    </row>
    <row r="1774" spans="1:28">
      <c r="A1774" t="s">
        <v>580</v>
      </c>
      <c r="B1774" s="29" t="s">
        <v>2701</v>
      </c>
      <c r="C1774" s="26" t="s">
        <v>2702</v>
      </c>
      <c r="D1774" s="1">
        <v>471</v>
      </c>
      <c r="E1774" t="s">
        <v>592</v>
      </c>
      <c r="F1774" s="3" t="s">
        <v>2703</v>
      </c>
      <c r="G1774" s="1">
        <v>68.400000000000006</v>
      </c>
      <c r="H1774" t="s">
        <v>2704</v>
      </c>
      <c r="I1774" t="s">
        <v>2705</v>
      </c>
      <c r="J1774" s="1">
        <v>3</v>
      </c>
      <c r="K1774" s="1">
        <v>667.99639999999999</v>
      </c>
      <c r="L1774" s="1"/>
      <c r="M1774" s="1" t="str">
        <f>HYPERLINK("http://ms.phosphosite.org:5080/cgi-bin/plot-msms.cgi?MassType=1&amp;NumAxis=1&amp;Mod2=147&amp;Mod7=170&amp;Mod20=147&amp;Pep=GMPPPLRGGPGGPGGPGGPMGR&amp;Dta=/var/www/html/dta/yong/23613.6266.3.dta&amp;Global_Mod=CS57.0215", "6266")</f>
        <v>6266</v>
      </c>
      <c r="N1774" s="27"/>
      <c r="O1774" s="27">
        <v>30.34</v>
      </c>
      <c r="P1774" s="27"/>
      <c r="Q1774" s="27">
        <v>2.081</v>
      </c>
      <c r="R1774" s="27"/>
      <c r="S1774" s="27">
        <v>1.1434</v>
      </c>
      <c r="T1774" s="27"/>
      <c r="U1774" s="27">
        <v>0.2087</v>
      </c>
      <c r="V1774" s="1"/>
      <c r="W1774" s="1">
        <v>6</v>
      </c>
      <c r="X1774" s="27"/>
      <c r="Y1774" s="27">
        <v>1.49</v>
      </c>
      <c r="Z1774" s="28"/>
      <c r="AA1774" s="28">
        <v>1000</v>
      </c>
      <c r="AB1774" s="1" t="s">
        <v>13</v>
      </c>
    </row>
    <row r="1775" spans="1:28">
      <c r="A1775" t="s">
        <v>580</v>
      </c>
      <c r="B1775" s="29" t="s">
        <v>2701</v>
      </c>
      <c r="C1775" s="26" t="s">
        <v>2702</v>
      </c>
      <c r="D1775" s="1">
        <v>471</v>
      </c>
      <c r="E1775" t="s">
        <v>592</v>
      </c>
      <c r="F1775" s="3" t="s">
        <v>2703</v>
      </c>
      <c r="G1775" s="1">
        <v>68.400000000000006</v>
      </c>
      <c r="H1775" t="s">
        <v>2704</v>
      </c>
      <c r="I1775" t="s">
        <v>2705</v>
      </c>
      <c r="J1775" s="1">
        <v>3</v>
      </c>
      <c r="K1775" s="1">
        <v>667.99639999999999</v>
      </c>
      <c r="L1775" s="1"/>
      <c r="M1775" s="1" t="str">
        <f>HYPERLINK("http://ms.phosphosite.org:5080/cgi-bin/plot-msms.cgi?MassType=1&amp;NumAxis=1&amp;Mod2=147&amp;Mod7=170&amp;Mod20=147&amp;Pep=GMPPPLRGGPGGPGGPGGPMGR&amp;Dta=/var/www/html/dta/yong/23613.7039.3.dta&amp;Global_Mod=CS57.0215", "7039")</f>
        <v>7039</v>
      </c>
      <c r="N1775" s="27"/>
      <c r="O1775" s="27">
        <v>33.229999999999997</v>
      </c>
      <c r="P1775" s="27"/>
      <c r="Q1775" s="27">
        <v>1.875</v>
      </c>
      <c r="R1775" s="27"/>
      <c r="S1775" s="27">
        <v>0.57989999999999997</v>
      </c>
      <c r="T1775" s="27"/>
      <c r="U1775" s="27">
        <v>0.19589999999999999</v>
      </c>
      <c r="V1775" s="1"/>
      <c r="W1775" s="1">
        <v>1</v>
      </c>
      <c r="X1775" s="27"/>
      <c r="Y1775" s="27">
        <v>1.41</v>
      </c>
      <c r="Z1775" s="28"/>
      <c r="AA1775" s="28">
        <v>1000</v>
      </c>
      <c r="AB1775" s="1" t="s">
        <v>13</v>
      </c>
    </row>
    <row r="1776" spans="1:28">
      <c r="A1776" t="s">
        <v>580</v>
      </c>
      <c r="B1776" s="29" t="s">
        <v>2701</v>
      </c>
      <c r="C1776" s="26" t="s">
        <v>2702</v>
      </c>
      <c r="D1776" s="1">
        <v>471</v>
      </c>
      <c r="E1776" t="s">
        <v>592</v>
      </c>
      <c r="F1776" s="3" t="s">
        <v>2703</v>
      </c>
      <c r="G1776" s="1">
        <v>68.400000000000006</v>
      </c>
      <c r="H1776" t="s">
        <v>2704</v>
      </c>
      <c r="I1776" t="s">
        <v>2705</v>
      </c>
      <c r="J1776" s="1">
        <v>3</v>
      </c>
      <c r="K1776" s="1">
        <v>667.99639999999999</v>
      </c>
      <c r="L1776" s="1"/>
      <c r="M1776" s="1" t="str">
        <f>HYPERLINK("http://ms.phosphosite.org:5080/cgi-bin/plot-msms.cgi?MassType=1&amp;NumAxis=1&amp;Mod2=147&amp;Mod7=170&amp;Mod20=147&amp;Pep=GMPPPLRGGPGGPGGPGGPMGR&amp;Dta=/var/www/html/dta/yong/23613.5980.3.dta&amp;Global_Mod=CS57.0215", "5980")</f>
        <v>5980</v>
      </c>
      <c r="N1776" s="27"/>
      <c r="O1776" s="27">
        <v>29.32</v>
      </c>
      <c r="P1776" s="27"/>
      <c r="Q1776" s="27">
        <v>2.5110000000000001</v>
      </c>
      <c r="R1776" s="27"/>
      <c r="S1776" s="27">
        <v>0.91849999999999998</v>
      </c>
      <c r="T1776" s="27"/>
      <c r="U1776" s="27">
        <v>0.2928</v>
      </c>
      <c r="V1776" s="1"/>
      <c r="W1776" s="1">
        <v>1</v>
      </c>
      <c r="X1776" s="27"/>
      <c r="Y1776" s="27">
        <v>2</v>
      </c>
      <c r="Z1776" s="28"/>
      <c r="AA1776" s="28">
        <v>1000</v>
      </c>
      <c r="AB1776" s="1" t="s">
        <v>13</v>
      </c>
    </row>
    <row r="1777" spans="1:28">
      <c r="A1777" t="s">
        <v>580</v>
      </c>
      <c r="B1777" s="29" t="s">
        <v>2701</v>
      </c>
      <c r="C1777" s="26" t="s">
        <v>2702</v>
      </c>
      <c r="D1777" s="1">
        <v>471</v>
      </c>
      <c r="E1777" t="s">
        <v>592</v>
      </c>
      <c r="F1777" s="3" t="s">
        <v>2703</v>
      </c>
      <c r="G1777" s="1">
        <v>68.400000000000006</v>
      </c>
      <c r="H1777" t="s">
        <v>2704</v>
      </c>
      <c r="I1777" t="s">
        <v>2706</v>
      </c>
      <c r="J1777" s="1">
        <v>3</v>
      </c>
      <c r="K1777" s="1">
        <v>662.66470000000004</v>
      </c>
      <c r="L1777" s="1" t="str">
        <f>HYPERLINK("http://ms.phosphosite.org:5080/cgi-bin/plot-msms.cgi?MassType=1&amp;NumAxis=1&amp;Mod2=147&amp;Mod7=170&amp;Pep=GMPPPLRGGPGGPGGPGGPMGR&amp;Dta=/var/www/html/dta/yong/23612.7069.3.dta&amp;Global_Mod=CS57.0215", "7069")</f>
        <v>7069</v>
      </c>
      <c r="M1777" s="1"/>
      <c r="N1777" s="27">
        <v>33.520000000000003</v>
      </c>
      <c r="O1777" s="27"/>
      <c r="P1777" s="27">
        <v>1.631</v>
      </c>
      <c r="Q1777" s="27"/>
      <c r="R1777" s="27">
        <v>0.44080000000000003</v>
      </c>
      <c r="S1777" s="27"/>
      <c r="T1777" s="27">
        <v>0.24299999999999999</v>
      </c>
      <c r="U1777" s="27"/>
      <c r="V1777" s="1">
        <v>5</v>
      </c>
      <c r="W1777" s="1"/>
      <c r="X1777" s="27">
        <v>1.68</v>
      </c>
      <c r="Y1777" s="27"/>
      <c r="Z1777" s="28">
        <v>1000</v>
      </c>
      <c r="AA1777" s="28"/>
      <c r="AB1777" s="1" t="s">
        <v>13</v>
      </c>
    </row>
    <row r="1778" spans="1:28">
      <c r="A1778" t="s">
        <v>580</v>
      </c>
      <c r="B1778" s="29" t="s">
        <v>2701</v>
      </c>
      <c r="C1778" s="26" t="s">
        <v>2702</v>
      </c>
      <c r="D1778" s="1">
        <v>471</v>
      </c>
      <c r="E1778" t="s">
        <v>592</v>
      </c>
      <c r="F1778" s="3" t="s">
        <v>2703</v>
      </c>
      <c r="G1778" s="1">
        <v>68.400000000000006</v>
      </c>
      <c r="H1778" t="s">
        <v>2704</v>
      </c>
      <c r="I1778" t="s">
        <v>2707</v>
      </c>
      <c r="J1778" s="1">
        <v>3</v>
      </c>
      <c r="K1778" s="1">
        <v>662.66470000000004</v>
      </c>
      <c r="L1778" s="1" t="str">
        <f>HYPERLINK("http://ms.phosphosite.org:5080/cgi-bin/plot-msms.cgi?MassType=1&amp;NumAxis=1&amp;Mod7=170&amp;Mod20=147&amp;Pep=GMPPPLRGGPGGPGGPGGPMGR&amp;Dta=/var/www/html/dta/yong/23612.7264.3.dta&amp;Global_Mod=CS57.0215", "7264")</f>
        <v>7264</v>
      </c>
      <c r="M1778" s="1" t="str">
        <f>HYPERLINK("http://ms.phosphosite.org:5080/cgi-bin/plot-msms.cgi?MassType=1&amp;NumAxis=1&amp;Mod7=170&amp;Mod20=147&amp;Pep=GMPPPLRGGPGGPGGPGGPMGR&amp;Dta=/var/www/html/dta/yong/23613.7473.3.dta&amp;Global_Mod=CS57.0215", "7473")</f>
        <v>7473</v>
      </c>
      <c r="N1778" s="27">
        <v>34.22</v>
      </c>
      <c r="O1778" s="27">
        <v>34.840000000000003</v>
      </c>
      <c r="P1778" s="27">
        <v>2.0649999999999999</v>
      </c>
      <c r="Q1778" s="27">
        <v>1.9390000000000001</v>
      </c>
      <c r="R1778" s="27">
        <v>0.51829999999999998</v>
      </c>
      <c r="S1778" s="27">
        <v>0.35089999999999999</v>
      </c>
      <c r="T1778" s="27">
        <v>0.1487</v>
      </c>
      <c r="U1778" s="27">
        <v>0.15570000000000001</v>
      </c>
      <c r="V1778" s="1">
        <v>4</v>
      </c>
      <c r="W1778" s="1">
        <v>131</v>
      </c>
      <c r="X1778" s="27">
        <v>1.29</v>
      </c>
      <c r="Y1778" s="27">
        <v>1.1599999999999999</v>
      </c>
      <c r="Z1778" s="28">
        <v>1000</v>
      </c>
      <c r="AA1778" s="28">
        <v>1000</v>
      </c>
      <c r="AB1778" s="1" t="s">
        <v>13</v>
      </c>
    </row>
    <row r="1779" spans="1:28">
      <c r="A1779" t="s">
        <v>580</v>
      </c>
      <c r="B1779" s="29" t="s">
        <v>2701</v>
      </c>
      <c r="C1779" s="26" t="s">
        <v>2702</v>
      </c>
      <c r="D1779" s="1">
        <v>615</v>
      </c>
      <c r="E1779" t="s">
        <v>592</v>
      </c>
      <c r="F1779" s="3" t="s">
        <v>2703</v>
      </c>
      <c r="G1779" s="1">
        <v>68.400000000000006</v>
      </c>
      <c r="H1779" t="s">
        <v>595</v>
      </c>
      <c r="I1779" t="s">
        <v>2708</v>
      </c>
      <c r="J1779" s="1">
        <v>2</v>
      </c>
      <c r="K1779" s="1">
        <v>763.85810000000004</v>
      </c>
      <c r="L1779" s="1" t="str">
        <f>HYPERLINK("http://ms.phosphosite.org:5080/cgi-bin/plot-msms.cgi?MassType=1&amp;NumAxis=1&amp;Mod1=170&amp;Mod12=147&amp;Mod15=147&amp;Pep=RGGPGGPPGPLMEQM&amp;Dta=/var/www/html/dta/yong/23612.6253.2.dta&amp;Global_Mod=CS57.0215", "6253")</f>
        <v>6253</v>
      </c>
      <c r="M1779" s="1" t="str">
        <f>HYPERLINK("http://ms.phosphosite.org:5080/cgi-bin/plot-msms.cgi?MassType=1&amp;NumAxis=1&amp;Mod1=170&amp;Mod12=147&amp;Mod15=147&amp;Pep=RGGPGGPPGPLMEQM&amp;Dta=/var/www/html/dta/yong/23613.6283.2.dta&amp;Global_Mod=CS57.0215", "6283")</f>
        <v>6283</v>
      </c>
      <c r="N1779" s="27">
        <v>30.49</v>
      </c>
      <c r="O1779" s="27">
        <v>30.41</v>
      </c>
      <c r="P1779" s="27">
        <v>4.3730000000000002</v>
      </c>
      <c r="Q1779" s="27">
        <v>4.1950000000000003</v>
      </c>
      <c r="R1779" s="27">
        <v>0.7097</v>
      </c>
      <c r="S1779" s="27">
        <v>0.58620000000000005</v>
      </c>
      <c r="T1779" s="27">
        <v>0.51259999999999994</v>
      </c>
      <c r="U1779" s="27">
        <v>0.52229999999999999</v>
      </c>
      <c r="V1779" s="1">
        <v>1</v>
      </c>
      <c r="W1779" s="1">
        <v>1</v>
      </c>
      <c r="X1779" s="27">
        <v>3.55</v>
      </c>
      <c r="Y1779" s="27">
        <v>3.54</v>
      </c>
      <c r="Z1779" s="28">
        <v>1000</v>
      </c>
      <c r="AA1779" s="28">
        <v>1000</v>
      </c>
      <c r="AB1779" s="1" t="s">
        <v>13</v>
      </c>
    </row>
    <row r="1780" spans="1:28">
      <c r="A1780" t="s">
        <v>580</v>
      </c>
      <c r="B1780" s="29" t="s">
        <v>2701</v>
      </c>
      <c r="C1780" s="26" t="s">
        <v>2702</v>
      </c>
      <c r="D1780" s="1">
        <v>615</v>
      </c>
      <c r="E1780" t="s">
        <v>592</v>
      </c>
      <c r="F1780" s="3" t="s">
        <v>2703</v>
      </c>
      <c r="G1780" s="1">
        <v>68.400000000000006</v>
      </c>
      <c r="H1780" t="s">
        <v>595</v>
      </c>
      <c r="I1780" t="s">
        <v>2708</v>
      </c>
      <c r="J1780" s="1">
        <v>2</v>
      </c>
      <c r="K1780" s="1">
        <v>763.85810000000004</v>
      </c>
      <c r="L1780" s="1" t="str">
        <f>HYPERLINK("http://ms.phosphosite.org:5080/cgi-bin/plot-msms.cgi?MassType=1&amp;NumAxis=1&amp;Mod1=170&amp;Mod12=147&amp;Mod15=147&amp;Pep=RGGPGGPPGPLMEQM&amp;Dta=/var/www/html/dta/yong/23612.6291.2.dta&amp;Global_Mod=CS57.0215", "6291")</f>
        <v>6291</v>
      </c>
      <c r="M1780" s="1"/>
      <c r="N1780" s="27">
        <v>30.62</v>
      </c>
      <c r="O1780" s="27"/>
      <c r="P1780" s="27">
        <v>3.802</v>
      </c>
      <c r="Q1780" s="27"/>
      <c r="R1780" s="27">
        <v>1.0438000000000001</v>
      </c>
      <c r="S1780" s="27"/>
      <c r="T1780" s="27">
        <v>0.44419999999999998</v>
      </c>
      <c r="U1780" s="27"/>
      <c r="V1780" s="1">
        <v>1</v>
      </c>
      <c r="W1780" s="1"/>
      <c r="X1780" s="27">
        <v>3.08</v>
      </c>
      <c r="Y1780" s="27"/>
      <c r="Z1780" s="28">
        <v>1000</v>
      </c>
      <c r="AA1780" s="28"/>
      <c r="AB1780" s="1" t="s">
        <v>13</v>
      </c>
    </row>
    <row r="1781" spans="1:28">
      <c r="A1781" t="s">
        <v>580</v>
      </c>
      <c r="B1781" s="29" t="s">
        <v>2701</v>
      </c>
      <c r="C1781" s="26" t="s">
        <v>2702</v>
      </c>
      <c r="D1781" s="1">
        <v>615</v>
      </c>
      <c r="E1781" t="s">
        <v>592</v>
      </c>
      <c r="F1781" s="3" t="s">
        <v>2703</v>
      </c>
      <c r="G1781" s="1">
        <v>68.400000000000006</v>
      </c>
      <c r="H1781" t="s">
        <v>595</v>
      </c>
      <c r="I1781" t="s">
        <v>2709</v>
      </c>
      <c r="J1781" s="1">
        <v>3</v>
      </c>
      <c r="K1781" s="1">
        <v>599.62249999999995</v>
      </c>
      <c r="L1781" s="1" t="str">
        <f>HYPERLINK("http://ms.phosphosite.org:5080/cgi-bin/plot-msms.cgi?MassType=1&amp;NumAxis=1&amp;Mod1=170&amp;Mod12=147&amp;Mod15=147&amp;Pep=RGGPGGPPGPLMEQMGGR&amp;Dta=/var/www/html/dta/yong/23612.4951.3.dta&amp;Global_Mod=CS57.0215", "4951")</f>
        <v>4951</v>
      </c>
      <c r="M1781" s="1" t="str">
        <f>HYPERLINK("http://ms.phosphosite.org:5080/cgi-bin/plot-msms.cgi?MassType=1&amp;NumAxis=1&amp;Mod1=170&amp;Mod12=147&amp;Mod15=147&amp;Pep=RGGPGGPPGPLMEQMGGR&amp;Dta=/var/www/html/dta/yong/23613.5003.3.dta&amp;Global_Mod=CS57.0215", "5003")</f>
        <v>5003</v>
      </c>
      <c r="N1781" s="27">
        <v>25.6</v>
      </c>
      <c r="O1781" s="27">
        <v>25.61</v>
      </c>
      <c r="P1781" s="27">
        <v>4.6349999999999998</v>
      </c>
      <c r="Q1781" s="27">
        <v>5.4249999999999998</v>
      </c>
      <c r="R1781" s="27">
        <v>0.70889999999999997</v>
      </c>
      <c r="S1781" s="27">
        <v>0.65410000000000001</v>
      </c>
      <c r="T1781" s="27">
        <v>0.42309999999999998</v>
      </c>
      <c r="U1781" s="27">
        <v>0.44429999999999997</v>
      </c>
      <c r="V1781" s="1">
        <v>1</v>
      </c>
      <c r="W1781" s="1">
        <v>1</v>
      </c>
      <c r="X1781" s="27">
        <v>3.18</v>
      </c>
      <c r="Y1781" s="27">
        <v>3.41</v>
      </c>
      <c r="Z1781" s="28">
        <v>1000</v>
      </c>
      <c r="AA1781" s="28">
        <v>1000</v>
      </c>
      <c r="AB1781" s="1" t="s">
        <v>13</v>
      </c>
    </row>
    <row r="1782" spans="1:28">
      <c r="A1782" t="s">
        <v>580</v>
      </c>
      <c r="B1782" s="29" t="s">
        <v>2701</v>
      </c>
      <c r="C1782" s="26" t="s">
        <v>2702</v>
      </c>
      <c r="D1782" s="1">
        <v>615</v>
      </c>
      <c r="E1782" t="s">
        <v>592</v>
      </c>
      <c r="F1782" s="3" t="s">
        <v>2703</v>
      </c>
      <c r="G1782" s="1">
        <v>68.400000000000006</v>
      </c>
      <c r="H1782" t="s">
        <v>595</v>
      </c>
      <c r="I1782" t="s">
        <v>2710</v>
      </c>
      <c r="J1782" s="1">
        <v>3</v>
      </c>
      <c r="K1782" s="1">
        <v>594.29089999999997</v>
      </c>
      <c r="L1782" s="1" t="str">
        <f>HYPERLINK("http://ms.phosphosite.org:5080/cgi-bin/plot-msms.cgi?MassType=1&amp;NumAxis=1&amp;Mod1=170&amp;Mod15=147&amp;Pep=RGGPGGPPGPLMEQMGGR&amp;Dta=/var/www/html/dta/yong/23612.6563.3.dta&amp;Global_Mod=CS57.0215", "6563")</f>
        <v>6563</v>
      </c>
      <c r="M1782" s="1"/>
      <c r="N1782" s="27">
        <v>31.64</v>
      </c>
      <c r="O1782" s="27"/>
      <c r="P1782" s="27">
        <v>4.3639999999999999</v>
      </c>
      <c r="Q1782" s="27"/>
      <c r="R1782" s="27">
        <v>0.17510000000000001</v>
      </c>
      <c r="S1782" s="27"/>
      <c r="T1782" s="27">
        <v>0.34689999999999999</v>
      </c>
      <c r="U1782" s="27"/>
      <c r="V1782" s="1">
        <v>1</v>
      </c>
      <c r="W1782" s="1"/>
      <c r="X1782" s="27">
        <v>2.76</v>
      </c>
      <c r="Y1782" s="27"/>
      <c r="Z1782" s="28">
        <v>1000</v>
      </c>
      <c r="AA1782" s="28"/>
      <c r="AB1782" s="1" t="s">
        <v>13</v>
      </c>
    </row>
    <row r="1783" spans="1:28">
      <c r="A1783" t="s">
        <v>580</v>
      </c>
      <c r="B1783" s="29" t="s">
        <v>2711</v>
      </c>
      <c r="C1783" s="26" t="s">
        <v>2712</v>
      </c>
      <c r="D1783" s="1">
        <v>884</v>
      </c>
      <c r="E1783" t="s">
        <v>2713</v>
      </c>
      <c r="F1783" s="3" t="s">
        <v>2714</v>
      </c>
      <c r="G1783" s="1">
        <v>121.8</v>
      </c>
      <c r="H1783" t="s">
        <v>2715</v>
      </c>
      <c r="I1783" t="s">
        <v>2716</v>
      </c>
      <c r="J1783" s="1">
        <v>2</v>
      </c>
      <c r="K1783" s="1">
        <v>596.81470000000002</v>
      </c>
      <c r="L1783" s="1" t="str">
        <f>HYPERLINK("http://ms.phosphosite.org:5080/cgi-bin/plot-msms.cgi?MassType=1&amp;NumAxis=1&amp;Mod11=170&amp;Pep=HFGPVPPSQGR&amp;Dta=/var/www/html/dta/yong/23612.4998.2.dta&amp;Global_Mod=CS57.0215", "4998")</f>
        <v>4998</v>
      </c>
      <c r="M1783" s="1" t="str">
        <f>HYPERLINK("http://ms.phosphosite.org:5080/cgi-bin/plot-msms.cgi?MassType=1&amp;NumAxis=1&amp;Mod11=170&amp;Pep=HFGPVPPSQGR&amp;Dta=/var/www/html/dta/yong/23613.5062.2.dta&amp;Global_Mod=CS57.0215", "5062")</f>
        <v>5062</v>
      </c>
      <c r="N1783" s="27">
        <v>25.78</v>
      </c>
      <c r="O1783" s="27">
        <v>25.85</v>
      </c>
      <c r="P1783" s="27">
        <v>2.177</v>
      </c>
      <c r="Q1783" s="27">
        <v>2.4670000000000001</v>
      </c>
      <c r="R1783" s="27">
        <v>0.39910000000000001</v>
      </c>
      <c r="S1783" s="27">
        <v>0.64390000000000003</v>
      </c>
      <c r="T1783" s="27">
        <v>0.1527</v>
      </c>
      <c r="U1783" s="27">
        <v>0.1608</v>
      </c>
      <c r="V1783" s="1">
        <v>11</v>
      </c>
      <c r="W1783" s="1">
        <v>9</v>
      </c>
      <c r="X1783" s="27">
        <v>1.18</v>
      </c>
      <c r="Y1783" s="27">
        <v>1.26</v>
      </c>
      <c r="Z1783" s="28">
        <v>1000</v>
      </c>
      <c r="AA1783" s="28">
        <v>1000</v>
      </c>
      <c r="AB1783" s="1" t="s">
        <v>13</v>
      </c>
    </row>
    <row r="1784" spans="1:28">
      <c r="A1784" t="s">
        <v>580</v>
      </c>
      <c r="B1784" s="29" t="s">
        <v>2711</v>
      </c>
      <c r="C1784" s="26" t="s">
        <v>2712</v>
      </c>
      <c r="D1784" s="1">
        <v>873</v>
      </c>
      <c r="E1784" t="s">
        <v>2713</v>
      </c>
      <c r="F1784" s="3" t="s">
        <v>2714</v>
      </c>
      <c r="G1784" s="1">
        <v>121.8</v>
      </c>
      <c r="H1784" t="s">
        <v>2717</v>
      </c>
      <c r="I1784" t="s">
        <v>2718</v>
      </c>
      <c r="J1784" s="1">
        <v>3</v>
      </c>
      <c r="K1784" s="1">
        <v>738.39800000000002</v>
      </c>
      <c r="L1784" s="1"/>
      <c r="M1784" s="1" t="str">
        <f>HYPERLINK("http://ms.phosphosite.org:5080/cgi-bin/plot-msms.cgi?MassType=1&amp;NumAxis=1&amp;Mod20=170&amp;Pep=TLPFPPPPALPFYPASAYPR&amp;Dta=/var/www/html/dta/yong/23613.20092.3.dta&amp;Global_Mod=CS57.0215", "20092")</f>
        <v>20092</v>
      </c>
      <c r="N1784" s="27"/>
      <c r="O1784" s="27">
        <v>83.49</v>
      </c>
      <c r="P1784" s="27"/>
      <c r="Q1784" s="27">
        <v>3.0609999999999999</v>
      </c>
      <c r="R1784" s="27"/>
      <c r="S1784" s="27">
        <v>1.0454000000000001</v>
      </c>
      <c r="T1784" s="27"/>
      <c r="U1784" s="27">
        <v>0.17030000000000001</v>
      </c>
      <c r="V1784" s="1"/>
      <c r="W1784" s="1">
        <v>8</v>
      </c>
      <c r="X1784" s="27"/>
      <c r="Y1784" s="27">
        <v>1.34</v>
      </c>
      <c r="Z1784" s="28"/>
      <c r="AA1784" s="28">
        <v>1000</v>
      </c>
      <c r="AB1784" s="1" t="s">
        <v>13</v>
      </c>
    </row>
    <row r="1785" spans="1:28">
      <c r="A1785" t="s">
        <v>580</v>
      </c>
      <c r="B1785" s="31" t="s">
        <v>612</v>
      </c>
      <c r="C1785" t="s">
        <v>613</v>
      </c>
      <c r="D1785" s="1">
        <v>291</v>
      </c>
      <c r="E1785" t="s">
        <v>614</v>
      </c>
      <c r="F1785" s="3" t="s">
        <v>2719</v>
      </c>
      <c r="G1785" s="1">
        <v>30.8</v>
      </c>
      <c r="H1785" t="s">
        <v>615</v>
      </c>
      <c r="I1785" t="s">
        <v>2720</v>
      </c>
      <c r="J1785" s="1">
        <v>2</v>
      </c>
      <c r="K1785" s="1">
        <v>977.9194</v>
      </c>
      <c r="L1785" s="1" t="str">
        <f>HYPERLINK("http://ms.phosphosite.org:5080/cgi-bin/plot-msms.cgi?MassType=1&amp;NumAxis=1&amp;Mod7=170&amp;Pep=SNSGPYRGGYGGGGGYGGSSF&amp;Dta=/var/www/html/dta/yong/23612.9355.2.dta&amp;Global_Mod=CS57.0215", "9355")</f>
        <v>9355</v>
      </c>
      <c r="M1785" s="1" t="str">
        <f>HYPERLINK("http://ms.phosphosite.org:5080/cgi-bin/plot-msms.cgi?MassType=1&amp;NumAxis=1&amp;Mod7=170&amp;Pep=SNSGPYRGGYGGGGGYGGSSF&amp;Dta=/var/www/html/dta/yong/23613.9422.2.dta&amp;Global_Mod=CS57.0215", "9422")</f>
        <v>9422</v>
      </c>
      <c r="N1785" s="27">
        <v>41.74</v>
      </c>
      <c r="O1785" s="27">
        <v>41.84</v>
      </c>
      <c r="P1785" s="27">
        <v>5.7839999999999998</v>
      </c>
      <c r="Q1785" s="27">
        <v>5.415</v>
      </c>
      <c r="R1785" s="27">
        <v>1.04</v>
      </c>
      <c r="S1785" s="27">
        <v>1.0257000000000001</v>
      </c>
      <c r="T1785" s="27">
        <v>0.6643</v>
      </c>
      <c r="U1785" s="27">
        <v>0.59260000000000002</v>
      </c>
      <c r="V1785" s="1">
        <v>1</v>
      </c>
      <c r="W1785" s="1">
        <v>1</v>
      </c>
      <c r="X1785" s="27">
        <v>4.07</v>
      </c>
      <c r="Y1785" s="27">
        <v>3.66</v>
      </c>
      <c r="Z1785" s="28">
        <v>1000</v>
      </c>
      <c r="AA1785" s="28">
        <v>1000</v>
      </c>
      <c r="AB1785" s="1" t="s">
        <v>13</v>
      </c>
    </row>
    <row r="1786" spans="1:28">
      <c r="A1786" t="s">
        <v>580</v>
      </c>
      <c r="B1786" s="31" t="s">
        <v>612</v>
      </c>
      <c r="C1786" t="s">
        <v>613</v>
      </c>
      <c r="D1786" s="1">
        <v>291</v>
      </c>
      <c r="E1786" t="s">
        <v>614</v>
      </c>
      <c r="F1786" s="3" t="s">
        <v>2719</v>
      </c>
      <c r="G1786" s="1">
        <v>30.8</v>
      </c>
      <c r="H1786" t="s">
        <v>615</v>
      </c>
      <c r="I1786" t="s">
        <v>2720</v>
      </c>
      <c r="J1786" s="1">
        <v>2</v>
      </c>
      <c r="K1786" s="1">
        <v>977.9194</v>
      </c>
      <c r="L1786" s="1"/>
      <c r="M1786" s="1" t="str">
        <f>HYPERLINK("http://ms.phosphosite.org:5080/cgi-bin/plot-msms.cgi?MassType=1&amp;NumAxis=1&amp;Mod7=170&amp;Pep=SNSGPYRGGYGGGGGYGGSSF&amp;Dta=/var/www/html/dta/yong/23613.9411.2.dta&amp;Global_Mod=CS57.0215", "9411")</f>
        <v>9411</v>
      </c>
      <c r="N1786" s="27"/>
      <c r="O1786" s="27">
        <v>41.81</v>
      </c>
      <c r="P1786" s="27"/>
      <c r="Q1786" s="27">
        <v>5.26</v>
      </c>
      <c r="R1786" s="27"/>
      <c r="S1786" s="27">
        <v>1.0257000000000001</v>
      </c>
      <c r="T1786" s="27"/>
      <c r="U1786" s="27">
        <v>0.65510000000000002</v>
      </c>
      <c r="V1786" s="1"/>
      <c r="W1786" s="1">
        <v>1</v>
      </c>
      <c r="X1786" s="27"/>
      <c r="Y1786" s="27">
        <v>3.94</v>
      </c>
      <c r="Z1786" s="28"/>
      <c r="AA1786" s="28">
        <v>1000</v>
      </c>
      <c r="AB1786" s="1" t="s">
        <v>13</v>
      </c>
    </row>
    <row r="1787" spans="1:28">
      <c r="A1787" t="s">
        <v>580</v>
      </c>
      <c r="B1787" s="31" t="s">
        <v>2721</v>
      </c>
      <c r="C1787" t="s">
        <v>2722</v>
      </c>
      <c r="D1787" s="1">
        <v>232</v>
      </c>
      <c r="E1787" t="s">
        <v>617</v>
      </c>
      <c r="F1787" s="3" t="s">
        <v>2723</v>
      </c>
      <c r="G1787" s="1">
        <v>38.700000000000003</v>
      </c>
      <c r="H1787" t="s">
        <v>2724</v>
      </c>
      <c r="I1787" t="s">
        <v>2725</v>
      </c>
      <c r="J1787" s="1">
        <v>3</v>
      </c>
      <c r="K1787" s="1">
        <v>1082.4477999999999</v>
      </c>
      <c r="L1787" s="1" t="str">
        <f>HYPERLINK("http://ms.phosphosite.org:5080/cgi-bin/plot-msms.cgi?MassType=1&amp;NumAxis=1&amp;Mod4=170&amp;Pep=GGSRGGGGYGGSGDGYNGFGNDGGYGGGGPGYSGGSR&amp;Dta=/var/www/html/dta/yong/23612.8513.3.dta&amp;Global_Mod=CS57.0215", "8513")</f>
        <v>8513</v>
      </c>
      <c r="M1787" s="1" t="str">
        <f>HYPERLINK("http://ms.phosphosite.org:5080/cgi-bin/plot-msms.cgi?MassType=1&amp;NumAxis=1&amp;Mod4=170&amp;Pep=GGSRGGGGYGGSGDGYNGFGNDGGYGGGGPGYSGGSR&amp;Dta=/var/www/html/dta/yong/23613.8532.3.dta&amp;Global_Mod=CS57.0215", "8532")</f>
        <v>8532</v>
      </c>
      <c r="N1787" s="27">
        <v>38.69</v>
      </c>
      <c r="O1787" s="27">
        <v>38.68</v>
      </c>
      <c r="P1787" s="27">
        <v>5.5910000000000002</v>
      </c>
      <c r="Q1787" s="27">
        <v>6.5679999999999996</v>
      </c>
      <c r="R1787" s="27">
        <v>1.2534000000000001</v>
      </c>
      <c r="S1787" s="27">
        <v>1.5346</v>
      </c>
      <c r="T1787" s="27">
        <v>0.4778</v>
      </c>
      <c r="U1787" s="27">
        <v>0.50139999999999996</v>
      </c>
      <c r="V1787" s="1">
        <v>1</v>
      </c>
      <c r="W1787" s="1">
        <v>1</v>
      </c>
      <c r="X1787" s="27">
        <v>3.22</v>
      </c>
      <c r="Y1787" s="27">
        <v>3.47</v>
      </c>
      <c r="Z1787" s="28">
        <v>1000</v>
      </c>
      <c r="AA1787" s="28">
        <v>1000</v>
      </c>
      <c r="AB1787" s="1" t="s">
        <v>13</v>
      </c>
    </row>
    <row r="1788" spans="1:28">
      <c r="A1788" t="s">
        <v>580</v>
      </c>
      <c r="B1788" s="31" t="s">
        <v>2721</v>
      </c>
      <c r="C1788" t="s">
        <v>2722</v>
      </c>
      <c r="D1788" s="1">
        <v>232</v>
      </c>
      <c r="E1788" t="s">
        <v>617</v>
      </c>
      <c r="F1788" s="3" t="s">
        <v>2723</v>
      </c>
      <c r="G1788" s="1">
        <v>38.700000000000003</v>
      </c>
      <c r="H1788" t="s">
        <v>2724</v>
      </c>
      <c r="I1788" t="s">
        <v>2725</v>
      </c>
      <c r="J1788" s="1">
        <v>3</v>
      </c>
      <c r="K1788" s="1">
        <v>1082.4477999999999</v>
      </c>
      <c r="L1788" s="1" t="str">
        <f>HYPERLINK("http://ms.phosphosite.org:5080/cgi-bin/plot-msms.cgi?MassType=1&amp;NumAxis=1&amp;Mod4=170&amp;Pep=GGSRGGGGYGGSGDGYNGFGNDGGYGGGGPGYSGGSR&amp;Dta=/var/www/html/dta/yong/23612.8490.3.dta&amp;Global_Mod=CS57.0215", "8490")</f>
        <v>8490</v>
      </c>
      <c r="M1788" s="1"/>
      <c r="N1788" s="27">
        <v>38.6</v>
      </c>
      <c r="O1788" s="27"/>
      <c r="P1788" s="27">
        <v>7.9109999999999996</v>
      </c>
      <c r="Q1788" s="27"/>
      <c r="R1788" s="27">
        <v>1.2534000000000001</v>
      </c>
      <c r="S1788" s="27"/>
      <c r="T1788" s="27">
        <v>0.5867</v>
      </c>
      <c r="U1788" s="27"/>
      <c r="V1788" s="1">
        <v>1</v>
      </c>
      <c r="W1788" s="1"/>
      <c r="X1788" s="27">
        <v>4.2</v>
      </c>
      <c r="Y1788" s="27"/>
      <c r="Z1788" s="28">
        <v>1000</v>
      </c>
      <c r="AA1788" s="28"/>
      <c r="AB1788" s="1" t="s">
        <v>13</v>
      </c>
    </row>
    <row r="1789" spans="1:28">
      <c r="A1789" t="s">
        <v>580</v>
      </c>
      <c r="B1789" s="31" t="s">
        <v>2721</v>
      </c>
      <c r="C1789" t="s">
        <v>2722</v>
      </c>
      <c r="D1789" s="1">
        <v>232</v>
      </c>
      <c r="E1789" t="s">
        <v>617</v>
      </c>
      <c r="F1789" s="3" t="s">
        <v>2723</v>
      </c>
      <c r="G1789" s="1">
        <v>34.200000000000003</v>
      </c>
      <c r="H1789" t="s">
        <v>2724</v>
      </c>
      <c r="I1789" t="s">
        <v>2726</v>
      </c>
      <c r="J1789" s="1">
        <v>4</v>
      </c>
      <c r="K1789" s="1">
        <v>1264.2652</v>
      </c>
      <c r="L1789" s="1" t="str">
        <f>HYPERLINK("http://ms.phosphosite.org:5080/cgi-bin/plot-msms.cgi?MassType=1&amp;NumAxis=1&amp;Mod7=170&amp;Mod51=147&amp;Pep=GGFGGSRGGGGYGGSGDGYNGFGNDGSNFGGGGSYNDFGNYNNQSSNFGPMK&amp;Dta=/var/www/html/dta/yong/23612.13591.4.dta&amp;Global_Mod=CS57.0215", "13591")</f>
        <v>13591</v>
      </c>
      <c r="M1789" s="1"/>
      <c r="N1789" s="27">
        <v>56.39</v>
      </c>
      <c r="O1789" s="27"/>
      <c r="P1789" s="27">
        <v>3.5760000000000001</v>
      </c>
      <c r="Q1789" s="27"/>
      <c r="R1789" s="27">
        <v>-0.31609999999999999</v>
      </c>
      <c r="S1789" s="27"/>
      <c r="T1789" s="27">
        <v>0.24399999999999999</v>
      </c>
      <c r="U1789" s="27"/>
      <c r="V1789" s="1">
        <v>2</v>
      </c>
      <c r="W1789" s="1"/>
      <c r="X1789" s="27">
        <v>1.47</v>
      </c>
      <c r="Y1789" s="27"/>
      <c r="Z1789" s="28">
        <v>1000</v>
      </c>
      <c r="AA1789" s="28"/>
      <c r="AB1789" s="1" t="s">
        <v>13</v>
      </c>
    </row>
    <row r="1790" spans="1:28">
      <c r="A1790" t="s">
        <v>580</v>
      </c>
      <c r="B1790" s="31" t="s">
        <v>2721</v>
      </c>
      <c r="C1790" t="s">
        <v>2722</v>
      </c>
      <c r="D1790" s="1">
        <v>232</v>
      </c>
      <c r="E1790" t="s">
        <v>617</v>
      </c>
      <c r="F1790" s="3" t="s">
        <v>2723</v>
      </c>
      <c r="G1790" s="1">
        <v>34.200000000000003</v>
      </c>
      <c r="H1790" t="s">
        <v>2724</v>
      </c>
      <c r="I1790" t="s">
        <v>2726</v>
      </c>
      <c r="J1790" s="1">
        <v>4</v>
      </c>
      <c r="K1790" s="1">
        <v>1264.2652</v>
      </c>
      <c r="L1790" s="1" t="str">
        <f>HYPERLINK("http://ms.phosphosite.org:5080/cgi-bin/plot-msms.cgi?MassType=1&amp;NumAxis=1&amp;Mod7=170&amp;Mod51=147&amp;Pep=GGFGGSRGGGGYGGSGDGYNGFGNDGSNFGGGGSYNDFGNYNNQSSNFGPMK&amp;Dta=/var/www/html/dta/yong/23612.13566.4.dta&amp;Global_Mod=CS57.0215", "13566")</f>
        <v>13566</v>
      </c>
      <c r="M1790" s="1"/>
      <c r="N1790" s="27">
        <v>56.29</v>
      </c>
      <c r="O1790" s="27"/>
      <c r="P1790" s="27">
        <v>7.0549999999999997</v>
      </c>
      <c r="Q1790" s="27"/>
      <c r="R1790" s="27">
        <v>-0.31609999999999999</v>
      </c>
      <c r="S1790" s="27"/>
      <c r="T1790" s="27">
        <v>0.47670000000000001</v>
      </c>
      <c r="U1790" s="27"/>
      <c r="V1790" s="1">
        <v>1</v>
      </c>
      <c r="W1790" s="1"/>
      <c r="X1790" s="27">
        <v>3.29</v>
      </c>
      <c r="Y1790" s="27"/>
      <c r="Z1790" s="28">
        <v>1000</v>
      </c>
      <c r="AA1790" s="28"/>
      <c r="AB1790" s="1" t="s">
        <v>13</v>
      </c>
    </row>
    <row r="1791" spans="1:28">
      <c r="A1791" t="s">
        <v>580</v>
      </c>
      <c r="B1791" s="31" t="s">
        <v>2721</v>
      </c>
      <c r="C1791" t="s">
        <v>2722</v>
      </c>
      <c r="D1791" s="1">
        <v>232</v>
      </c>
      <c r="E1791" t="s">
        <v>617</v>
      </c>
      <c r="F1791" s="3" t="s">
        <v>2723</v>
      </c>
      <c r="G1791" s="1">
        <v>34.200000000000003</v>
      </c>
      <c r="H1791" t="s">
        <v>2724</v>
      </c>
      <c r="I1791" t="s">
        <v>2727</v>
      </c>
      <c r="J1791" s="1">
        <v>4</v>
      </c>
      <c r="K1791" s="1">
        <v>1198.9873</v>
      </c>
      <c r="L1791" s="1" t="str">
        <f>HYPERLINK("http://ms.phosphosite.org:5080/cgi-bin/plot-msms.cgi?MassType=1&amp;NumAxis=1&amp;Mod4=170&amp;Mod48=147&amp;Pep=GGSRGGGGYGGSGDGYNGFGNDGSNFGGGGSYNDFGNYNNQSSNFGPMK&amp;Dta=/var/www/html/dta/yong/23612.12823.4.dta&amp;Global_Mod=CS57.0215", "12823")</f>
        <v>12823</v>
      </c>
      <c r="M1791" s="1" t="str">
        <f>HYPERLINK("http://ms.phosphosite.org:5080/cgi-bin/plot-msms.cgi?MassType=1&amp;NumAxis=1&amp;Mod4=170&amp;Mod48=147&amp;Pep=GGSRGGGGYGGSGDGYNGFGNDGSNFGGGGSYNDFGNYNNQSSNFGPMK&amp;Dta=/var/www/html/dta/yong/23613.12920.4.dta&amp;Global_Mod=CS57.0215", "12920")</f>
        <v>12920</v>
      </c>
      <c r="N1791" s="27">
        <v>53.64</v>
      </c>
      <c r="O1791" s="27">
        <v>53.64</v>
      </c>
      <c r="P1791" s="27">
        <v>4.4989999999999997</v>
      </c>
      <c r="Q1791" s="27">
        <v>4.9379999999999997</v>
      </c>
      <c r="R1791" s="27">
        <v>1.8122</v>
      </c>
      <c r="S1791" s="27">
        <v>1.7807999999999999</v>
      </c>
      <c r="T1791" s="27">
        <v>0.39169999999999999</v>
      </c>
      <c r="U1791" s="27">
        <v>0.27729999999999999</v>
      </c>
      <c r="V1791" s="1">
        <v>1</v>
      </c>
      <c r="W1791" s="1">
        <v>1</v>
      </c>
      <c r="X1791" s="27">
        <v>2.38</v>
      </c>
      <c r="Y1791" s="27">
        <v>1.8</v>
      </c>
      <c r="Z1791" s="28">
        <v>1000</v>
      </c>
      <c r="AA1791" s="28">
        <v>1000</v>
      </c>
      <c r="AB1791" s="1" t="s">
        <v>13</v>
      </c>
    </row>
    <row r="1792" spans="1:28">
      <c r="A1792" t="s">
        <v>580</v>
      </c>
      <c r="B1792" s="31" t="s">
        <v>2721</v>
      </c>
      <c r="C1792" t="s">
        <v>2722</v>
      </c>
      <c r="D1792" s="1">
        <v>232</v>
      </c>
      <c r="E1792" t="s">
        <v>617</v>
      </c>
      <c r="F1792" s="3" t="s">
        <v>2723</v>
      </c>
      <c r="G1792" s="1">
        <v>34.200000000000003</v>
      </c>
      <c r="H1792" t="s">
        <v>2724</v>
      </c>
      <c r="I1792" t="s">
        <v>2727</v>
      </c>
      <c r="J1792" s="1">
        <v>4</v>
      </c>
      <c r="K1792" s="1">
        <v>1198.9873</v>
      </c>
      <c r="L1792" s="1" t="str">
        <f>HYPERLINK("http://ms.phosphosite.org:5080/cgi-bin/plot-msms.cgi?MassType=1&amp;NumAxis=1&amp;Mod4=170&amp;Mod48=147&amp;Pep=GGSRGGGGYGGSGDGYNGFGNDGSNFGGGGSYNDFGNYNNQSSNFGPMK&amp;Dta=/var/www/html/dta/yong/23612.12814.4.dta&amp;Global_Mod=CS57.0215", "12814")</f>
        <v>12814</v>
      </c>
      <c r="M1792" s="1"/>
      <c r="N1792" s="27">
        <v>53.6</v>
      </c>
      <c r="O1792" s="27"/>
      <c r="P1792" s="27">
        <v>6.18</v>
      </c>
      <c r="Q1792" s="27"/>
      <c r="R1792" s="27">
        <v>1.8122</v>
      </c>
      <c r="S1792" s="27"/>
      <c r="T1792" s="27">
        <v>0.54459999999999997</v>
      </c>
      <c r="U1792" s="27"/>
      <c r="V1792" s="1">
        <v>1</v>
      </c>
      <c r="W1792" s="1"/>
      <c r="X1792" s="27">
        <v>3.46</v>
      </c>
      <c r="Y1792" s="27"/>
      <c r="Z1792" s="28">
        <v>1000</v>
      </c>
      <c r="AA1792" s="28"/>
      <c r="AB1792" s="1" t="s">
        <v>13</v>
      </c>
    </row>
    <row r="1793" spans="1:28">
      <c r="A1793" t="s">
        <v>580</v>
      </c>
      <c r="B1793" s="31" t="s">
        <v>2721</v>
      </c>
      <c r="C1793" t="s">
        <v>2722</v>
      </c>
      <c r="D1793" s="1">
        <v>232</v>
      </c>
      <c r="E1793" t="s">
        <v>617</v>
      </c>
      <c r="F1793" s="3" t="s">
        <v>2723</v>
      </c>
      <c r="G1793" s="1">
        <v>34.200000000000003</v>
      </c>
      <c r="H1793" t="s">
        <v>2724</v>
      </c>
      <c r="I1793" t="s">
        <v>2727</v>
      </c>
      <c r="J1793" s="1">
        <v>4</v>
      </c>
      <c r="K1793" s="1">
        <v>1198.9873</v>
      </c>
      <c r="L1793" s="1" t="str">
        <f>HYPERLINK("http://ms.phosphosite.org:5080/cgi-bin/plot-msms.cgi?MassType=1&amp;NumAxis=1&amp;Mod4=170&amp;Mod48=147&amp;Pep=GGSRGGGGYGGSGDGYNGFGNDGSNFGGGGSYNDFGNYNNQSSNFGPMK&amp;Dta=/var/www/html/dta/yong/23612.12943.4.dta&amp;Global_Mod=CS57.0215", "12943")</f>
        <v>12943</v>
      </c>
      <c r="M1793" s="1"/>
      <c r="N1793" s="27">
        <v>54.03</v>
      </c>
      <c r="O1793" s="27"/>
      <c r="P1793" s="27">
        <v>3.77</v>
      </c>
      <c r="Q1793" s="27"/>
      <c r="R1793" s="27">
        <v>1.1941999999999999</v>
      </c>
      <c r="S1793" s="27"/>
      <c r="T1793" s="27">
        <v>0.28139999999999998</v>
      </c>
      <c r="U1793" s="27"/>
      <c r="V1793" s="1">
        <v>4</v>
      </c>
      <c r="W1793" s="1"/>
      <c r="X1793" s="27">
        <v>1.72</v>
      </c>
      <c r="Y1793" s="27"/>
      <c r="Z1793" s="28">
        <v>1000</v>
      </c>
      <c r="AA1793" s="28"/>
      <c r="AB1793" s="1" t="s">
        <v>13</v>
      </c>
    </row>
    <row r="1794" spans="1:28">
      <c r="A1794" t="s">
        <v>580</v>
      </c>
      <c r="B1794" s="31" t="s">
        <v>2721</v>
      </c>
      <c r="C1794" t="s">
        <v>2722</v>
      </c>
      <c r="D1794" s="1">
        <v>232</v>
      </c>
      <c r="E1794" t="s">
        <v>617</v>
      </c>
      <c r="F1794" s="3" t="s">
        <v>2723</v>
      </c>
      <c r="G1794" s="1">
        <v>34.200000000000003</v>
      </c>
      <c r="H1794" t="s">
        <v>2724</v>
      </c>
      <c r="I1794" t="s">
        <v>2728</v>
      </c>
      <c r="J1794" s="1">
        <v>4</v>
      </c>
      <c r="K1794" s="1">
        <v>1148.7185999999999</v>
      </c>
      <c r="L1794" s="1" t="str">
        <f>HYPERLINK("http://ms.phosphosite.org:5080/cgi-bin/plot-msms.cgi?MassType=1&amp;NumAxis=1&amp;Mod1=170&amp;Mod45=147&amp;Pep=RGGGGYGGSGDGYNGFGNDGSNFGGGGSYNDFGNYNNQSSNFGPMK&amp;Dta=/var/www/html/dta/yong/23612.12933.4.dta&amp;Global_Mod=CS57.0215", "12933")</f>
        <v>12933</v>
      </c>
      <c r="M1794" s="1" t="str">
        <f>HYPERLINK("http://ms.phosphosite.org:5080/cgi-bin/plot-msms.cgi?MassType=1&amp;NumAxis=1&amp;Mod1=170&amp;Mod45=147&amp;Pep=RGGGGYGGSGDGYNGFGNDGSNFGGGGSYNDFGNYNNQSSNFGPMK&amp;Dta=/var/www/html/dta/yong/23613.13048.4.dta&amp;Global_Mod=CS57.0215", "13048")</f>
        <v>13048</v>
      </c>
      <c r="N1794" s="27">
        <v>53.99</v>
      </c>
      <c r="O1794" s="27">
        <v>54.08</v>
      </c>
      <c r="P1794" s="27">
        <v>4.9189999999999996</v>
      </c>
      <c r="Q1794" s="27">
        <v>4.0819999999999999</v>
      </c>
      <c r="R1794" s="27">
        <v>1.9690000000000001</v>
      </c>
      <c r="S1794" s="27">
        <v>1.1855</v>
      </c>
      <c r="T1794" s="27">
        <v>0.41770000000000002</v>
      </c>
      <c r="U1794" s="27">
        <v>0.41270000000000001</v>
      </c>
      <c r="V1794" s="1">
        <v>1</v>
      </c>
      <c r="W1794" s="1">
        <v>1</v>
      </c>
      <c r="X1794" s="27">
        <v>2.61</v>
      </c>
      <c r="Y1794" s="27">
        <v>2.36</v>
      </c>
      <c r="Z1794" s="28">
        <v>1000</v>
      </c>
      <c r="AA1794" s="28">
        <v>1000</v>
      </c>
      <c r="AB1794" s="1" t="s">
        <v>13</v>
      </c>
    </row>
    <row r="1795" spans="1:28">
      <c r="A1795" t="s">
        <v>580</v>
      </c>
      <c r="B1795" s="31" t="s">
        <v>2721</v>
      </c>
      <c r="C1795" t="s">
        <v>2722</v>
      </c>
      <c r="D1795" s="1">
        <v>232</v>
      </c>
      <c r="E1795" t="s">
        <v>617</v>
      </c>
      <c r="F1795" s="3" t="s">
        <v>2723</v>
      </c>
      <c r="G1795" s="1">
        <v>34.200000000000003</v>
      </c>
      <c r="H1795" t="s">
        <v>2724</v>
      </c>
      <c r="I1795" t="s">
        <v>2728</v>
      </c>
      <c r="J1795" s="1">
        <v>4</v>
      </c>
      <c r="K1795" s="1">
        <v>1148.7185999999999</v>
      </c>
      <c r="L1795" s="1"/>
      <c r="M1795" s="1" t="str">
        <f>HYPERLINK("http://ms.phosphosite.org:5080/cgi-bin/plot-msms.cgi?MassType=1&amp;NumAxis=1&amp;Mod1=170&amp;Mod45=147&amp;Pep=RGGGGYGGSGDGYNGFGNDGSNFGGGGSYNDFGNYNNQSSNFGPMK&amp;Dta=/var/www/html/dta/yong/23613.13035.4.dta&amp;Global_Mod=CS57.0215", "13035")</f>
        <v>13035</v>
      </c>
      <c r="N1795" s="27"/>
      <c r="O1795" s="27">
        <v>54.04</v>
      </c>
      <c r="P1795" s="27"/>
      <c r="Q1795" s="27">
        <v>4.508</v>
      </c>
      <c r="R1795" s="27"/>
      <c r="S1795" s="27">
        <v>1.9699</v>
      </c>
      <c r="T1795" s="27"/>
      <c r="U1795" s="27">
        <v>0.35099999999999998</v>
      </c>
      <c r="V1795" s="1"/>
      <c r="W1795" s="1">
        <v>1</v>
      </c>
      <c r="X1795" s="27"/>
      <c r="Y1795" s="27">
        <v>2.11</v>
      </c>
      <c r="Z1795" s="28"/>
      <c r="AA1795" s="28">
        <v>1000</v>
      </c>
      <c r="AB1795" s="1" t="s">
        <v>13</v>
      </c>
    </row>
    <row r="1796" spans="1:28">
      <c r="A1796" t="s">
        <v>580</v>
      </c>
      <c r="B1796" s="31" t="s">
        <v>2721</v>
      </c>
      <c r="C1796" t="s">
        <v>2722</v>
      </c>
      <c r="D1796" s="1">
        <v>232</v>
      </c>
      <c r="E1796" t="s">
        <v>617</v>
      </c>
      <c r="F1796" s="3" t="s">
        <v>2723</v>
      </c>
      <c r="G1796" s="1">
        <v>34.200000000000003</v>
      </c>
      <c r="H1796" t="s">
        <v>2724</v>
      </c>
      <c r="I1796" t="s">
        <v>2728</v>
      </c>
      <c r="J1796" s="1">
        <v>4</v>
      </c>
      <c r="K1796" s="1">
        <v>1148.7185999999999</v>
      </c>
      <c r="L1796" s="1"/>
      <c r="M1796" s="1" t="str">
        <f>HYPERLINK("http://ms.phosphosite.org:5080/cgi-bin/plot-msms.cgi?MassType=1&amp;NumAxis=1&amp;Mod1=170&amp;Mod45=147&amp;Pep=RGGGGYGGSGDGYNGFGNDGSNFGGGGSYNDFGNYNNQSSNFGPMK&amp;Dta=/var/www/html/dta/yong/23613.13067.4.dta&amp;Global_Mod=CS57.0215", "13067")</f>
        <v>13067</v>
      </c>
      <c r="N1796" s="27"/>
      <c r="O1796" s="27">
        <v>54.15</v>
      </c>
      <c r="P1796" s="27"/>
      <c r="Q1796" s="27">
        <v>2.8559999999999999</v>
      </c>
      <c r="R1796" s="27"/>
      <c r="S1796" s="27">
        <v>1.1855</v>
      </c>
      <c r="T1796" s="27"/>
      <c r="U1796" s="27">
        <v>0.25409999999999999</v>
      </c>
      <c r="V1796" s="1"/>
      <c r="W1796" s="1">
        <v>6</v>
      </c>
      <c r="X1796" s="27"/>
      <c r="Y1796" s="27">
        <v>1.33</v>
      </c>
      <c r="Z1796" s="28"/>
      <c r="AA1796" s="28">
        <v>1000</v>
      </c>
      <c r="AB1796" s="1" t="s">
        <v>13</v>
      </c>
    </row>
    <row r="1797" spans="1:28">
      <c r="A1797" t="s">
        <v>580</v>
      </c>
      <c r="B1797" s="31" t="s">
        <v>2721</v>
      </c>
      <c r="C1797" t="s">
        <v>2722</v>
      </c>
      <c r="D1797" s="1" t="s">
        <v>2729</v>
      </c>
      <c r="E1797" t="s">
        <v>617</v>
      </c>
      <c r="F1797" s="3" t="s">
        <v>2723</v>
      </c>
      <c r="G1797" s="1">
        <v>34.200000000000003</v>
      </c>
      <c r="H1797" t="s">
        <v>2730</v>
      </c>
      <c r="I1797" t="s">
        <v>2731</v>
      </c>
      <c r="J1797" s="1">
        <v>4</v>
      </c>
      <c r="K1797" s="1">
        <v>1436.5962999999999</v>
      </c>
      <c r="L1797" s="1" t="str">
        <f>HYPERLINK("http://ms.phosphosite.org:5080/cgi-bin/plot-msms.cgi?MassType=1&amp;NumAxis=1&amp;Mod7=170&amp;Mod14=170&amp;Mod58=147&amp;Pep=GGNFSGRGGFGGSRGGGGYGGSGDGYNGFGNDGSNFGGGGSYNDFGNYNNQSSNFGPMK&amp;Dta=/var/www/html/dta/yong/23612.12953.4.dta&amp;Global_Mod=CS57.0215", "12953")</f>
        <v>12953</v>
      </c>
      <c r="M1797" s="1"/>
      <c r="N1797" s="27">
        <v>54.07</v>
      </c>
      <c r="O1797" s="27"/>
      <c r="P1797" s="27">
        <v>4.3789999999999996</v>
      </c>
      <c r="Q1797" s="27"/>
      <c r="R1797" s="27">
        <v>0.68959999999999999</v>
      </c>
      <c r="S1797" s="27"/>
      <c r="T1797" s="27">
        <v>0.35270000000000001</v>
      </c>
      <c r="U1797" s="27"/>
      <c r="V1797" s="1">
        <v>1</v>
      </c>
      <c r="W1797" s="1"/>
      <c r="X1797" s="27">
        <v>1.92</v>
      </c>
      <c r="Y1797" s="27"/>
      <c r="Z1797" s="28" t="s">
        <v>1306</v>
      </c>
      <c r="AA1797" s="28"/>
      <c r="AB1797" s="1" t="s">
        <v>13</v>
      </c>
    </row>
    <row r="1798" spans="1:28">
      <c r="A1798" t="s">
        <v>580</v>
      </c>
      <c r="B1798" s="31" t="s">
        <v>2732</v>
      </c>
      <c r="C1798" s="26" t="s">
        <v>2733</v>
      </c>
      <c r="D1798" s="1">
        <v>206</v>
      </c>
      <c r="E1798" t="s">
        <v>617</v>
      </c>
      <c r="F1798" s="3" t="s">
        <v>2723</v>
      </c>
      <c r="G1798" s="1">
        <v>34.200000000000003</v>
      </c>
      <c r="H1798" t="s">
        <v>2734</v>
      </c>
      <c r="I1798" t="s">
        <v>2735</v>
      </c>
      <c r="J1798" s="1">
        <v>4</v>
      </c>
      <c r="K1798" s="1">
        <v>845.89049999999997</v>
      </c>
      <c r="L1798" s="1"/>
      <c r="M1798" s="1" t="str">
        <f>HYPERLINK("http://ms.phosphosite.org:5080/cgi-bin/plot-msms.cgi?MassType=1&amp;NumAxis=1&amp;Mod10=170&amp;Mod22=170&amp;Mod29=170&amp;Mod36=170&amp;Pep=SGSGNFGGGRGGGFGGNDNFGRGGNFSGRGGFGGSR&amp;Dta=/var/www/html/dta/yong/23613.9383.4.dta&amp;Global_Mod=CS57.0215", "9383")</f>
        <v>9383</v>
      </c>
      <c r="N1798" s="27"/>
      <c r="O1798" s="27">
        <v>41.69</v>
      </c>
      <c r="P1798" s="27"/>
      <c r="Q1798" s="27">
        <v>3.5049999999999999</v>
      </c>
      <c r="R1798" s="27"/>
      <c r="S1798" s="27">
        <v>1.1740999999999999</v>
      </c>
      <c r="T1798" s="27"/>
      <c r="U1798" s="27">
        <v>0.19739999999999999</v>
      </c>
      <c r="V1798" s="1"/>
      <c r="W1798" s="1">
        <v>6</v>
      </c>
      <c r="X1798" s="27"/>
      <c r="Y1798" s="27">
        <v>1.05</v>
      </c>
      <c r="Z1798" s="28"/>
      <c r="AA1798" s="28" t="s">
        <v>1305</v>
      </c>
      <c r="AB1798" s="1" t="s">
        <v>13</v>
      </c>
    </row>
    <row r="1799" spans="1:28">
      <c r="A1799" t="s">
        <v>580</v>
      </c>
      <c r="B1799" s="31" t="s">
        <v>2732</v>
      </c>
      <c r="C1799" s="26" t="s">
        <v>2733</v>
      </c>
      <c r="D1799" s="1">
        <v>206</v>
      </c>
      <c r="E1799" t="s">
        <v>617</v>
      </c>
      <c r="F1799" s="3" t="s">
        <v>2723</v>
      </c>
      <c r="G1799" s="1">
        <v>34.200000000000003</v>
      </c>
      <c r="H1799" t="s">
        <v>625</v>
      </c>
      <c r="I1799" t="s">
        <v>2736</v>
      </c>
      <c r="J1799" s="1">
        <v>3</v>
      </c>
      <c r="K1799" s="1">
        <v>548.25379999999996</v>
      </c>
      <c r="L1799" s="1" t="str">
        <f>HYPERLINK("http://ms.phosphosite.org:5080/cgi-bin/plot-msms.cgi?MassType=1&amp;NumAxis=1&amp;Mod5=170&amp;Pep=FGGGRGGGFGGNDNFGR&amp;Dta=/var/www/html/dta/yong/23612.7694.3.dta&amp;Global_Mod=CS57.0215", "7694")</f>
        <v>7694</v>
      </c>
      <c r="M1799" s="1" t="str">
        <f>HYPERLINK("http://ms.phosphosite.org:5080/cgi-bin/plot-msms.cgi?MassType=1&amp;NumAxis=1&amp;Mod5=170&amp;Pep=FGGGRGGGFGGNDNFGR&amp;Dta=/var/www/html/dta/yong/23613.7733.3.dta&amp;Global_Mod=CS57.0215", "7733")</f>
        <v>7733</v>
      </c>
      <c r="N1799" s="27">
        <v>35.76</v>
      </c>
      <c r="O1799" s="27">
        <v>35.78</v>
      </c>
      <c r="P1799" s="27">
        <v>4.3929999999999998</v>
      </c>
      <c r="Q1799" s="27">
        <v>3.9209999999999998</v>
      </c>
      <c r="R1799" s="27">
        <v>-0.42670000000000002</v>
      </c>
      <c r="S1799" s="27">
        <v>-0.25069999999999998</v>
      </c>
      <c r="T1799" s="27">
        <v>0.40749999999999997</v>
      </c>
      <c r="U1799" s="27">
        <v>0.43659999999999999</v>
      </c>
      <c r="V1799" s="1">
        <v>1</v>
      </c>
      <c r="W1799" s="1">
        <v>1</v>
      </c>
      <c r="X1799" s="27">
        <v>2.86</v>
      </c>
      <c r="Y1799" s="27">
        <v>2.88</v>
      </c>
      <c r="Z1799" s="28">
        <v>1000</v>
      </c>
      <c r="AA1799" s="28">
        <v>1000</v>
      </c>
      <c r="AB1799" s="1" t="s">
        <v>13</v>
      </c>
    </row>
    <row r="1800" spans="1:28">
      <c r="A1800" t="s">
        <v>580</v>
      </c>
      <c r="B1800" s="31" t="s">
        <v>2732</v>
      </c>
      <c r="C1800" s="26" t="s">
        <v>2733</v>
      </c>
      <c r="D1800" s="1">
        <v>206</v>
      </c>
      <c r="E1800" t="s">
        <v>617</v>
      </c>
      <c r="F1800" s="3" t="s">
        <v>2723</v>
      </c>
      <c r="G1800" s="1">
        <v>34.200000000000003</v>
      </c>
      <c r="H1800" t="s">
        <v>625</v>
      </c>
      <c r="I1800" t="s">
        <v>2737</v>
      </c>
      <c r="J1800" s="1">
        <v>2</v>
      </c>
      <c r="K1800" s="1">
        <v>455.21230000000003</v>
      </c>
      <c r="L1800" s="1" t="str">
        <f>HYPERLINK("http://ms.phosphosite.org:5080/cgi-bin/plot-msms.cgi?MassType=1&amp;NumAxis=1&amp;Mod10=170&amp;Pep=SGSGNFGGGR&amp;Dta=/var/www/html/dta/yong/23612.2320.2.dta&amp;Global_Mod=CS57.0215", "2320")</f>
        <v>2320</v>
      </c>
      <c r="M1800" s="1" t="str">
        <f>HYPERLINK("http://ms.phosphosite.org:5080/cgi-bin/plot-msms.cgi?MassType=1&amp;NumAxis=1&amp;Mod10=170&amp;Pep=SGSGNFGGGR&amp;Dta=/var/www/html/dta/yong/23613.2342.2.dta&amp;Global_Mod=CS57.0215", "2342")</f>
        <v>2342</v>
      </c>
      <c r="N1800" s="27">
        <v>15.61</v>
      </c>
      <c r="O1800" s="27">
        <v>15.53</v>
      </c>
      <c r="P1800" s="27">
        <v>2.5920000000000001</v>
      </c>
      <c r="Q1800" s="27">
        <v>2.7679999999999998</v>
      </c>
      <c r="R1800" s="27">
        <v>9.4799999999999995E-2</v>
      </c>
      <c r="S1800" s="27">
        <v>0.17649999999999999</v>
      </c>
      <c r="T1800" s="27">
        <v>0.10440000000000001</v>
      </c>
      <c r="U1800" s="27">
        <v>0.12989999999999999</v>
      </c>
      <c r="V1800" s="1">
        <v>1</v>
      </c>
      <c r="W1800" s="1">
        <v>5</v>
      </c>
      <c r="X1800" s="27">
        <v>1.25</v>
      </c>
      <c r="Y1800" s="27">
        <v>1.39</v>
      </c>
      <c r="Z1800" s="28">
        <v>1000</v>
      </c>
      <c r="AA1800" s="28">
        <v>1000</v>
      </c>
      <c r="AB1800" s="1" t="s">
        <v>13</v>
      </c>
    </row>
    <row r="1801" spans="1:28">
      <c r="A1801" t="s">
        <v>580</v>
      </c>
      <c r="B1801" s="31" t="s">
        <v>2732</v>
      </c>
      <c r="C1801" s="26" t="s">
        <v>2733</v>
      </c>
      <c r="D1801" s="1">
        <v>206</v>
      </c>
      <c r="E1801" t="s">
        <v>617</v>
      </c>
      <c r="F1801" s="3" t="s">
        <v>2723</v>
      </c>
      <c r="G1801" s="1">
        <v>34.200000000000003</v>
      </c>
      <c r="H1801" t="s">
        <v>625</v>
      </c>
      <c r="I1801" t="s">
        <v>2738</v>
      </c>
      <c r="J1801" s="1">
        <v>2</v>
      </c>
      <c r="K1801" s="1">
        <v>1022.9521</v>
      </c>
      <c r="L1801" s="1" t="str">
        <f>HYPERLINK("http://ms.phosphosite.org:5080/cgi-bin/plot-msms.cgi?MassType=1&amp;NumAxis=1&amp;Mod10=170&amp;Pep=SGSGNFGGGRGGGFGGNDNFGR&amp;Dta=/var/www/html/dta/yong/23612.7963.2.dta&amp;Global_Mod=CS57.0215", "7963")</f>
        <v>7963</v>
      </c>
      <c r="M1801" s="1" t="str">
        <f>HYPERLINK("http://ms.phosphosite.org:5080/cgi-bin/plot-msms.cgi?MassType=1&amp;NumAxis=1&amp;Mod10=170&amp;Pep=SGSGNFGGGRGGGFGGNDNFGR&amp;Dta=/var/www/html/dta/yong/23613.8004.2.dta&amp;Global_Mod=CS57.0215", "8004")</f>
        <v>8004</v>
      </c>
      <c r="N1801" s="27">
        <v>36.69</v>
      </c>
      <c r="O1801" s="27">
        <v>36.76</v>
      </c>
      <c r="P1801" s="27">
        <v>3.8809999999999998</v>
      </c>
      <c r="Q1801" s="27">
        <v>4.0170000000000003</v>
      </c>
      <c r="R1801" s="27">
        <v>0.2797</v>
      </c>
      <c r="S1801" s="27">
        <v>2.7199999999999998E-2</v>
      </c>
      <c r="T1801" s="27">
        <v>0.3135</v>
      </c>
      <c r="U1801" s="27">
        <v>0.38490000000000002</v>
      </c>
      <c r="V1801" s="1">
        <v>1</v>
      </c>
      <c r="W1801" s="1">
        <v>1</v>
      </c>
      <c r="X1801" s="27">
        <v>2.2200000000000002</v>
      </c>
      <c r="Y1801" s="27">
        <v>2.56</v>
      </c>
      <c r="Z1801" s="28">
        <v>1000</v>
      </c>
      <c r="AA1801" s="28">
        <v>1000</v>
      </c>
      <c r="AB1801" s="1" t="s">
        <v>13</v>
      </c>
    </row>
    <row r="1802" spans="1:28">
      <c r="A1802" t="s">
        <v>580</v>
      </c>
      <c r="B1802" s="31" t="s">
        <v>2732</v>
      </c>
      <c r="C1802" s="26" t="s">
        <v>2733</v>
      </c>
      <c r="D1802" s="1">
        <v>206</v>
      </c>
      <c r="E1802" t="s">
        <v>617</v>
      </c>
      <c r="F1802" s="3" t="s">
        <v>2723</v>
      </c>
      <c r="G1802" s="1">
        <v>34.200000000000003</v>
      </c>
      <c r="H1802" t="s">
        <v>625</v>
      </c>
      <c r="I1802" t="s">
        <v>2738</v>
      </c>
      <c r="J1802" s="1">
        <v>3</v>
      </c>
      <c r="K1802" s="1">
        <v>682.30380000000002</v>
      </c>
      <c r="L1802" s="1" t="str">
        <f>HYPERLINK("http://ms.phosphosite.org:5080/cgi-bin/plot-msms.cgi?MassType=1&amp;NumAxis=1&amp;Mod10=170&amp;Pep=SGSGNFGGGRGGGFGGNDNFGR&amp;Dta=/var/www/html/dta/yong/23612.7936.3.dta&amp;Global_Mod=CS57.0215", "7936")</f>
        <v>7936</v>
      </c>
      <c r="M1802" s="1" t="str">
        <f>HYPERLINK("http://ms.phosphosite.org:5080/cgi-bin/plot-msms.cgi?MassType=1&amp;NumAxis=1&amp;Mod10=170&amp;Pep=SGSGNFGGGRGGGFGGNDNFGR&amp;Dta=/var/www/html/dta/yong/23613.7979.3.dta&amp;Global_Mod=CS57.0215", "7979")</f>
        <v>7979</v>
      </c>
      <c r="N1802" s="27">
        <v>36.590000000000003</v>
      </c>
      <c r="O1802" s="27">
        <v>36.69</v>
      </c>
      <c r="P1802" s="27">
        <v>3.415</v>
      </c>
      <c r="Q1802" s="27">
        <v>3.3140000000000001</v>
      </c>
      <c r="R1802" s="27">
        <v>-0.11459999999999999</v>
      </c>
      <c r="S1802" s="27">
        <v>-2.29E-2</v>
      </c>
      <c r="T1802" s="27">
        <v>0.42949999999999999</v>
      </c>
      <c r="U1802" s="27">
        <v>0.46429999999999999</v>
      </c>
      <c r="V1802" s="1">
        <v>1</v>
      </c>
      <c r="W1802" s="1">
        <v>1</v>
      </c>
      <c r="X1802" s="27">
        <v>2.74</v>
      </c>
      <c r="Y1802" s="27">
        <v>2.85</v>
      </c>
      <c r="Z1802" s="28">
        <v>1000</v>
      </c>
      <c r="AA1802" s="28">
        <v>1000</v>
      </c>
      <c r="AB1802" s="1" t="s">
        <v>13</v>
      </c>
    </row>
    <row r="1803" spans="1:28">
      <c r="A1803" t="s">
        <v>580</v>
      </c>
      <c r="B1803" s="31" t="s">
        <v>2732</v>
      </c>
      <c r="C1803" s="26" t="s">
        <v>2733</v>
      </c>
      <c r="D1803" s="1">
        <v>206</v>
      </c>
      <c r="E1803" t="s">
        <v>617</v>
      </c>
      <c r="F1803" s="3" t="s">
        <v>2723</v>
      </c>
      <c r="G1803" s="1">
        <v>34.200000000000003</v>
      </c>
      <c r="H1803" t="s">
        <v>625</v>
      </c>
      <c r="I1803" t="s">
        <v>2738</v>
      </c>
      <c r="J1803" s="1">
        <v>3</v>
      </c>
      <c r="K1803" s="1">
        <v>682.30380000000002</v>
      </c>
      <c r="L1803" s="1" t="str">
        <f>HYPERLINK("http://ms.phosphosite.org:5080/cgi-bin/plot-msms.cgi?MassType=1&amp;NumAxis=1&amp;Mod10=170&amp;Pep=SGSGNFGGGRGGGFGGNDNFGR&amp;Dta=/var/www/html/dta/yong/23612.8028.3.dta&amp;Global_Mod=CS57.0215", "8028")</f>
        <v>8028</v>
      </c>
      <c r="M1803" s="1" t="str">
        <f>HYPERLINK("http://ms.phosphosite.org:5080/cgi-bin/plot-msms.cgi?MassType=1&amp;NumAxis=1&amp;Mod10=170&amp;Pep=SGSGNFGGGRGGGFGGNDNFGR&amp;Dta=/var/www/html/dta/yong/23613.8084.3.dta&amp;Global_Mod=CS57.0215", "8084")</f>
        <v>8084</v>
      </c>
      <c r="N1803" s="27">
        <v>36.909999999999997</v>
      </c>
      <c r="O1803" s="27">
        <v>37.01</v>
      </c>
      <c r="P1803" s="27">
        <v>4.01</v>
      </c>
      <c r="Q1803" s="27">
        <v>3.4540000000000002</v>
      </c>
      <c r="R1803" s="27">
        <v>0.12970000000000001</v>
      </c>
      <c r="S1803" s="27">
        <v>0.2142</v>
      </c>
      <c r="T1803" s="27">
        <v>0.3775</v>
      </c>
      <c r="U1803" s="27">
        <v>0.40770000000000001</v>
      </c>
      <c r="V1803" s="1">
        <v>1</v>
      </c>
      <c r="W1803" s="1">
        <v>1</v>
      </c>
      <c r="X1803" s="27">
        <v>2.61</v>
      </c>
      <c r="Y1803" s="27">
        <v>2.61</v>
      </c>
      <c r="Z1803" s="28">
        <v>1000</v>
      </c>
      <c r="AA1803" s="28">
        <v>1000</v>
      </c>
      <c r="AB1803" s="1" t="s">
        <v>13</v>
      </c>
    </row>
    <row r="1804" spans="1:28">
      <c r="A1804" t="s">
        <v>580</v>
      </c>
      <c r="B1804" s="31" t="s">
        <v>2732</v>
      </c>
      <c r="C1804" s="26" t="s">
        <v>2733</v>
      </c>
      <c r="D1804" s="1">
        <v>218</v>
      </c>
      <c r="E1804" t="s">
        <v>617</v>
      </c>
      <c r="F1804" s="3" t="s">
        <v>2723</v>
      </c>
      <c r="G1804" s="1">
        <v>34.200000000000003</v>
      </c>
      <c r="H1804" t="s">
        <v>2739</v>
      </c>
      <c r="I1804" t="s">
        <v>2740</v>
      </c>
      <c r="J1804" s="1">
        <v>2</v>
      </c>
      <c r="K1804" s="1">
        <v>584.76009999999997</v>
      </c>
      <c r="L1804" s="1" t="str">
        <f>HYPERLINK("http://ms.phosphosite.org:5080/cgi-bin/plot-msms.cgi?MassType=1&amp;NumAxis=1&amp;Mod12=170&amp;Pep=GGGFGGNDNFGR&amp;Dta=/var/www/html/dta/yong/23612.7326.2.dta&amp;Global_Mod=CS57.0215", "7326")</f>
        <v>7326</v>
      </c>
      <c r="M1804" s="1" t="str">
        <f>HYPERLINK("http://ms.phosphosite.org:5080/cgi-bin/plot-msms.cgi?MassType=1&amp;NumAxis=1&amp;Mod12=170&amp;Pep=GGGFGGNDNFGR&amp;Dta=/var/www/html/dta/yong/23613.7374.2.dta&amp;Global_Mod=CS57.0215", "7374")</f>
        <v>7374</v>
      </c>
      <c r="N1804" s="27">
        <v>34.450000000000003</v>
      </c>
      <c r="O1804" s="27">
        <v>34.47</v>
      </c>
      <c r="P1804" s="27">
        <v>2.5720000000000001</v>
      </c>
      <c r="Q1804" s="27">
        <v>2.718</v>
      </c>
      <c r="R1804" s="27">
        <v>0.1283</v>
      </c>
      <c r="S1804" s="27">
        <v>0.33410000000000001</v>
      </c>
      <c r="T1804" s="27">
        <v>0.40460000000000002</v>
      </c>
      <c r="U1804" s="27">
        <v>0.38450000000000001</v>
      </c>
      <c r="V1804" s="1">
        <v>1</v>
      </c>
      <c r="W1804" s="1">
        <v>1</v>
      </c>
      <c r="X1804" s="27">
        <v>2.71</v>
      </c>
      <c r="Y1804" s="27">
        <v>2.62</v>
      </c>
      <c r="Z1804" s="28">
        <v>1000</v>
      </c>
      <c r="AA1804" s="28">
        <v>1000</v>
      </c>
      <c r="AB1804" s="1" t="s">
        <v>13</v>
      </c>
    </row>
    <row r="1805" spans="1:28">
      <c r="A1805" t="s">
        <v>580</v>
      </c>
      <c r="B1805" s="31" t="s">
        <v>2732</v>
      </c>
      <c r="C1805" s="26" t="s">
        <v>2733</v>
      </c>
      <c r="D1805" s="30" t="s">
        <v>2741</v>
      </c>
      <c r="E1805" t="s">
        <v>617</v>
      </c>
      <c r="F1805" s="3" t="s">
        <v>2723</v>
      </c>
      <c r="G1805" s="1">
        <v>34.200000000000003</v>
      </c>
      <c r="H1805" t="s">
        <v>621</v>
      </c>
      <c r="I1805" t="s">
        <v>2742</v>
      </c>
      <c r="J1805" s="1">
        <v>3</v>
      </c>
      <c r="K1805" s="1">
        <v>763.00429999999994</v>
      </c>
      <c r="L1805" s="1" t="str">
        <f>HYPERLINK("http://ms.phosphosite.org:5080/cgi-bin/plot-msms.cgi?MassType=1&amp;NumAxis=1&amp;Mod10=170&amp;Mod22=170&amp;Pep=SGSGNFGGGRGGGFGGNDNFGRGGN&amp;Dta=/var/www/html/dta/yong/23612.7953.3.dta&amp;Global_Mod=CS57.0215", "7953")</f>
        <v>7953</v>
      </c>
      <c r="M1805" s="1"/>
      <c r="N1805" s="27">
        <v>36.65</v>
      </c>
      <c r="O1805" s="27"/>
      <c r="P1805" s="27">
        <v>3.2229999999999999</v>
      </c>
      <c r="Q1805" s="27"/>
      <c r="R1805" s="27">
        <v>1.3389</v>
      </c>
      <c r="S1805" s="27"/>
      <c r="T1805" s="27">
        <v>0.32540000000000002</v>
      </c>
      <c r="U1805" s="27"/>
      <c r="V1805" s="1">
        <v>1</v>
      </c>
      <c r="W1805" s="1"/>
      <c r="X1805" s="27">
        <v>1.94</v>
      </c>
      <c r="Y1805" s="27"/>
      <c r="Z1805" s="28" t="s">
        <v>1306</v>
      </c>
      <c r="AA1805" s="28"/>
      <c r="AB1805" s="1" t="s">
        <v>13</v>
      </c>
    </row>
    <row r="1806" spans="1:28">
      <c r="A1806" t="s">
        <v>580</v>
      </c>
      <c r="B1806" s="31" t="s">
        <v>2732</v>
      </c>
      <c r="C1806" s="26" t="s">
        <v>2733</v>
      </c>
      <c r="D1806" s="30" t="s">
        <v>2743</v>
      </c>
      <c r="E1806" t="s">
        <v>617</v>
      </c>
      <c r="F1806" s="3" t="s">
        <v>2723</v>
      </c>
      <c r="G1806" s="1">
        <v>34.200000000000003</v>
      </c>
      <c r="H1806" t="s">
        <v>2744</v>
      </c>
      <c r="I1806" t="s">
        <v>2745</v>
      </c>
      <c r="J1806" s="1">
        <v>3</v>
      </c>
      <c r="K1806" s="1">
        <v>830.71839999999997</v>
      </c>
      <c r="L1806" s="1" t="str">
        <f>HYPERLINK("http://ms.phosphosite.org:5080/cgi-bin/plot-msms.cgi?MassType=1&amp;NumAxis=1&amp;Mod12=170&amp;Mod19=170&amp;Mod26=170&amp;Pep=GGGFGGNDNFGRGGNFSGRGGFGGSR&amp;Dta=/var/www/html/dta/yong/23612.9246.3.dta&amp;Global_Mod=CS57.0215", "9246")</f>
        <v>9246</v>
      </c>
      <c r="M1806" s="1"/>
      <c r="N1806" s="27">
        <v>41.36</v>
      </c>
      <c r="O1806" s="27"/>
      <c r="P1806" s="27">
        <v>2.9529999999999998</v>
      </c>
      <c r="Q1806" s="27"/>
      <c r="R1806" s="27">
        <v>1.2169000000000001</v>
      </c>
      <c r="S1806" s="27"/>
      <c r="T1806" s="27">
        <v>0.1963</v>
      </c>
      <c r="U1806" s="27"/>
      <c r="V1806" s="1">
        <v>2</v>
      </c>
      <c r="W1806" s="1"/>
      <c r="X1806" s="27">
        <v>1.25</v>
      </c>
      <c r="Y1806" s="27"/>
      <c r="Z1806" s="28" t="s">
        <v>1307</v>
      </c>
      <c r="AA1806" s="28"/>
      <c r="AB1806" s="1" t="s">
        <v>13</v>
      </c>
    </row>
    <row r="1807" spans="1:28">
      <c r="A1807" t="s">
        <v>580</v>
      </c>
      <c r="B1807" s="31" t="s">
        <v>2732</v>
      </c>
      <c r="C1807" s="26" t="s">
        <v>2733</v>
      </c>
      <c r="D1807" s="1">
        <v>225</v>
      </c>
      <c r="E1807" t="s">
        <v>617</v>
      </c>
      <c r="F1807" s="3" t="s">
        <v>2723</v>
      </c>
      <c r="G1807" s="1">
        <v>34.200000000000003</v>
      </c>
      <c r="H1807" t="s">
        <v>2746</v>
      </c>
      <c r="I1807" t="s">
        <v>2747</v>
      </c>
      <c r="J1807" s="1">
        <v>2</v>
      </c>
      <c r="K1807" s="1">
        <v>663.81849999999997</v>
      </c>
      <c r="L1807" s="1" t="str">
        <f>HYPERLINK("http://ms.phosphosite.org:5080/cgi-bin/plot-msms.cgi?MassType=1&amp;NumAxis=1&amp;Mod7=170&amp;Pep=GGNFSGRGGFGGSR&amp;Dta=/var/www/html/dta/yong/23612.4681.2.dta&amp;Global_Mod=CS57.0215", "4681")</f>
        <v>4681</v>
      </c>
      <c r="M1807" s="1" t="str">
        <f>HYPERLINK("http://ms.phosphosite.org:5080/cgi-bin/plot-msms.cgi?MassType=1&amp;NumAxis=1&amp;Mod7=170&amp;Pep=GGNFSGRGGFGGSR&amp;Dta=/var/www/html/dta/yong/23613.4729.2.dta&amp;Global_Mod=CS57.0215", "4729")</f>
        <v>4729</v>
      </c>
      <c r="N1807" s="27">
        <v>24.64</v>
      </c>
      <c r="O1807" s="27">
        <v>24.59</v>
      </c>
      <c r="P1807" s="27">
        <v>3.452</v>
      </c>
      <c r="Q1807" s="27">
        <v>3.4359999999999999</v>
      </c>
      <c r="R1807" s="27">
        <v>0.51070000000000004</v>
      </c>
      <c r="S1807" s="27">
        <v>0.59989999999999999</v>
      </c>
      <c r="T1807" s="27">
        <v>0.28710000000000002</v>
      </c>
      <c r="U1807" s="27">
        <v>0.31059999999999999</v>
      </c>
      <c r="V1807" s="1">
        <v>1</v>
      </c>
      <c r="W1807" s="1">
        <v>1</v>
      </c>
      <c r="X1807" s="27">
        <v>2.1</v>
      </c>
      <c r="Y1807" s="27">
        <v>2.1800000000000002</v>
      </c>
      <c r="Z1807" s="28">
        <v>1000</v>
      </c>
      <c r="AA1807" s="28">
        <v>1000</v>
      </c>
      <c r="AB1807" s="1" t="s">
        <v>13</v>
      </c>
    </row>
    <row r="1808" spans="1:28">
      <c r="A1808" t="s">
        <v>580</v>
      </c>
      <c r="B1808" s="31" t="s">
        <v>2732</v>
      </c>
      <c r="C1808" s="26" t="s">
        <v>2733</v>
      </c>
      <c r="D1808" s="1">
        <v>225</v>
      </c>
      <c r="E1808" t="s">
        <v>617</v>
      </c>
      <c r="F1808" s="3" t="s">
        <v>2723</v>
      </c>
      <c r="G1808" s="1">
        <v>34.200000000000003</v>
      </c>
      <c r="H1808" t="s">
        <v>2746</v>
      </c>
      <c r="I1808" t="s">
        <v>2747</v>
      </c>
      <c r="J1808" s="1">
        <v>3</v>
      </c>
      <c r="K1808" s="1">
        <v>442.88139999999999</v>
      </c>
      <c r="L1808" s="1"/>
      <c r="M1808" s="1" t="str">
        <f>HYPERLINK("http://ms.phosphosite.org:5080/cgi-bin/plot-msms.cgi?MassType=1&amp;NumAxis=1&amp;Mod7=170&amp;Pep=GGNFSGRGGFGGSR&amp;Dta=/var/www/html/dta/yong/23613.4721.3.dta&amp;Global_Mod=CS57.0215", "4721")</f>
        <v>4721</v>
      </c>
      <c r="N1808" s="27"/>
      <c r="O1808" s="27">
        <v>24.57</v>
      </c>
      <c r="P1808" s="27"/>
      <c r="Q1808" s="27">
        <v>2.4180000000000001</v>
      </c>
      <c r="R1808" s="27"/>
      <c r="S1808" s="27">
        <v>-2.3599999999999999E-2</v>
      </c>
      <c r="T1808" s="27"/>
      <c r="U1808" s="27">
        <v>0.19719999999999999</v>
      </c>
      <c r="V1808" s="1"/>
      <c r="W1808" s="1">
        <v>1</v>
      </c>
      <c r="X1808" s="27"/>
      <c r="Y1808" s="27">
        <v>1.45</v>
      </c>
      <c r="Z1808" s="28"/>
      <c r="AA1808" s="28">
        <v>1000</v>
      </c>
      <c r="AB1808" s="1" t="s">
        <v>13</v>
      </c>
    </row>
    <row r="1809" spans="1:28">
      <c r="A1809" t="s">
        <v>580</v>
      </c>
      <c r="B1809" s="29" t="s">
        <v>2748</v>
      </c>
      <c r="C1809" s="26" t="s">
        <v>2749</v>
      </c>
      <c r="D1809" s="1">
        <v>203</v>
      </c>
      <c r="E1809" t="s">
        <v>627</v>
      </c>
      <c r="F1809" s="3" t="s">
        <v>2750</v>
      </c>
      <c r="G1809" s="1">
        <v>37.4</v>
      </c>
      <c r="H1809" t="s">
        <v>2751</v>
      </c>
      <c r="I1809" t="s">
        <v>2752</v>
      </c>
      <c r="J1809" s="1">
        <v>3</v>
      </c>
      <c r="K1809" s="1">
        <v>849.38610000000006</v>
      </c>
      <c r="L1809" s="1" t="str">
        <f>HYPERLINK("http://ms.phosphosite.org:5080/cgi-bin/plot-msms.cgi?MassType=1&amp;NumAxis=1&amp;Mod3=147&amp;Mod13=170&amp;Pep=QEMQEVQSSRSGRGGNFGFGDSR&amp;Dta=/var/www/html/dta/yong/23612.7415.3.dta&amp;Global_Mod=CS57.0215", "7415")</f>
        <v>7415</v>
      </c>
      <c r="M1809" s="1"/>
      <c r="N1809" s="27">
        <v>34.78</v>
      </c>
      <c r="O1809" s="27"/>
      <c r="P1809" s="27">
        <v>2.0230000000000001</v>
      </c>
      <c r="Q1809" s="27"/>
      <c r="R1809" s="27">
        <v>-7.0946999999999996</v>
      </c>
      <c r="S1809" s="27"/>
      <c r="T1809" s="27">
        <v>1.03E-2</v>
      </c>
      <c r="U1809" s="27"/>
      <c r="V1809" s="1">
        <v>28</v>
      </c>
      <c r="W1809" s="1"/>
      <c r="X1809" s="27">
        <v>1.57</v>
      </c>
      <c r="Y1809" s="27"/>
      <c r="Z1809" s="28">
        <v>13</v>
      </c>
      <c r="AA1809" s="28"/>
      <c r="AB1809" s="1" t="s">
        <v>13</v>
      </c>
    </row>
    <row r="1810" spans="1:28">
      <c r="A1810" t="s">
        <v>580</v>
      </c>
      <c r="B1810" s="29" t="s">
        <v>2748</v>
      </c>
      <c r="C1810" s="26" t="s">
        <v>2749</v>
      </c>
      <c r="D1810" s="1">
        <v>203</v>
      </c>
      <c r="E1810" t="s">
        <v>627</v>
      </c>
      <c r="F1810" s="3" t="s">
        <v>2750</v>
      </c>
      <c r="G1810" s="1">
        <v>37.4</v>
      </c>
      <c r="H1810" t="s">
        <v>2751</v>
      </c>
      <c r="I1810" t="s">
        <v>2753</v>
      </c>
      <c r="J1810" s="1">
        <v>2</v>
      </c>
      <c r="K1810" s="1">
        <v>456.71980000000002</v>
      </c>
      <c r="L1810" s="1" t="str">
        <f>HYPERLINK("http://ms.phosphosite.org:5080/cgi-bin/plot-msms.cgi?MassType=1&amp;NumAxis=1&amp;Mod3=170&amp;Pep=SGRGGNFGF&amp;Dta=/var/www/html/dta/yong/23612.9119.2.dta&amp;Global_Mod=CS57.0215", "9119")</f>
        <v>9119</v>
      </c>
      <c r="M1810" s="1"/>
      <c r="N1810" s="27">
        <v>40.869999999999997</v>
      </c>
      <c r="O1810" s="27"/>
      <c r="P1810" s="27">
        <v>2.0259999999999998</v>
      </c>
      <c r="Q1810" s="27"/>
      <c r="R1810" s="27">
        <v>0.33100000000000002</v>
      </c>
      <c r="S1810" s="27"/>
      <c r="T1810" s="27">
        <v>0.25119999999999998</v>
      </c>
      <c r="U1810" s="27"/>
      <c r="V1810" s="1">
        <v>1</v>
      </c>
      <c r="W1810" s="1"/>
      <c r="X1810" s="27">
        <v>3.46</v>
      </c>
      <c r="Y1810" s="27"/>
      <c r="Z1810" s="28">
        <v>1000</v>
      </c>
      <c r="AA1810" s="28"/>
      <c r="AB1810" s="1" t="s">
        <v>13</v>
      </c>
    </row>
    <row r="1811" spans="1:28">
      <c r="A1811" t="s">
        <v>580</v>
      </c>
      <c r="B1811" s="29" t="s">
        <v>2748</v>
      </c>
      <c r="C1811" s="26" t="s">
        <v>2749</v>
      </c>
      <c r="D1811" s="1">
        <v>203</v>
      </c>
      <c r="E1811" t="s">
        <v>627</v>
      </c>
      <c r="F1811" s="3" t="s">
        <v>2750</v>
      </c>
      <c r="G1811" s="1">
        <v>37.4</v>
      </c>
      <c r="H1811" t="s">
        <v>2751</v>
      </c>
      <c r="I1811" t="s">
        <v>2754</v>
      </c>
      <c r="J1811" s="1">
        <v>2</v>
      </c>
      <c r="K1811" s="1">
        <v>485.23050000000001</v>
      </c>
      <c r="L1811" s="1" t="str">
        <f>HYPERLINK("http://ms.phosphosite.org:5080/cgi-bin/plot-msms.cgi?MassType=1&amp;NumAxis=1&amp;Mod3=170&amp;Pep=SGRGGNFGFG&amp;Dta=/var/www/html/dta/yong/23612.8462.2.dta&amp;Global_Mod=CS57.0215", "8462")</f>
        <v>8462</v>
      </c>
      <c r="M1811" s="1"/>
      <c r="N1811" s="27">
        <v>38.5</v>
      </c>
      <c r="O1811" s="27"/>
      <c r="P1811" s="27">
        <v>1.5629999999999999</v>
      </c>
      <c r="Q1811" s="27"/>
      <c r="R1811" s="27">
        <v>-0.29020000000000001</v>
      </c>
      <c r="S1811" s="27"/>
      <c r="T1811" s="27">
        <v>5.2900000000000003E-2</v>
      </c>
      <c r="U1811" s="27"/>
      <c r="V1811" s="1">
        <v>1</v>
      </c>
      <c r="W1811" s="1"/>
      <c r="X1811" s="27">
        <v>2.35</v>
      </c>
      <c r="Y1811" s="27"/>
      <c r="Z1811" s="28">
        <v>1000</v>
      </c>
      <c r="AA1811" s="28"/>
      <c r="AB1811" s="1" t="s">
        <v>13</v>
      </c>
    </row>
    <row r="1812" spans="1:28">
      <c r="A1812" t="s">
        <v>580</v>
      </c>
      <c r="B1812" s="29" t="s">
        <v>2748</v>
      </c>
      <c r="C1812" s="26" t="s">
        <v>2749</v>
      </c>
      <c r="D1812" s="1">
        <v>203</v>
      </c>
      <c r="E1812" t="s">
        <v>627</v>
      </c>
      <c r="F1812" s="3" t="s">
        <v>2750</v>
      </c>
      <c r="G1812" s="1">
        <v>37.4</v>
      </c>
      <c r="H1812" t="s">
        <v>2751</v>
      </c>
      <c r="I1812" t="s">
        <v>2755</v>
      </c>
      <c r="J1812" s="1">
        <v>2</v>
      </c>
      <c r="K1812" s="1">
        <v>542.74400000000003</v>
      </c>
      <c r="L1812" s="1" t="str">
        <f>HYPERLINK("http://ms.phosphosite.org:5080/cgi-bin/plot-msms.cgi?MassType=1&amp;NumAxis=1&amp;Mod3=170&amp;Pep=SGRGGNFGFGD&amp;Dta=/var/www/html/dta/yong/23612.8587.2.dta&amp;Global_Mod=CS57.0215", "8587")</f>
        <v>8587</v>
      </c>
      <c r="M1812" s="1" t="str">
        <f>HYPERLINK("http://ms.phosphosite.org:5080/cgi-bin/plot-msms.cgi?MassType=1&amp;NumAxis=1&amp;Mod3=170&amp;Pep=SGRGGNFGFGD&amp;Dta=/var/www/html/dta/yong/23613.8614.2.dta&amp;Global_Mod=CS57.0215", "8614")</f>
        <v>8614</v>
      </c>
      <c r="N1812" s="27">
        <v>38.950000000000003</v>
      </c>
      <c r="O1812" s="27">
        <v>38.96</v>
      </c>
      <c r="P1812" s="27">
        <v>1.96</v>
      </c>
      <c r="Q1812" s="27">
        <v>2.048</v>
      </c>
      <c r="R1812" s="27">
        <v>1.46E-2</v>
      </c>
      <c r="S1812" s="27">
        <v>0.16650000000000001</v>
      </c>
      <c r="T1812" s="27">
        <v>0.29649999999999999</v>
      </c>
      <c r="U1812" s="27">
        <v>0.3125</v>
      </c>
      <c r="V1812" s="1">
        <v>8</v>
      </c>
      <c r="W1812" s="1">
        <v>4</v>
      </c>
      <c r="X1812" s="27">
        <v>3.63</v>
      </c>
      <c r="Y1812" s="27">
        <v>3.65</v>
      </c>
      <c r="Z1812" s="28">
        <v>1000</v>
      </c>
      <c r="AA1812" s="28">
        <v>1000</v>
      </c>
      <c r="AB1812" s="1" t="s">
        <v>13</v>
      </c>
    </row>
    <row r="1813" spans="1:28">
      <c r="A1813" t="s">
        <v>580</v>
      </c>
      <c r="B1813" s="29" t="s">
        <v>2748</v>
      </c>
      <c r="C1813" s="26" t="s">
        <v>2749</v>
      </c>
      <c r="D1813" s="1">
        <v>203</v>
      </c>
      <c r="E1813" t="s">
        <v>627</v>
      </c>
      <c r="F1813" s="3" t="s">
        <v>2750</v>
      </c>
      <c r="G1813" s="1">
        <v>37.4</v>
      </c>
      <c r="H1813" t="s">
        <v>2751</v>
      </c>
      <c r="I1813" t="s">
        <v>2756</v>
      </c>
      <c r="J1813" s="1">
        <v>2</v>
      </c>
      <c r="K1813" s="1">
        <v>664.31050000000005</v>
      </c>
      <c r="L1813" s="1" t="str">
        <f>HYPERLINK("http://ms.phosphosite.org:5080/cgi-bin/plot-msms.cgi?MassType=1&amp;NumAxis=1&amp;Mod3=170&amp;Pep=SGRGGNFGFGDSR&amp;Dta=/var/www/html/dta/yong/23612.6174.2.dta&amp;Global_Mod=CS57.0215", "6174")</f>
        <v>6174</v>
      </c>
      <c r="M1813" s="1" t="str">
        <f>HYPERLINK("http://ms.phosphosite.org:5080/cgi-bin/plot-msms.cgi?MassType=1&amp;NumAxis=1&amp;Mod3=170&amp;Pep=SGRGGNFGFGDSR&amp;Dta=/var/www/html/dta/yong/23613.6220.2.dta&amp;Global_Mod=CS57.0215", "6220")</f>
        <v>6220</v>
      </c>
      <c r="N1813" s="27">
        <v>30.23</v>
      </c>
      <c r="O1813" s="27">
        <v>30.19</v>
      </c>
      <c r="P1813" s="27">
        <v>2.5270000000000001</v>
      </c>
      <c r="Q1813" s="27">
        <v>2.879</v>
      </c>
      <c r="R1813" s="27">
        <v>0.56640000000000001</v>
      </c>
      <c r="S1813" s="27">
        <v>0.42749999999999999</v>
      </c>
      <c r="T1813" s="27">
        <v>0.33019999999999999</v>
      </c>
      <c r="U1813" s="27">
        <v>0.2671</v>
      </c>
      <c r="V1813" s="1">
        <v>1</v>
      </c>
      <c r="W1813" s="1">
        <v>1</v>
      </c>
      <c r="X1813" s="27">
        <v>3.9</v>
      </c>
      <c r="Y1813" s="27">
        <v>3.58</v>
      </c>
      <c r="Z1813" s="28">
        <v>1000</v>
      </c>
      <c r="AA1813" s="28">
        <v>1000</v>
      </c>
      <c r="AB1813" s="1" t="s">
        <v>13</v>
      </c>
    </row>
    <row r="1814" spans="1:28">
      <c r="A1814" t="s">
        <v>580</v>
      </c>
      <c r="B1814" s="29" t="s">
        <v>2748</v>
      </c>
      <c r="C1814" s="26" t="s">
        <v>2749</v>
      </c>
      <c r="D1814" s="1">
        <v>203</v>
      </c>
      <c r="E1814" t="s">
        <v>627</v>
      </c>
      <c r="F1814" s="3" t="s">
        <v>2750</v>
      </c>
      <c r="G1814" s="1">
        <v>37.4</v>
      </c>
      <c r="H1814" t="s">
        <v>2751</v>
      </c>
      <c r="I1814" t="s">
        <v>2756</v>
      </c>
      <c r="J1814" s="1">
        <v>3</v>
      </c>
      <c r="K1814" s="1">
        <v>443.20949999999999</v>
      </c>
      <c r="L1814" s="1" t="str">
        <f>HYPERLINK("http://ms.phosphosite.org:5080/cgi-bin/plot-msms.cgi?MassType=1&amp;NumAxis=1&amp;Mod3=170&amp;Pep=SGRGGNFGFGDSR&amp;Dta=/var/www/html/dta/yong/23612.6382.3.dta&amp;Global_Mod=CS57.0215", "6382")</f>
        <v>6382</v>
      </c>
      <c r="M1814" s="1" t="str">
        <f>HYPERLINK("http://ms.phosphosite.org:5080/cgi-bin/plot-msms.cgi?MassType=1&amp;NumAxis=1&amp;Mod3=170&amp;Pep=SGRGGNFGFGDSR&amp;Dta=/var/www/html/dta/yong/23613.6160.3.dta&amp;Global_Mod=CS57.0215", "6160")</f>
        <v>6160</v>
      </c>
      <c r="N1814" s="27">
        <v>30.97</v>
      </c>
      <c r="O1814" s="27">
        <v>29.99</v>
      </c>
      <c r="P1814" s="27">
        <v>2.7320000000000002</v>
      </c>
      <c r="Q1814" s="27">
        <v>2.734</v>
      </c>
      <c r="R1814" s="27">
        <v>0.30159999999999998</v>
      </c>
      <c r="S1814" s="27">
        <v>-9.8500000000000004E-2</v>
      </c>
      <c r="T1814" s="27">
        <v>0.22420000000000001</v>
      </c>
      <c r="U1814" s="27">
        <v>0.26700000000000002</v>
      </c>
      <c r="V1814" s="1">
        <v>2</v>
      </c>
      <c r="W1814" s="1">
        <v>4</v>
      </c>
      <c r="X1814" s="27">
        <v>3.47</v>
      </c>
      <c r="Y1814" s="27">
        <v>3.57</v>
      </c>
      <c r="Z1814" s="28">
        <v>1000</v>
      </c>
      <c r="AA1814" s="28">
        <v>1000</v>
      </c>
      <c r="AB1814" s="1" t="s">
        <v>13</v>
      </c>
    </row>
    <row r="1815" spans="1:28">
      <c r="A1815" t="s">
        <v>580</v>
      </c>
      <c r="B1815" s="29" t="s">
        <v>2748</v>
      </c>
      <c r="C1815" s="26" t="s">
        <v>2749</v>
      </c>
      <c r="D1815" s="1">
        <v>203</v>
      </c>
      <c r="E1815" t="s">
        <v>627</v>
      </c>
      <c r="F1815" s="3" t="s">
        <v>2750</v>
      </c>
      <c r="G1815" s="1">
        <v>37.4</v>
      </c>
      <c r="H1815" t="s">
        <v>2751</v>
      </c>
      <c r="I1815" t="s">
        <v>2756</v>
      </c>
      <c r="J1815" s="1">
        <v>3</v>
      </c>
      <c r="K1815" s="1">
        <v>443.20949999999999</v>
      </c>
      <c r="L1815" s="1" t="str">
        <f>HYPERLINK("http://ms.phosphosite.org:5080/cgi-bin/plot-msms.cgi?MassType=1&amp;NumAxis=1&amp;Mod3=170&amp;Pep=SGRGGNFGFGDSR&amp;Dta=/var/www/html/dta/yong/23612.6172.3.dta&amp;Global_Mod=CS57.0215", "6172")</f>
        <v>6172</v>
      </c>
      <c r="M1815" s="1"/>
      <c r="N1815" s="27">
        <v>30.22</v>
      </c>
      <c r="O1815" s="27"/>
      <c r="P1815" s="27">
        <v>2.4430000000000001</v>
      </c>
      <c r="Q1815" s="27"/>
      <c r="R1815" s="27">
        <v>-0.47560000000000002</v>
      </c>
      <c r="S1815" s="27"/>
      <c r="T1815" s="27">
        <v>9.35E-2</v>
      </c>
      <c r="U1815" s="27"/>
      <c r="V1815" s="1">
        <v>4</v>
      </c>
      <c r="W1815" s="1"/>
      <c r="X1815" s="27">
        <v>2.73</v>
      </c>
      <c r="Y1815" s="27"/>
      <c r="Z1815" s="28">
        <v>1000</v>
      </c>
      <c r="AA1815" s="28"/>
      <c r="AB1815" s="1" t="s">
        <v>13</v>
      </c>
    </row>
    <row r="1816" spans="1:28">
      <c r="A1816" t="s">
        <v>580</v>
      </c>
      <c r="B1816" s="29" t="s">
        <v>2748</v>
      </c>
      <c r="C1816" s="26" t="s">
        <v>2749</v>
      </c>
      <c r="D1816" s="30" t="s">
        <v>2757</v>
      </c>
      <c r="E1816" t="s">
        <v>627</v>
      </c>
      <c r="F1816" s="3" t="s">
        <v>2750</v>
      </c>
      <c r="G1816" s="1">
        <v>37.4</v>
      </c>
      <c r="H1816" t="s">
        <v>2758</v>
      </c>
      <c r="I1816" t="s">
        <v>2759</v>
      </c>
      <c r="J1816" s="1">
        <v>4</v>
      </c>
      <c r="K1816" s="1">
        <v>767.09630000000004</v>
      </c>
      <c r="L1816" s="1"/>
      <c r="M1816" s="1" t="str">
        <f>HYPERLINK("http://ms.phosphosite.org:5080/cgi-bin/plot-msms.cgi?MassType=1&amp;NumAxis=1&amp;Mod7=170&amp;Mod22=170&amp;Pep=FGFGDSRGGGGNFGPGPGSNFRGGSDGYGSGR&amp;Dta=/var/www/html/dta/yong/23613.11015.4.dta&amp;Global_Mod=CS57.0215", "11015")</f>
        <v>11015</v>
      </c>
      <c r="N1816" s="27"/>
      <c r="O1816" s="27">
        <v>47.25</v>
      </c>
      <c r="P1816" s="27"/>
      <c r="Q1816" s="27">
        <v>3.0019999999999998</v>
      </c>
      <c r="R1816" s="27"/>
      <c r="S1816" s="27">
        <v>1.5441</v>
      </c>
      <c r="T1816" s="27"/>
      <c r="U1816" s="27">
        <v>2.7400000000000001E-2</v>
      </c>
      <c r="V1816" s="1"/>
      <c r="W1816" s="1">
        <v>18</v>
      </c>
      <c r="X1816" s="27"/>
      <c r="Y1816" s="27">
        <v>2.0299999999999998</v>
      </c>
      <c r="Z1816" s="28"/>
      <c r="AA1816" s="28" t="s">
        <v>1306</v>
      </c>
      <c r="AB1816" s="1" t="s">
        <v>13</v>
      </c>
    </row>
    <row r="1817" spans="1:28">
      <c r="A1817" t="s">
        <v>580</v>
      </c>
      <c r="B1817" s="29" t="s">
        <v>2748</v>
      </c>
      <c r="C1817" s="26" t="s">
        <v>2749</v>
      </c>
      <c r="D1817" s="30" t="s">
        <v>2757</v>
      </c>
      <c r="E1817" t="s">
        <v>627</v>
      </c>
      <c r="F1817" s="3" t="s">
        <v>2750</v>
      </c>
      <c r="G1817" s="1">
        <v>37.4</v>
      </c>
      <c r="H1817" t="s">
        <v>2758</v>
      </c>
      <c r="I1817" t="s">
        <v>2760</v>
      </c>
      <c r="J1817" s="1">
        <v>3</v>
      </c>
      <c r="K1817" s="1">
        <v>1098.4879000000001</v>
      </c>
      <c r="L1817" s="1" t="str">
        <f>HYPERLINK("http://ms.phosphosite.org:5080/cgi-bin/plot-msms.cgi?MassType=1&amp;NumAxis=1&amp;Mod10=170&amp;Mod25=170&amp;Pep=GGNFGFGDSRGGGGNFGPGPGSNFRGGSDGYGSGR&amp;Dta=/var/www/html/dta/yong/23612.10765.3.dta&amp;Global_Mod=CS57.0215", "10765")</f>
        <v>10765</v>
      </c>
      <c r="M1817" s="1" t="str">
        <f>HYPERLINK("http://ms.phosphosite.org:5080/cgi-bin/plot-msms.cgi?MassType=1&amp;NumAxis=1&amp;Mod10=170&amp;Mod25=170&amp;Pep=GGNFGFGDSRGGGGNFGPGPGSNFRGGSDGYGSGR&amp;Dta=/var/www/html/dta/yong/23613.10859.3.dta&amp;Global_Mod=CS57.0215", "10859")</f>
        <v>10859</v>
      </c>
      <c r="N1817" s="27">
        <v>46.66</v>
      </c>
      <c r="O1817" s="27">
        <v>46.72</v>
      </c>
      <c r="P1817" s="27">
        <v>2.4990000000000001</v>
      </c>
      <c r="Q1817" s="27">
        <v>2.7240000000000002</v>
      </c>
      <c r="R1817" s="27">
        <v>0.90800000000000003</v>
      </c>
      <c r="S1817" s="27">
        <v>1.113</v>
      </c>
      <c r="T1817" s="27">
        <v>1.2500000000000001E-2</v>
      </c>
      <c r="U1817" s="27">
        <v>0.1082</v>
      </c>
      <c r="V1817" s="1">
        <v>24</v>
      </c>
      <c r="W1817" s="1">
        <v>3</v>
      </c>
      <c r="X1817" s="27">
        <v>1.91</v>
      </c>
      <c r="Y1817" s="27">
        <v>2.3199999999999998</v>
      </c>
      <c r="Z1817" s="28" t="s">
        <v>1306</v>
      </c>
      <c r="AA1817" s="28" t="s">
        <v>1306</v>
      </c>
      <c r="AB1817" s="1" t="s">
        <v>13</v>
      </c>
    </row>
    <row r="1818" spans="1:28">
      <c r="A1818" t="s">
        <v>580</v>
      </c>
      <c r="B1818" s="29" t="s">
        <v>2748</v>
      </c>
      <c r="C1818" s="26" t="s">
        <v>2749</v>
      </c>
      <c r="D1818" s="30" t="s">
        <v>2757</v>
      </c>
      <c r="E1818" t="s">
        <v>627</v>
      </c>
      <c r="F1818" s="3" t="s">
        <v>2750</v>
      </c>
      <c r="G1818" s="1">
        <v>37.4</v>
      </c>
      <c r="H1818" t="s">
        <v>2758</v>
      </c>
      <c r="I1818" t="s">
        <v>2760</v>
      </c>
      <c r="J1818" s="1">
        <v>4</v>
      </c>
      <c r="K1818" s="1">
        <v>824.11779999999999</v>
      </c>
      <c r="L1818" s="1"/>
      <c r="M1818" s="1" t="str">
        <f>HYPERLINK("http://ms.phosphosite.org:5080/cgi-bin/plot-msms.cgi?MassType=1&amp;NumAxis=1&amp;Mod10=170&amp;Mod25=170&amp;Pep=GGNFGFGDSRGGGGNFGPGPGSNFRGGSDGYGSGR&amp;Dta=/var/www/html/dta/yong/23613.11031.4.dta&amp;Global_Mod=CS57.0215", "11031")</f>
        <v>11031</v>
      </c>
      <c r="N1818" s="27"/>
      <c r="O1818" s="27">
        <v>47.3</v>
      </c>
      <c r="P1818" s="27"/>
      <c r="Q1818" s="27">
        <v>3.6850000000000001</v>
      </c>
      <c r="R1818" s="27"/>
      <c r="S1818" s="27">
        <v>0.85699999999999998</v>
      </c>
      <c r="T1818" s="27"/>
      <c r="U1818" s="27">
        <v>0.20710000000000001</v>
      </c>
      <c r="V1818" s="1"/>
      <c r="W1818" s="1">
        <v>1</v>
      </c>
      <c r="X1818" s="27"/>
      <c r="Y1818" s="27">
        <v>3.06</v>
      </c>
      <c r="Z1818" s="28"/>
      <c r="AA1818" s="28" t="s">
        <v>1306</v>
      </c>
      <c r="AB1818" s="1" t="s">
        <v>13</v>
      </c>
    </row>
    <row r="1819" spans="1:28">
      <c r="A1819" t="s">
        <v>580</v>
      </c>
      <c r="B1819" s="29" t="s">
        <v>2748</v>
      </c>
      <c r="C1819" s="26" t="s">
        <v>2749</v>
      </c>
      <c r="D1819" s="30" t="s">
        <v>2757</v>
      </c>
      <c r="E1819" t="s">
        <v>627</v>
      </c>
      <c r="F1819" s="3" t="s">
        <v>2750</v>
      </c>
      <c r="G1819" s="1">
        <v>37.4</v>
      </c>
      <c r="H1819" t="s">
        <v>2758</v>
      </c>
      <c r="I1819" t="s">
        <v>2760</v>
      </c>
      <c r="J1819" s="1">
        <v>4</v>
      </c>
      <c r="K1819" s="1">
        <v>824.11779999999999</v>
      </c>
      <c r="L1819" s="1"/>
      <c r="M1819" s="1" t="str">
        <f>HYPERLINK("http://ms.phosphosite.org:5080/cgi-bin/plot-msms.cgi?MassType=1&amp;NumAxis=1&amp;Mod10=170&amp;Mod25=170&amp;Pep=GGNFGFGDSRGGGGNFGPGPGSNFRGGSDGYGSGR&amp;Dta=/var/www/html/dta/yong/23613.10801.4.dta&amp;Global_Mod=CS57.0215", "10801")</f>
        <v>10801</v>
      </c>
      <c r="N1819" s="27"/>
      <c r="O1819" s="27">
        <v>46.53</v>
      </c>
      <c r="P1819" s="27"/>
      <c r="Q1819" s="27">
        <v>3.508</v>
      </c>
      <c r="R1819" s="27"/>
      <c r="S1819" s="27">
        <v>0.83940000000000003</v>
      </c>
      <c r="T1819" s="27"/>
      <c r="U1819" s="27">
        <v>0.23139999999999999</v>
      </c>
      <c r="V1819" s="1"/>
      <c r="W1819" s="1">
        <v>2</v>
      </c>
      <c r="X1819" s="27"/>
      <c r="Y1819" s="27">
        <v>3.14</v>
      </c>
      <c r="Z1819" s="28"/>
      <c r="AA1819" s="28" t="s">
        <v>1306</v>
      </c>
      <c r="AB1819" s="1" t="s">
        <v>13</v>
      </c>
    </row>
    <row r="1820" spans="1:28">
      <c r="A1820" t="s">
        <v>580</v>
      </c>
      <c r="B1820" s="29" t="s">
        <v>2748</v>
      </c>
      <c r="C1820" s="26" t="s">
        <v>2749</v>
      </c>
      <c r="D1820" s="30" t="s">
        <v>2757</v>
      </c>
      <c r="E1820" t="s">
        <v>627</v>
      </c>
      <c r="F1820" s="3" t="s">
        <v>2750</v>
      </c>
      <c r="G1820" s="1">
        <v>37.4</v>
      </c>
      <c r="H1820" t="s">
        <v>2758</v>
      </c>
      <c r="I1820" t="s">
        <v>2760</v>
      </c>
      <c r="J1820" s="1">
        <v>4</v>
      </c>
      <c r="K1820" s="1">
        <v>824.11779999999999</v>
      </c>
      <c r="L1820" s="1"/>
      <c r="M1820" s="1" t="str">
        <f>HYPERLINK("http://ms.phosphosite.org:5080/cgi-bin/plot-msms.cgi?MassType=1&amp;NumAxis=1&amp;Mod10=170&amp;Mod25=170&amp;Pep=GGNFGFGDSRGGGGNFGPGPGSNFRGGSDGYGSGR&amp;Dta=/var/www/html/dta/yong/23613.11262.4.dta&amp;Global_Mod=CS57.0215", "11262")</f>
        <v>11262</v>
      </c>
      <c r="N1820" s="27"/>
      <c r="O1820" s="27">
        <v>48.07</v>
      </c>
      <c r="P1820" s="27"/>
      <c r="Q1820" s="27">
        <v>3.109</v>
      </c>
      <c r="R1820" s="27"/>
      <c r="S1820" s="27">
        <v>-0.71160000000000001</v>
      </c>
      <c r="T1820" s="27"/>
      <c r="U1820" s="27">
        <v>2.5000000000000001E-3</v>
      </c>
      <c r="V1820" s="1"/>
      <c r="W1820" s="1">
        <v>1</v>
      </c>
      <c r="X1820" s="27"/>
      <c r="Y1820" s="27">
        <v>1.9</v>
      </c>
      <c r="Z1820" s="28"/>
      <c r="AA1820" s="28" t="s">
        <v>1306</v>
      </c>
      <c r="AB1820" s="1" t="s">
        <v>13</v>
      </c>
    </row>
    <row r="1821" spans="1:28">
      <c r="A1821" t="s">
        <v>580</v>
      </c>
      <c r="B1821" s="29" t="s">
        <v>2748</v>
      </c>
      <c r="C1821" s="26" t="s">
        <v>2749</v>
      </c>
      <c r="D1821" s="1">
        <v>213</v>
      </c>
      <c r="E1821" t="s">
        <v>627</v>
      </c>
      <c r="F1821" s="3" t="s">
        <v>2750</v>
      </c>
      <c r="G1821" s="1">
        <v>37.4</v>
      </c>
      <c r="H1821" t="s">
        <v>2761</v>
      </c>
      <c r="I1821" t="s">
        <v>2762</v>
      </c>
      <c r="J1821" s="1">
        <v>3</v>
      </c>
      <c r="K1821" s="1">
        <v>583.93989999999997</v>
      </c>
      <c r="L1821" s="1" t="str">
        <f>HYPERLINK("http://ms.phosphosite.org:5080/cgi-bin/plot-msms.cgi?MassType=1&amp;NumAxis=1&amp;Mod3=170&amp;Pep=DSRGGGGNFGPGPGSNFR&amp;Dta=/var/www/html/dta/yong/23612.7314.3.dta&amp;Global_Mod=CS57.0215", "7314")</f>
        <v>7314</v>
      </c>
      <c r="M1821" s="1"/>
      <c r="N1821" s="27">
        <v>34.4</v>
      </c>
      <c r="O1821" s="27"/>
      <c r="P1821" s="27">
        <v>2.944</v>
      </c>
      <c r="Q1821" s="27"/>
      <c r="R1821" s="27">
        <v>0.2054</v>
      </c>
      <c r="S1821" s="27"/>
      <c r="T1821" s="27">
        <v>0.16120000000000001</v>
      </c>
      <c r="U1821" s="27"/>
      <c r="V1821" s="1">
        <v>1</v>
      </c>
      <c r="W1821" s="1"/>
      <c r="X1821" s="27">
        <v>3.14</v>
      </c>
      <c r="Y1821" s="27"/>
      <c r="Z1821" s="28">
        <v>1000</v>
      </c>
      <c r="AA1821" s="28"/>
      <c r="AB1821" s="1" t="s">
        <v>13</v>
      </c>
    </row>
    <row r="1822" spans="1:28">
      <c r="A1822" t="s">
        <v>580</v>
      </c>
      <c r="B1822" s="29" t="s">
        <v>2748</v>
      </c>
      <c r="C1822" s="26" t="s">
        <v>2749</v>
      </c>
      <c r="D1822" s="1">
        <v>213</v>
      </c>
      <c r="E1822" t="s">
        <v>627</v>
      </c>
      <c r="F1822" s="3" t="s">
        <v>2750</v>
      </c>
      <c r="G1822" s="1">
        <v>37.4</v>
      </c>
      <c r="H1822" t="s">
        <v>2761</v>
      </c>
      <c r="I1822" t="s">
        <v>2763</v>
      </c>
      <c r="J1822" s="1">
        <v>3</v>
      </c>
      <c r="K1822" s="1">
        <v>651.96990000000005</v>
      </c>
      <c r="L1822" s="1" t="str">
        <f>HYPERLINK("http://ms.phosphosite.org:5080/cgi-bin/plot-msms.cgi?MassType=1&amp;NumAxis=1&amp;Mod5=170&amp;Pep=FGDSRGGGGNFGPGPGSNFR&amp;Dta=/var/www/html/dta/yong/23612.8692.3.dta&amp;Global_Mod=CS57.0215", "8692")</f>
        <v>8692</v>
      </c>
      <c r="M1822" s="1" t="str">
        <f>HYPERLINK("http://ms.phosphosite.org:5080/cgi-bin/plot-msms.cgi?MassType=1&amp;NumAxis=1&amp;Mod5=170&amp;Pep=FGDSRGGGGNFGPGPGSNFR&amp;Dta=/var/www/html/dta/yong/23613.8721.3.dta&amp;Global_Mod=CS57.0215", "8721")</f>
        <v>8721</v>
      </c>
      <c r="N1822" s="27">
        <v>39.31</v>
      </c>
      <c r="O1822" s="27">
        <v>39.32</v>
      </c>
      <c r="P1822" s="27">
        <v>3.4540000000000002</v>
      </c>
      <c r="Q1822" s="27">
        <v>3.11</v>
      </c>
      <c r="R1822" s="27">
        <v>1.002</v>
      </c>
      <c r="S1822" s="27">
        <v>0.82709999999999995</v>
      </c>
      <c r="T1822" s="27">
        <v>0.24629999999999999</v>
      </c>
      <c r="U1822" s="27">
        <v>0.33950000000000002</v>
      </c>
      <c r="V1822" s="1">
        <v>2</v>
      </c>
      <c r="W1822" s="1">
        <v>1</v>
      </c>
      <c r="X1822" s="27">
        <v>3.62</v>
      </c>
      <c r="Y1822" s="27">
        <v>3.93</v>
      </c>
      <c r="Z1822" s="28">
        <v>1000</v>
      </c>
      <c r="AA1822" s="28">
        <v>1000</v>
      </c>
      <c r="AB1822" s="1" t="s">
        <v>13</v>
      </c>
    </row>
    <row r="1823" spans="1:28">
      <c r="A1823" t="s">
        <v>580</v>
      </c>
      <c r="B1823" s="29" t="s">
        <v>2748</v>
      </c>
      <c r="C1823" s="26" t="s">
        <v>2749</v>
      </c>
      <c r="D1823" s="1">
        <v>213</v>
      </c>
      <c r="E1823" t="s">
        <v>627</v>
      </c>
      <c r="F1823" s="3" t="s">
        <v>2750</v>
      </c>
      <c r="G1823" s="1">
        <v>37.4</v>
      </c>
      <c r="H1823" t="s">
        <v>2761</v>
      </c>
      <c r="I1823" t="s">
        <v>2764</v>
      </c>
      <c r="J1823" s="1">
        <v>2</v>
      </c>
      <c r="K1823" s="1">
        <v>400.19029999999998</v>
      </c>
      <c r="L1823" s="1" t="str">
        <f>HYPERLINK("http://ms.phosphosite.org:5080/cgi-bin/plot-msms.cgi?MassType=1&amp;NumAxis=1&amp;Mod7=170&amp;Pep=FGFGDSR&amp;Dta=/var/www/html/dta/yong/23612.7859.2.dta&amp;Global_Mod=CS57.0215", "7859")</f>
        <v>7859</v>
      </c>
      <c r="M1823" s="1" t="str">
        <f>HYPERLINK("http://ms.phosphosite.org:5080/cgi-bin/plot-msms.cgi?MassType=1&amp;NumAxis=1&amp;Mod7=170&amp;Pep=FGFGDSR&amp;Dta=/var/www/html/dta/yong/23613.7877.2.dta&amp;Global_Mod=CS57.0215", "7877")</f>
        <v>7877</v>
      </c>
      <c r="N1823" s="27">
        <v>36.32</v>
      </c>
      <c r="O1823" s="27">
        <v>36.299999999999997</v>
      </c>
      <c r="P1823" s="27">
        <v>2.1859999999999999</v>
      </c>
      <c r="Q1823" s="27">
        <v>2.2189999999999999</v>
      </c>
      <c r="R1823" s="27">
        <v>0.3422</v>
      </c>
      <c r="S1823" s="27">
        <v>8.2400000000000001E-2</v>
      </c>
      <c r="T1823" s="27">
        <v>2.8799999999999999E-2</v>
      </c>
      <c r="U1823" s="27">
        <v>9.9699999999999997E-2</v>
      </c>
      <c r="V1823" s="1">
        <v>2</v>
      </c>
      <c r="W1823" s="1">
        <v>3</v>
      </c>
      <c r="X1823" s="27">
        <v>2.6</v>
      </c>
      <c r="Y1823" s="27">
        <v>2.87</v>
      </c>
      <c r="Z1823" s="28">
        <v>1000</v>
      </c>
      <c r="AA1823" s="28">
        <v>1000</v>
      </c>
      <c r="AB1823" s="1" t="s">
        <v>13</v>
      </c>
    </row>
    <row r="1824" spans="1:28">
      <c r="A1824" t="s">
        <v>580</v>
      </c>
      <c r="B1824" s="29" t="s">
        <v>2748</v>
      </c>
      <c r="C1824" s="26" t="s">
        <v>2749</v>
      </c>
      <c r="D1824" s="1">
        <v>213</v>
      </c>
      <c r="E1824" t="s">
        <v>627</v>
      </c>
      <c r="F1824" s="3" t="s">
        <v>2750</v>
      </c>
      <c r="G1824" s="1">
        <v>37.4</v>
      </c>
      <c r="H1824" t="s">
        <v>2761</v>
      </c>
      <c r="I1824" t="s">
        <v>2765</v>
      </c>
      <c r="J1824" s="1">
        <v>3</v>
      </c>
      <c r="K1824" s="1">
        <v>719.99980000000005</v>
      </c>
      <c r="L1824" s="1" t="str">
        <f>HYPERLINK("http://ms.phosphosite.org:5080/cgi-bin/plot-msms.cgi?MassType=1&amp;NumAxis=1&amp;Mod7=170&amp;Pep=FGFGDSRGGGGNFGPGPGSNFR&amp;Dta=/var/www/html/dta/yong/23612.12006.3.dta&amp;Global_Mod=CS57.0215", "12006")</f>
        <v>12006</v>
      </c>
      <c r="M1824" s="1"/>
      <c r="N1824" s="27">
        <v>50.82</v>
      </c>
      <c r="O1824" s="27"/>
      <c r="P1824" s="27">
        <v>4.5709999999999997</v>
      </c>
      <c r="Q1824" s="27"/>
      <c r="R1824" s="27">
        <v>0.6774</v>
      </c>
      <c r="S1824" s="27"/>
      <c r="T1824" s="27">
        <v>0.35239999999999999</v>
      </c>
      <c r="U1824" s="27"/>
      <c r="V1824" s="1">
        <v>1</v>
      </c>
      <c r="W1824" s="1"/>
      <c r="X1824" s="27">
        <v>4.3499999999999996</v>
      </c>
      <c r="Y1824" s="27"/>
      <c r="Z1824" s="28">
        <v>1000</v>
      </c>
      <c r="AA1824" s="28"/>
      <c r="AB1824" s="1" t="s">
        <v>13</v>
      </c>
    </row>
    <row r="1825" spans="1:28">
      <c r="A1825" t="s">
        <v>580</v>
      </c>
      <c r="B1825" s="29" t="s">
        <v>2748</v>
      </c>
      <c r="C1825" s="26" t="s">
        <v>2749</v>
      </c>
      <c r="D1825" s="1">
        <v>213</v>
      </c>
      <c r="E1825" t="s">
        <v>627</v>
      </c>
      <c r="F1825" s="3" t="s">
        <v>2750</v>
      </c>
      <c r="G1825" s="1">
        <v>37.4</v>
      </c>
      <c r="H1825" t="s">
        <v>2761</v>
      </c>
      <c r="I1825" t="s">
        <v>2766</v>
      </c>
      <c r="J1825" s="1">
        <v>3</v>
      </c>
      <c r="K1825" s="1">
        <v>602.94709999999998</v>
      </c>
      <c r="L1825" s="1" t="str">
        <f>HYPERLINK("http://ms.phosphosite.org:5080/cgi-bin/plot-msms.cgi?MassType=1&amp;NumAxis=1&amp;Mod4=170&amp;Pep=GDSRGGGGNFGPGPGSNFR&amp;Dta=/var/www/html/dta/yong/23612.6827.3.dta&amp;Global_Mod=CS57.0215", "6827")</f>
        <v>6827</v>
      </c>
      <c r="M1825" s="1"/>
      <c r="N1825" s="27">
        <v>32.659999999999997</v>
      </c>
      <c r="O1825" s="27"/>
      <c r="P1825" s="27">
        <v>3.3849999999999998</v>
      </c>
      <c r="Q1825" s="27"/>
      <c r="R1825" s="27">
        <v>0.48320000000000002</v>
      </c>
      <c r="S1825" s="27"/>
      <c r="T1825" s="27">
        <v>0.1119</v>
      </c>
      <c r="U1825" s="27"/>
      <c r="V1825" s="1">
        <v>28</v>
      </c>
      <c r="W1825" s="1"/>
      <c r="X1825" s="27">
        <v>2.96</v>
      </c>
      <c r="Y1825" s="27"/>
      <c r="Z1825" s="28">
        <v>1000</v>
      </c>
      <c r="AA1825" s="28"/>
      <c r="AB1825" s="1" t="s">
        <v>13</v>
      </c>
    </row>
    <row r="1826" spans="1:28">
      <c r="A1826" t="s">
        <v>580</v>
      </c>
      <c r="B1826" s="29" t="s">
        <v>2748</v>
      </c>
      <c r="C1826" s="26" t="s">
        <v>2749</v>
      </c>
      <c r="D1826" s="1">
        <v>213</v>
      </c>
      <c r="E1826" t="s">
        <v>627</v>
      </c>
      <c r="F1826" s="3" t="s">
        <v>2750</v>
      </c>
      <c r="G1826" s="1">
        <v>37.4</v>
      </c>
      <c r="H1826" t="s">
        <v>2761</v>
      </c>
      <c r="I1826" t="s">
        <v>2767</v>
      </c>
      <c r="J1826" s="1">
        <v>3</v>
      </c>
      <c r="K1826" s="1">
        <v>670.97699999999998</v>
      </c>
      <c r="L1826" s="1" t="str">
        <f>HYPERLINK("http://ms.phosphosite.org:5080/cgi-bin/plot-msms.cgi?MassType=1&amp;NumAxis=1&amp;Mod6=170&amp;Pep=GFGDSRGGGGNFGPGPGSNFR&amp;Dta=/var/www/html/dta/yong/23612.9267.3.dta&amp;Global_Mod=CS57.0215", "9267")</f>
        <v>9267</v>
      </c>
      <c r="M1826" s="1" t="str">
        <f>HYPERLINK("http://ms.phosphosite.org:5080/cgi-bin/plot-msms.cgi?MassType=1&amp;NumAxis=1&amp;Mod6=170&amp;Pep=GFGDSRGGGGNFGPGPGSNFR&amp;Dta=/var/www/html/dta/yong/23613.9313.3.dta&amp;Global_Mod=CS57.0215", "9313")</f>
        <v>9313</v>
      </c>
      <c r="N1826" s="27">
        <v>41.44</v>
      </c>
      <c r="O1826" s="27">
        <v>41.46</v>
      </c>
      <c r="P1826" s="27">
        <v>3.5790000000000002</v>
      </c>
      <c r="Q1826" s="27">
        <v>3.657</v>
      </c>
      <c r="R1826" s="27">
        <v>1.2311000000000001</v>
      </c>
      <c r="S1826" s="27">
        <v>1.2537</v>
      </c>
      <c r="T1826" s="27">
        <v>0.28849999999999998</v>
      </c>
      <c r="U1826" s="27">
        <v>0.29409999999999997</v>
      </c>
      <c r="V1826" s="1">
        <v>1</v>
      </c>
      <c r="W1826" s="1">
        <v>1</v>
      </c>
      <c r="X1826" s="27">
        <v>3.83</v>
      </c>
      <c r="Y1826" s="27">
        <v>3.78</v>
      </c>
      <c r="Z1826" s="28">
        <v>1000</v>
      </c>
      <c r="AA1826" s="28">
        <v>1000</v>
      </c>
      <c r="AB1826" s="1" t="s">
        <v>13</v>
      </c>
    </row>
    <row r="1827" spans="1:28">
      <c r="A1827" t="s">
        <v>580</v>
      </c>
      <c r="B1827" s="29" t="s">
        <v>2748</v>
      </c>
      <c r="C1827" s="26" t="s">
        <v>2749</v>
      </c>
      <c r="D1827" s="1">
        <v>213</v>
      </c>
      <c r="E1827" t="s">
        <v>627</v>
      </c>
      <c r="F1827" s="3" t="s">
        <v>2750</v>
      </c>
      <c r="G1827" s="1">
        <v>37.4</v>
      </c>
      <c r="H1827" t="s">
        <v>2761</v>
      </c>
      <c r="I1827" t="s">
        <v>2768</v>
      </c>
      <c r="J1827" s="1">
        <v>2</v>
      </c>
      <c r="K1827" s="1">
        <v>514.23320000000001</v>
      </c>
      <c r="L1827" s="1" t="str">
        <f>HYPERLINK("http://ms.phosphosite.org:5080/cgi-bin/plot-msms.cgi?MassType=1&amp;NumAxis=1&amp;Mod10=170&amp;Pep=GGNFGFGDSR&amp;Dta=/var/www/html/dta/yong/23612.8073.2.dta&amp;Global_Mod=CS57.0215", "8073")</f>
        <v>8073</v>
      </c>
      <c r="M1827" s="1" t="str">
        <f>HYPERLINK("http://ms.phosphosite.org:5080/cgi-bin/plot-msms.cgi?MassType=1&amp;NumAxis=1&amp;Mod10=170&amp;Pep=GGNFGFGDSR&amp;Dta=/var/www/html/dta/yong/23613.8110.2.dta&amp;Global_Mod=CS57.0215", "8110")</f>
        <v>8110</v>
      </c>
      <c r="N1827" s="27">
        <v>37.090000000000003</v>
      </c>
      <c r="O1827" s="27">
        <v>37.130000000000003</v>
      </c>
      <c r="P1827" s="27">
        <v>2.8929999999999998</v>
      </c>
      <c r="Q1827" s="27">
        <v>2.7109999999999999</v>
      </c>
      <c r="R1827" s="27">
        <v>-0.2208</v>
      </c>
      <c r="S1827" s="27">
        <v>-0.29339999999999999</v>
      </c>
      <c r="T1827" s="27">
        <v>0.18410000000000001</v>
      </c>
      <c r="U1827" s="27">
        <v>0.22509999999999999</v>
      </c>
      <c r="V1827" s="1">
        <v>1</v>
      </c>
      <c r="W1827" s="1">
        <v>1</v>
      </c>
      <c r="X1827" s="27">
        <v>3.45</v>
      </c>
      <c r="Y1827" s="27">
        <v>3.53</v>
      </c>
      <c r="Z1827" s="28">
        <v>1000</v>
      </c>
      <c r="AA1827" s="28">
        <v>1000</v>
      </c>
      <c r="AB1827" s="1" t="s">
        <v>13</v>
      </c>
    </row>
    <row r="1828" spans="1:28">
      <c r="A1828" t="s">
        <v>580</v>
      </c>
      <c r="B1828" s="29" t="s">
        <v>2748</v>
      </c>
      <c r="C1828" s="26" t="s">
        <v>2749</v>
      </c>
      <c r="D1828" s="1">
        <v>213</v>
      </c>
      <c r="E1828" t="s">
        <v>627</v>
      </c>
      <c r="F1828" s="3" t="s">
        <v>2750</v>
      </c>
      <c r="G1828" s="1">
        <v>37.4</v>
      </c>
      <c r="H1828" t="s">
        <v>2761</v>
      </c>
      <c r="I1828" t="s">
        <v>2769</v>
      </c>
      <c r="J1828" s="1">
        <v>2</v>
      </c>
      <c r="K1828" s="1">
        <v>599.7654</v>
      </c>
      <c r="L1828" s="1" t="str">
        <f>HYPERLINK("http://ms.phosphosite.org:5080/cgi-bin/plot-msms.cgi?MassType=1&amp;NumAxis=1&amp;Mod10=170&amp;Pep=GGNFGFGDSRGGG&amp;Dta=/var/www/html/dta/yong/23612.7796.2.dta&amp;Global_Mod=CS57.0215", "7796")</f>
        <v>7796</v>
      </c>
      <c r="M1828" s="1"/>
      <c r="N1828" s="27">
        <v>36.1</v>
      </c>
      <c r="O1828" s="27"/>
      <c r="P1828" s="27">
        <v>1.458</v>
      </c>
      <c r="Q1828" s="27"/>
      <c r="R1828" s="27">
        <v>0.48659999999999998</v>
      </c>
      <c r="S1828" s="27"/>
      <c r="T1828" s="27">
        <v>5.3900000000000003E-2</v>
      </c>
      <c r="U1828" s="27"/>
      <c r="V1828" s="1">
        <v>5</v>
      </c>
      <c r="W1828" s="1"/>
      <c r="X1828" s="27">
        <v>2.33</v>
      </c>
      <c r="Y1828" s="27"/>
      <c r="Z1828" s="28">
        <v>1000</v>
      </c>
      <c r="AA1828" s="28"/>
      <c r="AB1828" s="1" t="s">
        <v>13</v>
      </c>
    </row>
    <row r="1829" spans="1:28">
      <c r="A1829" t="s">
        <v>580</v>
      </c>
      <c r="B1829" s="29" t="s">
        <v>2748</v>
      </c>
      <c r="C1829" s="26" t="s">
        <v>2749</v>
      </c>
      <c r="D1829" s="1">
        <v>213</v>
      </c>
      <c r="E1829" t="s">
        <v>627</v>
      </c>
      <c r="F1829" s="3" t="s">
        <v>2750</v>
      </c>
      <c r="G1829" s="1">
        <v>37.4</v>
      </c>
      <c r="H1829" t="s">
        <v>2761</v>
      </c>
      <c r="I1829" t="s">
        <v>2770</v>
      </c>
      <c r="J1829" s="1">
        <v>2</v>
      </c>
      <c r="K1829" s="1">
        <v>685.29759999999999</v>
      </c>
      <c r="L1829" s="1" t="str">
        <f>HYPERLINK("http://ms.phosphosite.org:5080/cgi-bin/plot-msms.cgi?MassType=1&amp;NumAxis=1&amp;Mod10=170&amp;Pep=GGNFGFGDSRGGGGN&amp;Dta=/var/www/html/dta/yong/23612.7457.2.dta&amp;Global_Mod=CS57.0215", "7457")</f>
        <v>7457</v>
      </c>
      <c r="M1829" s="1" t="str">
        <f>HYPERLINK("http://ms.phosphosite.org:5080/cgi-bin/plot-msms.cgi?MassType=1&amp;NumAxis=1&amp;Mod10=170&amp;Pep=GGNFGFGDSRGGGGN&amp;Dta=/var/www/html/dta/yong/23613.7510.2.dta&amp;Global_Mod=CS57.0215", "7510")</f>
        <v>7510</v>
      </c>
      <c r="N1829" s="27">
        <v>34.92</v>
      </c>
      <c r="O1829" s="27">
        <v>34.96</v>
      </c>
      <c r="P1829" s="27">
        <v>4.1050000000000004</v>
      </c>
      <c r="Q1829" s="27">
        <v>3.6179999999999999</v>
      </c>
      <c r="R1829" s="27">
        <v>0.13689999999999999</v>
      </c>
      <c r="S1829" s="27">
        <v>0.1104</v>
      </c>
      <c r="T1829" s="27">
        <v>0.4536</v>
      </c>
      <c r="U1829" s="27">
        <v>0.38400000000000001</v>
      </c>
      <c r="V1829" s="1">
        <v>1</v>
      </c>
      <c r="W1829" s="1">
        <v>1</v>
      </c>
      <c r="X1829" s="27">
        <v>4.78</v>
      </c>
      <c r="Y1829" s="27">
        <v>4.2699999999999996</v>
      </c>
      <c r="Z1829" s="28">
        <v>1000</v>
      </c>
      <c r="AA1829" s="28">
        <v>1000</v>
      </c>
      <c r="AB1829" s="1" t="s">
        <v>13</v>
      </c>
    </row>
    <row r="1830" spans="1:28">
      <c r="A1830" t="s">
        <v>580</v>
      </c>
      <c r="B1830" s="29" t="s">
        <v>2748</v>
      </c>
      <c r="C1830" s="26" t="s">
        <v>2749</v>
      </c>
      <c r="D1830" s="1">
        <v>213</v>
      </c>
      <c r="E1830" t="s">
        <v>627</v>
      </c>
      <c r="F1830" s="3" t="s">
        <v>2750</v>
      </c>
      <c r="G1830" s="1">
        <v>37.4</v>
      </c>
      <c r="H1830" t="s">
        <v>2761</v>
      </c>
      <c r="I1830" t="s">
        <v>2771</v>
      </c>
      <c r="J1830" s="1">
        <v>2</v>
      </c>
      <c r="K1830" s="1">
        <v>787.34259999999995</v>
      </c>
      <c r="L1830" s="1" t="str">
        <f>HYPERLINK("http://ms.phosphosite.org:5080/cgi-bin/plot-msms.cgi?MassType=1&amp;NumAxis=1&amp;Mod10=170&amp;Pep=GGNFGFGDSRGGGGNFG&amp;Dta=/var/www/html/dta/yong/23612.10938.2.dta&amp;Global_Mod=CS57.0215", "10938")</f>
        <v>10938</v>
      </c>
      <c r="M1830" s="1" t="str">
        <f>HYPERLINK("http://ms.phosphosite.org:5080/cgi-bin/plot-msms.cgi?MassType=1&amp;NumAxis=1&amp;Mod10=170&amp;Pep=GGNFGFGDSRGGGGNFG&amp;Dta=/var/www/html/dta/yong/23613.11020.2.dta&amp;Global_Mod=CS57.0215", "11020")</f>
        <v>11020</v>
      </c>
      <c r="N1830" s="27">
        <v>47.23</v>
      </c>
      <c r="O1830" s="27">
        <v>47.27</v>
      </c>
      <c r="P1830" s="27">
        <v>4.0469999999999997</v>
      </c>
      <c r="Q1830" s="27">
        <v>4.4790000000000001</v>
      </c>
      <c r="R1830" s="27">
        <v>1.1821999999999999</v>
      </c>
      <c r="S1830" s="27">
        <v>0.54790000000000005</v>
      </c>
      <c r="T1830" s="27">
        <v>0.53420000000000001</v>
      </c>
      <c r="U1830" s="27">
        <v>0.53520000000000001</v>
      </c>
      <c r="V1830" s="1">
        <v>1</v>
      </c>
      <c r="W1830" s="1">
        <v>1</v>
      </c>
      <c r="X1830" s="27">
        <v>5.12</v>
      </c>
      <c r="Y1830" s="27">
        <v>5.18</v>
      </c>
      <c r="Z1830" s="28">
        <v>1000</v>
      </c>
      <c r="AA1830" s="28">
        <v>1000</v>
      </c>
      <c r="AB1830" s="1" t="s">
        <v>13</v>
      </c>
    </row>
    <row r="1831" spans="1:28">
      <c r="A1831" t="s">
        <v>580</v>
      </c>
      <c r="B1831" s="29" t="s">
        <v>2748</v>
      </c>
      <c r="C1831" s="26" t="s">
        <v>2749</v>
      </c>
      <c r="D1831" s="1">
        <v>213</v>
      </c>
      <c r="E1831" t="s">
        <v>627</v>
      </c>
      <c r="F1831" s="3" t="s">
        <v>2750</v>
      </c>
      <c r="G1831" s="1">
        <v>37.4</v>
      </c>
      <c r="H1831" t="s">
        <v>2761</v>
      </c>
      <c r="I1831" t="s">
        <v>2772</v>
      </c>
      <c r="J1831" s="1">
        <v>2</v>
      </c>
      <c r="K1831" s="1">
        <v>835.86890000000005</v>
      </c>
      <c r="L1831" s="1" t="str">
        <f>HYPERLINK("http://ms.phosphosite.org:5080/cgi-bin/plot-msms.cgi?MassType=1&amp;NumAxis=1&amp;Mod10=170&amp;Pep=GGNFGFGDSRGGGGNFGP&amp;Dta=/var/www/html/dta/yong/23612.12140.2.dta&amp;Global_Mod=CS57.0215", "12140")</f>
        <v>12140</v>
      </c>
      <c r="M1831" s="1" t="str">
        <f>HYPERLINK("http://ms.phosphosite.org:5080/cgi-bin/plot-msms.cgi?MassType=1&amp;NumAxis=1&amp;Mod10=170&amp;Pep=GGNFGFGDSRGGGGNFGP&amp;Dta=/var/www/html/dta/yong/23613.12190.2.dta&amp;Global_Mod=CS57.0215", "12190")</f>
        <v>12190</v>
      </c>
      <c r="N1831" s="27">
        <v>51.25</v>
      </c>
      <c r="O1831" s="27">
        <v>51.14</v>
      </c>
      <c r="P1831" s="27">
        <v>4.0990000000000002</v>
      </c>
      <c r="Q1831" s="27">
        <v>3.403</v>
      </c>
      <c r="R1831" s="27">
        <v>0.2215</v>
      </c>
      <c r="S1831" s="27">
        <v>-0.20830000000000001</v>
      </c>
      <c r="T1831" s="27">
        <v>0.3508</v>
      </c>
      <c r="U1831" s="27">
        <v>0.32769999999999999</v>
      </c>
      <c r="V1831" s="1">
        <v>1</v>
      </c>
      <c r="W1831" s="1">
        <v>1</v>
      </c>
      <c r="X1831" s="27">
        <v>4.25</v>
      </c>
      <c r="Y1831" s="27">
        <v>3.9</v>
      </c>
      <c r="Z1831" s="28">
        <v>1000</v>
      </c>
      <c r="AA1831" s="28">
        <v>1000</v>
      </c>
      <c r="AB1831" s="1" t="s">
        <v>13</v>
      </c>
    </row>
    <row r="1832" spans="1:28">
      <c r="A1832" t="s">
        <v>580</v>
      </c>
      <c r="B1832" s="29" t="s">
        <v>2748</v>
      </c>
      <c r="C1832" s="26" t="s">
        <v>2749</v>
      </c>
      <c r="D1832" s="1">
        <v>213</v>
      </c>
      <c r="E1832" t="s">
        <v>627</v>
      </c>
      <c r="F1832" s="3" t="s">
        <v>2750</v>
      </c>
      <c r="G1832" s="1">
        <v>37.4</v>
      </c>
      <c r="H1832" t="s">
        <v>2761</v>
      </c>
      <c r="I1832" t="s">
        <v>2772</v>
      </c>
      <c r="J1832" s="1">
        <v>2</v>
      </c>
      <c r="K1832" s="1">
        <v>835.86890000000005</v>
      </c>
      <c r="L1832" s="1" t="str">
        <f>HYPERLINK("http://ms.phosphosite.org:5080/cgi-bin/plot-msms.cgi?MassType=1&amp;NumAxis=1&amp;Mod10=170&amp;Pep=GGNFGFGDSRGGGGNFGP&amp;Dta=/var/www/html/dta/yong/23612.12119.2.dta&amp;Global_Mod=CS57.0215", "12119")</f>
        <v>12119</v>
      </c>
      <c r="M1832" s="1"/>
      <c r="N1832" s="27">
        <v>51.19</v>
      </c>
      <c r="O1832" s="27"/>
      <c r="P1832" s="27">
        <v>3.7160000000000002</v>
      </c>
      <c r="Q1832" s="27"/>
      <c r="R1832" s="27">
        <v>0.2215</v>
      </c>
      <c r="S1832" s="27"/>
      <c r="T1832" s="27">
        <v>0.35099999999999998</v>
      </c>
      <c r="U1832" s="27"/>
      <c r="V1832" s="1">
        <v>1</v>
      </c>
      <c r="W1832" s="1"/>
      <c r="X1832" s="27">
        <v>4.17</v>
      </c>
      <c r="Y1832" s="27"/>
      <c r="Z1832" s="28">
        <v>1000</v>
      </c>
      <c r="AA1832" s="28"/>
      <c r="AB1832" s="1" t="s">
        <v>13</v>
      </c>
    </row>
    <row r="1833" spans="1:28">
      <c r="A1833" t="s">
        <v>580</v>
      </c>
      <c r="B1833" s="29" t="s">
        <v>2748</v>
      </c>
      <c r="C1833" s="26" t="s">
        <v>2749</v>
      </c>
      <c r="D1833" s="1">
        <v>213</v>
      </c>
      <c r="E1833" t="s">
        <v>627</v>
      </c>
      <c r="F1833" s="3" t="s">
        <v>2750</v>
      </c>
      <c r="G1833" s="1">
        <v>37.4</v>
      </c>
      <c r="H1833" t="s">
        <v>2761</v>
      </c>
      <c r="I1833" t="s">
        <v>2773</v>
      </c>
      <c r="J1833" s="1">
        <v>2</v>
      </c>
      <c r="K1833" s="1">
        <v>864.37969999999996</v>
      </c>
      <c r="L1833" s="1" t="str">
        <f>HYPERLINK("http://ms.phosphosite.org:5080/cgi-bin/plot-msms.cgi?MassType=1&amp;NumAxis=1&amp;Mod10=170&amp;Pep=GGNFGFGDSRGGGGNFGPG&amp;Dta=/var/www/html/dta/yong/23612.11390.2.dta&amp;Global_Mod=CS57.0215", "11390")</f>
        <v>11390</v>
      </c>
      <c r="M1833" s="1"/>
      <c r="N1833" s="27">
        <v>48.78</v>
      </c>
      <c r="O1833" s="27"/>
      <c r="P1833" s="27">
        <v>4.1379999999999999</v>
      </c>
      <c r="Q1833" s="27"/>
      <c r="R1833" s="27">
        <v>0.74570000000000003</v>
      </c>
      <c r="S1833" s="27"/>
      <c r="T1833" s="27">
        <v>0.45839999999999997</v>
      </c>
      <c r="U1833" s="27"/>
      <c r="V1833" s="1">
        <v>1</v>
      </c>
      <c r="W1833" s="1"/>
      <c r="X1833" s="27">
        <v>4.7699999999999996</v>
      </c>
      <c r="Y1833" s="27"/>
      <c r="Z1833" s="28">
        <v>1000</v>
      </c>
      <c r="AA1833" s="28"/>
      <c r="AB1833" s="1" t="s">
        <v>13</v>
      </c>
    </row>
    <row r="1834" spans="1:28">
      <c r="A1834" t="s">
        <v>580</v>
      </c>
      <c r="B1834" s="29" t="s">
        <v>2748</v>
      </c>
      <c r="C1834" s="26" t="s">
        <v>2749</v>
      </c>
      <c r="D1834" s="1">
        <v>213</v>
      </c>
      <c r="E1834" t="s">
        <v>627</v>
      </c>
      <c r="F1834" s="3" t="s">
        <v>2750</v>
      </c>
      <c r="G1834" s="1">
        <v>37.4</v>
      </c>
      <c r="H1834" t="s">
        <v>2761</v>
      </c>
      <c r="I1834" t="s">
        <v>2774</v>
      </c>
      <c r="J1834" s="1">
        <v>2</v>
      </c>
      <c r="K1834" s="1">
        <v>941.41679999999997</v>
      </c>
      <c r="L1834" s="1" t="str">
        <f>HYPERLINK("http://ms.phosphosite.org:5080/cgi-bin/plot-msms.cgi?MassType=1&amp;NumAxis=1&amp;Mod10=170&amp;Pep=GGNFGFGDSRGGGGNFGPGPG&amp;Dta=/var/www/html/dta/yong/23612.11554.2.dta&amp;Global_Mod=CS57.0215", "11554")</f>
        <v>11554</v>
      </c>
      <c r="M1834" s="1" t="str">
        <f>HYPERLINK("http://ms.phosphosite.org:5080/cgi-bin/plot-msms.cgi?MassType=1&amp;NumAxis=1&amp;Mod10=170&amp;Pep=GGNFGFGDSRGGGGNFGPGPG&amp;Dta=/var/www/html/dta/yong/23613.11630.2.dta&amp;Global_Mod=CS57.0215", "11630")</f>
        <v>11630</v>
      </c>
      <c r="N1834" s="27">
        <v>49.33</v>
      </c>
      <c r="O1834" s="27">
        <v>49.28</v>
      </c>
      <c r="P1834" s="27">
        <v>4.468</v>
      </c>
      <c r="Q1834" s="27">
        <v>4.1050000000000004</v>
      </c>
      <c r="R1834" s="27">
        <v>0.67530000000000001</v>
      </c>
      <c r="S1834" s="27">
        <v>1.4463999999999999</v>
      </c>
      <c r="T1834" s="27">
        <v>0.53969999999999996</v>
      </c>
      <c r="U1834" s="27">
        <v>0.51129999999999998</v>
      </c>
      <c r="V1834" s="1">
        <v>1</v>
      </c>
      <c r="W1834" s="1">
        <v>1</v>
      </c>
      <c r="X1834" s="27">
        <v>5.21</v>
      </c>
      <c r="Y1834" s="27">
        <v>4.8899999999999997</v>
      </c>
      <c r="Z1834" s="28">
        <v>1000</v>
      </c>
      <c r="AA1834" s="28">
        <v>1000</v>
      </c>
      <c r="AB1834" s="1" t="s">
        <v>13</v>
      </c>
    </row>
    <row r="1835" spans="1:28">
      <c r="A1835" t="s">
        <v>580</v>
      </c>
      <c r="B1835" s="29" t="s">
        <v>2748</v>
      </c>
      <c r="C1835" s="26" t="s">
        <v>2749</v>
      </c>
      <c r="D1835" s="1">
        <v>213</v>
      </c>
      <c r="E1835" t="s">
        <v>627</v>
      </c>
      <c r="F1835" s="3" t="s">
        <v>2750</v>
      </c>
      <c r="G1835" s="1">
        <v>37.4</v>
      </c>
      <c r="H1835" t="s">
        <v>2761</v>
      </c>
      <c r="I1835" t="s">
        <v>2775</v>
      </c>
      <c r="J1835" s="1">
        <v>2</v>
      </c>
      <c r="K1835" s="1">
        <v>1041.9543000000001</v>
      </c>
      <c r="L1835" s="1" t="str">
        <f>HYPERLINK("http://ms.phosphosite.org:5080/cgi-bin/plot-msms.cgi?MassType=1&amp;NumAxis=1&amp;Mod10=170&amp;Pep=GGNFGFGDSRGGGGNFGPGPGSN&amp;Dta=/var/www/html/dta/yong/23612.11061.2.dta&amp;Global_Mod=CS57.0215", "11061")</f>
        <v>11061</v>
      </c>
      <c r="M1835" s="1" t="str">
        <f>HYPERLINK("http://ms.phosphosite.org:5080/cgi-bin/plot-msms.cgi?MassType=1&amp;NumAxis=1&amp;Mod10=170&amp;Pep=GGNFGFGDSRGGGGNFGPGPGSN&amp;Dta=/var/www/html/dta/yong/23613.11090.2.dta&amp;Global_Mod=CS57.0215", "11090")</f>
        <v>11090</v>
      </c>
      <c r="N1835" s="27">
        <v>47.67</v>
      </c>
      <c r="O1835" s="27">
        <v>47.5</v>
      </c>
      <c r="P1835" s="27">
        <v>4.7960000000000003</v>
      </c>
      <c r="Q1835" s="27">
        <v>5.3120000000000003</v>
      </c>
      <c r="R1835" s="27">
        <v>1.1046</v>
      </c>
      <c r="S1835" s="27">
        <v>1.093</v>
      </c>
      <c r="T1835" s="27">
        <v>0.56230000000000002</v>
      </c>
      <c r="U1835" s="27">
        <v>0.53739999999999999</v>
      </c>
      <c r="V1835" s="1">
        <v>1</v>
      </c>
      <c r="W1835" s="1">
        <v>1</v>
      </c>
      <c r="X1835" s="27">
        <v>5.34</v>
      </c>
      <c r="Y1835" s="27">
        <v>5.26</v>
      </c>
      <c r="Z1835" s="28">
        <v>1000</v>
      </c>
      <c r="AA1835" s="28">
        <v>1000</v>
      </c>
      <c r="AB1835" s="1" t="s">
        <v>13</v>
      </c>
    </row>
    <row r="1836" spans="1:28">
      <c r="A1836" t="s">
        <v>580</v>
      </c>
      <c r="B1836" s="29" t="s">
        <v>2748</v>
      </c>
      <c r="C1836" s="26" t="s">
        <v>2749</v>
      </c>
      <c r="D1836" s="1">
        <v>213</v>
      </c>
      <c r="E1836" t="s">
        <v>627</v>
      </c>
      <c r="F1836" s="3" t="s">
        <v>2750</v>
      </c>
      <c r="G1836" s="1">
        <v>37.4</v>
      </c>
      <c r="H1836" t="s">
        <v>2761</v>
      </c>
      <c r="I1836" t="s">
        <v>2775</v>
      </c>
      <c r="J1836" s="1">
        <v>3</v>
      </c>
      <c r="K1836" s="1">
        <v>694.97190000000001</v>
      </c>
      <c r="L1836" s="1" t="str">
        <f>HYPERLINK("http://ms.phosphosite.org:5080/cgi-bin/plot-msms.cgi?MassType=1&amp;NumAxis=1&amp;Mod10=170&amp;Pep=GGNFGFGDSRGGGGNFGPGPGSN&amp;Dta=/var/www/html/dta/yong/23612.11036.3.dta&amp;Global_Mod=CS57.0215", "11036")</f>
        <v>11036</v>
      </c>
      <c r="M1836" s="1"/>
      <c r="N1836" s="27">
        <v>47.58</v>
      </c>
      <c r="O1836" s="27"/>
      <c r="P1836" s="27">
        <v>4.0129999999999999</v>
      </c>
      <c r="Q1836" s="27"/>
      <c r="R1836" s="27">
        <v>1.0200000000000001E-2</v>
      </c>
      <c r="S1836" s="27"/>
      <c r="T1836" s="27">
        <v>0.44969999999999999</v>
      </c>
      <c r="U1836" s="27"/>
      <c r="V1836" s="1">
        <v>1</v>
      </c>
      <c r="W1836" s="1"/>
      <c r="X1836" s="27">
        <v>4.71</v>
      </c>
      <c r="Y1836" s="27"/>
      <c r="Z1836" s="28">
        <v>1000</v>
      </c>
      <c r="AA1836" s="28"/>
      <c r="AB1836" s="1" t="s">
        <v>13</v>
      </c>
    </row>
    <row r="1837" spans="1:28">
      <c r="A1837" t="s">
        <v>580</v>
      </c>
      <c r="B1837" s="29" t="s">
        <v>2748</v>
      </c>
      <c r="C1837" s="26" t="s">
        <v>2749</v>
      </c>
      <c r="D1837" s="1">
        <v>213</v>
      </c>
      <c r="E1837" t="s">
        <v>627</v>
      </c>
      <c r="F1837" s="3" t="s">
        <v>2750</v>
      </c>
      <c r="G1837" s="1">
        <v>37.4</v>
      </c>
      <c r="H1837" t="s">
        <v>2761</v>
      </c>
      <c r="I1837" t="s">
        <v>2776</v>
      </c>
      <c r="J1837" s="1">
        <v>3</v>
      </c>
      <c r="K1837" s="1">
        <v>743.99469999999997</v>
      </c>
      <c r="L1837" s="1" t="str">
        <f>HYPERLINK("http://ms.phosphosite.org:5080/cgi-bin/plot-msms.cgi?MassType=1&amp;NumAxis=1&amp;Mod10=170&amp;Pep=GGNFGFGDSRGGGGNFGPGPGSNF&amp;Dta=/var/www/html/dta/yong/23612.14292.3.dta&amp;Global_Mod=CS57.0215", "14292")</f>
        <v>14292</v>
      </c>
      <c r="M1837" s="1" t="str">
        <f>HYPERLINK("http://ms.phosphosite.org:5080/cgi-bin/plot-msms.cgi?MassType=1&amp;NumAxis=1&amp;Mod10=170&amp;Pep=GGNFGFGDSRGGGGNFGPGPGSNF&amp;Dta=/var/www/html/dta/yong/23613.14388.3.dta&amp;Global_Mod=CS57.0215", "14388")</f>
        <v>14388</v>
      </c>
      <c r="N1837" s="27">
        <v>58.93</v>
      </c>
      <c r="O1837" s="27">
        <v>59</v>
      </c>
      <c r="P1837" s="27">
        <v>3.5569999999999999</v>
      </c>
      <c r="Q1837" s="27">
        <v>3.8879999999999999</v>
      </c>
      <c r="R1837" s="27">
        <v>1.0229999999999999</v>
      </c>
      <c r="S1837" s="27">
        <v>0.57740000000000002</v>
      </c>
      <c r="T1837" s="27">
        <v>0.34379999999999999</v>
      </c>
      <c r="U1837" s="27">
        <v>0.42159999999999997</v>
      </c>
      <c r="V1837" s="1">
        <v>1</v>
      </c>
      <c r="W1837" s="1">
        <v>1</v>
      </c>
      <c r="X1837" s="27">
        <v>4.07</v>
      </c>
      <c r="Y1837" s="27">
        <v>4.45</v>
      </c>
      <c r="Z1837" s="28">
        <v>1000</v>
      </c>
      <c r="AA1837" s="28">
        <v>1000</v>
      </c>
      <c r="AB1837" s="1" t="s">
        <v>13</v>
      </c>
    </row>
    <row r="1838" spans="1:28">
      <c r="A1838" t="s">
        <v>580</v>
      </c>
      <c r="B1838" s="29" t="s">
        <v>2748</v>
      </c>
      <c r="C1838" s="26" t="s">
        <v>2749</v>
      </c>
      <c r="D1838" s="1">
        <v>213</v>
      </c>
      <c r="E1838" t="s">
        <v>627</v>
      </c>
      <c r="F1838" s="3" t="s">
        <v>2750</v>
      </c>
      <c r="G1838" s="1">
        <v>37.4</v>
      </c>
      <c r="H1838" t="s">
        <v>2761</v>
      </c>
      <c r="I1838" t="s">
        <v>629</v>
      </c>
      <c r="J1838" s="1">
        <v>2</v>
      </c>
      <c r="K1838" s="1">
        <v>1193.539</v>
      </c>
      <c r="L1838" s="1" t="str">
        <f>HYPERLINK("http://ms.phosphosite.org:5080/cgi-bin/plot-msms.cgi?MassType=1&amp;NumAxis=1&amp;Mod10=170&amp;Pep=GGNFGFGDSRGGGGNFGPGPGSNFR&amp;Dta=/var/www/html/dta/yong/23612.11717.2.dta&amp;Global_Mod=CS57.0215", "11717")</f>
        <v>11717</v>
      </c>
      <c r="M1838" s="1" t="str">
        <f>HYPERLINK("http://ms.phosphosite.org:5080/cgi-bin/plot-msms.cgi?MassType=1&amp;NumAxis=1&amp;Mod10=170&amp;Pep=GGNFGFGDSRGGGGNFGPGPGSNFR&amp;Dta=/var/www/html/dta/yong/23613.11801.2.dta&amp;Global_Mod=CS57.0215", "11801")</f>
        <v>11801</v>
      </c>
      <c r="N1838" s="27">
        <v>49.88</v>
      </c>
      <c r="O1838" s="27">
        <v>49.86</v>
      </c>
      <c r="P1838" s="27">
        <v>4.0039999999999996</v>
      </c>
      <c r="Q1838" s="27">
        <v>3.3079999999999998</v>
      </c>
      <c r="R1838" s="27">
        <v>0.72219999999999995</v>
      </c>
      <c r="S1838" s="27">
        <v>0.3</v>
      </c>
      <c r="T1838" s="27">
        <v>0.50249999999999995</v>
      </c>
      <c r="U1838" s="27">
        <v>0.36399999999999999</v>
      </c>
      <c r="V1838" s="1">
        <v>1</v>
      </c>
      <c r="W1838" s="1">
        <v>1</v>
      </c>
      <c r="X1838" s="27">
        <v>4.8899999999999997</v>
      </c>
      <c r="Y1838" s="27">
        <v>4</v>
      </c>
      <c r="Z1838" s="28">
        <v>1000</v>
      </c>
      <c r="AA1838" s="28">
        <v>1000</v>
      </c>
      <c r="AB1838" s="1" t="s">
        <v>13</v>
      </c>
    </row>
    <row r="1839" spans="1:28">
      <c r="A1839" t="s">
        <v>580</v>
      </c>
      <c r="B1839" s="29" t="s">
        <v>2748</v>
      </c>
      <c r="C1839" s="26" t="s">
        <v>2749</v>
      </c>
      <c r="D1839" s="1">
        <v>213</v>
      </c>
      <c r="E1839" t="s">
        <v>627</v>
      </c>
      <c r="F1839" s="3" t="s">
        <v>2750</v>
      </c>
      <c r="G1839" s="1">
        <v>37.4</v>
      </c>
      <c r="H1839" t="s">
        <v>2761</v>
      </c>
      <c r="I1839" t="s">
        <v>629</v>
      </c>
      <c r="J1839" s="1">
        <v>3</v>
      </c>
      <c r="K1839" s="1">
        <v>796.02840000000003</v>
      </c>
      <c r="L1839" s="1" t="str">
        <f>HYPERLINK("http://ms.phosphosite.org:5080/cgi-bin/plot-msms.cgi?MassType=1&amp;NumAxis=1&amp;Mod10=170&amp;Pep=GGNFGFGDSRGGGGNFGPGPGSNFR&amp;Dta=/var/www/html/dta/yong/23612.14952.3.dta&amp;Global_Mod=CS57.0215", "14952")</f>
        <v>14952</v>
      </c>
      <c r="M1839" s="1" t="str">
        <f>HYPERLINK("http://ms.phosphosite.org:5080/cgi-bin/plot-msms.cgi?MassType=1&amp;NumAxis=1&amp;Mod10=170&amp;Pep=GGNFGFGDSRGGGGNFGPGPGSNFR&amp;Dta=/var/www/html/dta/yong/23613.12772.3.dta&amp;Global_Mod=CS57.0215", "12772")</f>
        <v>12772</v>
      </c>
      <c r="N1839" s="27">
        <v>61.48</v>
      </c>
      <c r="O1839" s="27">
        <v>53.15</v>
      </c>
      <c r="P1839" s="27">
        <v>4.9450000000000003</v>
      </c>
      <c r="Q1839" s="27">
        <v>4.9580000000000002</v>
      </c>
      <c r="R1839" s="27">
        <v>0.2928</v>
      </c>
      <c r="S1839" s="27">
        <v>0.74150000000000005</v>
      </c>
      <c r="T1839" s="27">
        <v>0.35149999999999998</v>
      </c>
      <c r="U1839" s="27">
        <v>0.4355</v>
      </c>
      <c r="V1839" s="1">
        <v>1</v>
      </c>
      <c r="W1839" s="1">
        <v>1</v>
      </c>
      <c r="X1839" s="27">
        <v>4.4000000000000004</v>
      </c>
      <c r="Y1839" s="27">
        <v>4.72</v>
      </c>
      <c r="Z1839" s="28">
        <v>1000</v>
      </c>
      <c r="AA1839" s="28">
        <v>1000</v>
      </c>
      <c r="AB1839" s="1" t="s">
        <v>13</v>
      </c>
    </row>
    <row r="1840" spans="1:28">
      <c r="A1840" t="s">
        <v>580</v>
      </c>
      <c r="B1840" s="29" t="s">
        <v>2748</v>
      </c>
      <c r="C1840" s="26" t="s">
        <v>2749</v>
      </c>
      <c r="D1840" s="1">
        <v>213</v>
      </c>
      <c r="E1840" t="s">
        <v>627</v>
      </c>
      <c r="F1840" s="3" t="s">
        <v>2750</v>
      </c>
      <c r="G1840" s="1">
        <v>37.4</v>
      </c>
      <c r="H1840" t="s">
        <v>2761</v>
      </c>
      <c r="I1840" t="s">
        <v>629</v>
      </c>
      <c r="J1840" s="1">
        <v>3</v>
      </c>
      <c r="K1840" s="1">
        <v>796.02840000000003</v>
      </c>
      <c r="L1840" s="1" t="str">
        <f>HYPERLINK("http://ms.phosphosite.org:5080/cgi-bin/plot-msms.cgi?MassType=1&amp;NumAxis=1&amp;Mod10=170&amp;Pep=GGNFGFGDSRGGGGNFGPGPGSNFR&amp;Dta=/var/www/html/dta/yong/23612.15709.3.dta&amp;Global_Mod=CS57.0215", "15709")</f>
        <v>15709</v>
      </c>
      <c r="M1840" s="1" t="str">
        <f>HYPERLINK("http://ms.phosphosite.org:5080/cgi-bin/plot-msms.cgi?MassType=1&amp;NumAxis=1&amp;Mod10=170&amp;Pep=GGNFGFGDSRGGGGNFGPGPGSNFR&amp;Dta=/var/www/html/dta/yong/23613.19898.3.dta&amp;Global_Mod=CS57.0215", "19898")</f>
        <v>19898</v>
      </c>
      <c r="N1840" s="27">
        <v>64.42</v>
      </c>
      <c r="O1840" s="27">
        <v>82.57</v>
      </c>
      <c r="P1840" s="27">
        <v>3.573</v>
      </c>
      <c r="Q1840" s="27">
        <v>3.1179999999999999</v>
      </c>
      <c r="R1840" s="27">
        <v>0.95030000000000003</v>
      </c>
      <c r="S1840" s="27">
        <v>1.4136</v>
      </c>
      <c r="T1840" s="27">
        <v>0.27350000000000002</v>
      </c>
      <c r="U1840" s="27">
        <v>0.29959999999999998</v>
      </c>
      <c r="V1840" s="1">
        <v>1</v>
      </c>
      <c r="W1840" s="1">
        <v>1</v>
      </c>
      <c r="X1840" s="27">
        <v>3.72</v>
      </c>
      <c r="Y1840" s="27">
        <v>3.64</v>
      </c>
      <c r="Z1840" s="28">
        <v>1000</v>
      </c>
      <c r="AA1840" s="28">
        <v>1000</v>
      </c>
      <c r="AB1840" s="1" t="s">
        <v>13</v>
      </c>
    </row>
    <row r="1841" spans="1:28">
      <c r="A1841" t="s">
        <v>580</v>
      </c>
      <c r="B1841" s="29" t="s">
        <v>2748</v>
      </c>
      <c r="C1841" s="26" t="s">
        <v>2749</v>
      </c>
      <c r="D1841" s="1">
        <v>213</v>
      </c>
      <c r="E1841" t="s">
        <v>627</v>
      </c>
      <c r="F1841" s="3" t="s">
        <v>2750</v>
      </c>
      <c r="G1841" s="1">
        <v>37.4</v>
      </c>
      <c r="H1841" t="s">
        <v>2761</v>
      </c>
      <c r="I1841" t="s">
        <v>629</v>
      </c>
      <c r="J1841" s="1">
        <v>3</v>
      </c>
      <c r="K1841" s="1">
        <v>796.02840000000003</v>
      </c>
      <c r="L1841" s="1" t="str">
        <f>HYPERLINK("http://ms.phosphosite.org:5080/cgi-bin/plot-msms.cgi?MassType=1&amp;NumAxis=1&amp;Mod10=170&amp;Pep=GGNFGFGDSRGGGGNFGPGPGSNFR&amp;Dta=/var/www/html/dta/yong/23612.12658.3.dta&amp;Global_Mod=CS57.0215", "12658")</f>
        <v>12658</v>
      </c>
      <c r="M1841" s="1" t="str">
        <f>HYPERLINK("http://ms.phosphosite.org:5080/cgi-bin/plot-msms.cgi?MassType=1&amp;NumAxis=1&amp;Mod10=170&amp;Pep=GGNFGFGDSRGGGGNFGPGPGSNFR&amp;Dta=/var/www/html/dta/yong/23613.23170.3.dta&amp;Global_Mod=CS57.0215", "23170")</f>
        <v>23170</v>
      </c>
      <c r="N1841" s="27">
        <v>53.08</v>
      </c>
      <c r="O1841" s="27">
        <v>98.73</v>
      </c>
      <c r="P1841" s="27">
        <v>4.8710000000000004</v>
      </c>
      <c r="Q1841" s="27">
        <v>3.4129999999999998</v>
      </c>
      <c r="R1841" s="27">
        <v>0.65129999999999999</v>
      </c>
      <c r="S1841" s="27">
        <v>2.3685</v>
      </c>
      <c r="T1841" s="27">
        <v>0.33579999999999999</v>
      </c>
      <c r="U1841" s="27">
        <v>0.20979999999999999</v>
      </c>
      <c r="V1841" s="1">
        <v>1</v>
      </c>
      <c r="W1841" s="1">
        <v>1</v>
      </c>
      <c r="X1841" s="27">
        <v>4.3</v>
      </c>
      <c r="Y1841" s="27">
        <v>3.2</v>
      </c>
      <c r="Z1841" s="28">
        <v>1000</v>
      </c>
      <c r="AA1841" s="28">
        <v>1000</v>
      </c>
      <c r="AB1841" s="1" t="s">
        <v>13</v>
      </c>
    </row>
    <row r="1842" spans="1:28">
      <c r="A1842" t="s">
        <v>580</v>
      </c>
      <c r="B1842" s="29" t="s">
        <v>2748</v>
      </c>
      <c r="C1842" s="26" t="s">
        <v>2749</v>
      </c>
      <c r="D1842" s="1">
        <v>213</v>
      </c>
      <c r="E1842" t="s">
        <v>627</v>
      </c>
      <c r="F1842" s="3" t="s">
        <v>2750</v>
      </c>
      <c r="G1842" s="1">
        <v>37.4</v>
      </c>
      <c r="H1842" t="s">
        <v>2761</v>
      </c>
      <c r="I1842" t="s">
        <v>629</v>
      </c>
      <c r="J1842" s="1">
        <v>3</v>
      </c>
      <c r="K1842" s="1">
        <v>796.02840000000003</v>
      </c>
      <c r="L1842" s="1" t="str">
        <f>HYPERLINK("http://ms.phosphosite.org:5080/cgi-bin/plot-msms.cgi?MassType=1&amp;NumAxis=1&amp;Mod10=170&amp;Pep=GGNFGFGDSRGGGGNFGPGPGSNFR&amp;Dta=/var/www/html/dta/yong/23612.15540.3.dta&amp;Global_Mod=CS57.0215", "15540")</f>
        <v>15540</v>
      </c>
      <c r="M1842" s="1" t="str">
        <f>HYPERLINK("http://ms.phosphosite.org:5080/cgi-bin/plot-msms.cgi?MassType=1&amp;NumAxis=1&amp;Mod10=170&amp;Pep=GGNFGFGDSRGGGGNFGPGPGSNFR&amp;Dta=/var/www/html/dta/yong/23613.11888.3.dta&amp;Global_Mod=CS57.0215", "11888")</f>
        <v>11888</v>
      </c>
      <c r="N1842" s="27">
        <v>63.7</v>
      </c>
      <c r="O1842" s="27">
        <v>50.14</v>
      </c>
      <c r="P1842" s="27">
        <v>4.0910000000000002</v>
      </c>
      <c r="Q1842" s="27">
        <v>5.6459999999999999</v>
      </c>
      <c r="R1842" s="27">
        <v>0.71630000000000005</v>
      </c>
      <c r="S1842" s="27">
        <v>-0.38129999999999997</v>
      </c>
      <c r="T1842" s="27">
        <v>0.40810000000000002</v>
      </c>
      <c r="U1842" s="27">
        <v>0.39500000000000002</v>
      </c>
      <c r="V1842" s="1">
        <v>1</v>
      </c>
      <c r="W1842" s="1">
        <v>1</v>
      </c>
      <c r="X1842" s="27">
        <v>4.5</v>
      </c>
      <c r="Y1842" s="27">
        <v>4.63</v>
      </c>
      <c r="Z1842" s="28">
        <v>1000</v>
      </c>
      <c r="AA1842" s="28">
        <v>1000</v>
      </c>
      <c r="AB1842" s="1" t="s">
        <v>13</v>
      </c>
    </row>
    <row r="1843" spans="1:28">
      <c r="A1843" t="s">
        <v>580</v>
      </c>
      <c r="B1843" s="29" t="s">
        <v>2748</v>
      </c>
      <c r="C1843" s="26" t="s">
        <v>2749</v>
      </c>
      <c r="D1843" s="1">
        <v>213</v>
      </c>
      <c r="E1843" t="s">
        <v>627</v>
      </c>
      <c r="F1843" s="3" t="s">
        <v>2750</v>
      </c>
      <c r="G1843" s="1">
        <v>37.4</v>
      </c>
      <c r="H1843" t="s">
        <v>2761</v>
      </c>
      <c r="I1843" t="s">
        <v>629</v>
      </c>
      <c r="J1843" s="1">
        <v>3</v>
      </c>
      <c r="K1843" s="1">
        <v>796.02840000000003</v>
      </c>
      <c r="L1843" s="1" t="str">
        <f>HYPERLINK("http://ms.phosphosite.org:5080/cgi-bin/plot-msms.cgi?MassType=1&amp;NumAxis=1&amp;Mod10=170&amp;Pep=GGNFGFGDSRGGGGNFGPGPGSNFR&amp;Dta=/var/www/html/dta/yong/23612.23063.3.dta&amp;Global_Mod=CS57.0215", "23063")</f>
        <v>23063</v>
      </c>
      <c r="M1843" s="1" t="str">
        <f>HYPERLINK("http://ms.phosphosite.org:5080/cgi-bin/plot-msms.cgi?MassType=1&amp;NumAxis=1&amp;Mod10=170&amp;Pep=GGNFGFGDSRGGGGNFGPGPGSNFR&amp;Dta=/var/www/html/dta/yong/23613.23121.3.dta&amp;Global_Mod=CS57.0215", "23121")</f>
        <v>23121</v>
      </c>
      <c r="N1843" s="27">
        <v>98.6</v>
      </c>
      <c r="O1843" s="27">
        <v>98.47</v>
      </c>
      <c r="P1843" s="27">
        <v>3.504</v>
      </c>
      <c r="Q1843" s="27">
        <v>3.1179999999999999</v>
      </c>
      <c r="R1843" s="27">
        <v>0.25219999999999998</v>
      </c>
      <c r="S1843" s="27">
        <v>0.76149999999999995</v>
      </c>
      <c r="T1843" s="27">
        <v>0.2868</v>
      </c>
      <c r="U1843" s="27">
        <v>0.26340000000000002</v>
      </c>
      <c r="V1843" s="1">
        <v>1</v>
      </c>
      <c r="W1843" s="1">
        <v>1</v>
      </c>
      <c r="X1843" s="27">
        <v>3.8</v>
      </c>
      <c r="Y1843" s="27">
        <v>3.49</v>
      </c>
      <c r="Z1843" s="28">
        <v>1000</v>
      </c>
      <c r="AA1843" s="28">
        <v>1000</v>
      </c>
      <c r="AB1843" s="1" t="s">
        <v>13</v>
      </c>
    </row>
    <row r="1844" spans="1:28">
      <c r="A1844" t="s">
        <v>580</v>
      </c>
      <c r="B1844" s="29" t="s">
        <v>2748</v>
      </c>
      <c r="C1844" s="26" t="s">
        <v>2749</v>
      </c>
      <c r="D1844" s="1">
        <v>213</v>
      </c>
      <c r="E1844" t="s">
        <v>627</v>
      </c>
      <c r="F1844" s="3" t="s">
        <v>2750</v>
      </c>
      <c r="G1844" s="1">
        <v>37.4</v>
      </c>
      <c r="H1844" t="s">
        <v>2761</v>
      </c>
      <c r="I1844" t="s">
        <v>629</v>
      </c>
      <c r="J1844" s="1">
        <v>3</v>
      </c>
      <c r="K1844" s="1">
        <v>796.02840000000003</v>
      </c>
      <c r="L1844" s="1" t="str">
        <f>HYPERLINK("http://ms.phosphosite.org:5080/cgi-bin/plot-msms.cgi?MassType=1&amp;NumAxis=1&amp;Mod10=170&amp;Pep=GGNFGFGDSRGGGGNFGPGPGSNFR&amp;Dta=/var/www/html/dta/yong/23612.12032.3.dta&amp;Global_Mod=CS57.0215", "12032")</f>
        <v>12032</v>
      </c>
      <c r="M1844" s="1" t="str">
        <f>HYPERLINK("http://ms.phosphosite.org:5080/cgi-bin/plot-msms.cgi?MassType=1&amp;NumAxis=1&amp;Mod10=170&amp;Pep=GGNFGFGDSRGGGGNFGPGPGSNFR&amp;Dta=/var/www/html/dta/yong/23613.14566.3.dta&amp;Global_Mod=CS57.0215", "14566")</f>
        <v>14566</v>
      </c>
      <c r="N1844" s="27">
        <v>50.9</v>
      </c>
      <c r="O1844" s="27">
        <v>59.64</v>
      </c>
      <c r="P1844" s="27">
        <v>4.9400000000000004</v>
      </c>
      <c r="Q1844" s="27">
        <v>3.9039999999999999</v>
      </c>
      <c r="R1844" s="27">
        <v>0.47739999999999999</v>
      </c>
      <c r="S1844" s="27">
        <v>0.78059999999999996</v>
      </c>
      <c r="T1844" s="27">
        <v>0.34710000000000002</v>
      </c>
      <c r="U1844" s="27">
        <v>0.43640000000000001</v>
      </c>
      <c r="V1844" s="1">
        <v>1</v>
      </c>
      <c r="W1844" s="1">
        <v>1</v>
      </c>
      <c r="X1844" s="27">
        <v>4.37</v>
      </c>
      <c r="Y1844" s="27">
        <v>4.51</v>
      </c>
      <c r="Z1844" s="28">
        <v>1000</v>
      </c>
      <c r="AA1844" s="28">
        <v>1000</v>
      </c>
      <c r="AB1844" s="1" t="s">
        <v>13</v>
      </c>
    </row>
    <row r="1845" spans="1:28">
      <c r="A1845" t="s">
        <v>580</v>
      </c>
      <c r="B1845" s="29" t="s">
        <v>2748</v>
      </c>
      <c r="C1845" s="26" t="s">
        <v>2749</v>
      </c>
      <c r="D1845" s="1">
        <v>213</v>
      </c>
      <c r="E1845" t="s">
        <v>627</v>
      </c>
      <c r="F1845" s="3" t="s">
        <v>2750</v>
      </c>
      <c r="G1845" s="1">
        <v>37.4</v>
      </c>
      <c r="H1845" t="s">
        <v>2761</v>
      </c>
      <c r="I1845" t="s">
        <v>629</v>
      </c>
      <c r="J1845" s="1">
        <v>3</v>
      </c>
      <c r="K1845" s="1">
        <v>796.02840000000003</v>
      </c>
      <c r="L1845" s="1" t="str">
        <f>HYPERLINK("http://ms.phosphosite.org:5080/cgi-bin/plot-msms.cgi?MassType=1&amp;NumAxis=1&amp;Mod10=170&amp;Pep=GGNFGFGDSRGGGGNFGPGPGSNFR&amp;Dta=/var/www/html/dta/yong/23612.17767.3.dta&amp;Global_Mod=CS57.0215", "17767")</f>
        <v>17767</v>
      </c>
      <c r="M1845" s="1" t="str">
        <f>HYPERLINK("http://ms.phosphosite.org:5080/cgi-bin/plot-msms.cgi?MassType=1&amp;NumAxis=1&amp;Mod10=170&amp;Pep=GGNFGFGDSRGGGGNFGPGPGSNFR&amp;Dta=/var/www/html/dta/yong/23613.14926.3.dta&amp;Global_Mod=CS57.0215", "14926")</f>
        <v>14926</v>
      </c>
      <c r="N1845" s="27">
        <v>73.14</v>
      </c>
      <c r="O1845" s="27">
        <v>61.14</v>
      </c>
      <c r="P1845" s="27">
        <v>3.415</v>
      </c>
      <c r="Q1845" s="27">
        <v>4.4960000000000004</v>
      </c>
      <c r="R1845" s="27">
        <v>2.4340999999999999</v>
      </c>
      <c r="S1845" s="27">
        <v>0.63900000000000001</v>
      </c>
      <c r="T1845" s="27">
        <v>0.28920000000000001</v>
      </c>
      <c r="U1845" s="27">
        <v>0.3921</v>
      </c>
      <c r="V1845" s="1">
        <v>1</v>
      </c>
      <c r="W1845" s="1">
        <v>1</v>
      </c>
      <c r="X1845" s="27">
        <v>3.69</v>
      </c>
      <c r="Y1845" s="27">
        <v>4.42</v>
      </c>
      <c r="Z1845" s="28">
        <v>1000</v>
      </c>
      <c r="AA1845" s="28">
        <v>1000</v>
      </c>
      <c r="AB1845" s="1" t="s">
        <v>13</v>
      </c>
    </row>
    <row r="1846" spans="1:28">
      <c r="A1846" t="s">
        <v>580</v>
      </c>
      <c r="B1846" s="29" t="s">
        <v>2748</v>
      </c>
      <c r="C1846" s="26" t="s">
        <v>2749</v>
      </c>
      <c r="D1846" s="1">
        <v>213</v>
      </c>
      <c r="E1846" t="s">
        <v>627</v>
      </c>
      <c r="F1846" s="3" t="s">
        <v>2750</v>
      </c>
      <c r="G1846" s="1">
        <v>37.4</v>
      </c>
      <c r="H1846" t="s">
        <v>2761</v>
      </c>
      <c r="I1846" t="s">
        <v>629</v>
      </c>
      <c r="J1846" s="1">
        <v>3</v>
      </c>
      <c r="K1846" s="1">
        <v>796.02840000000003</v>
      </c>
      <c r="L1846" s="1" t="str">
        <f>HYPERLINK("http://ms.phosphosite.org:5080/cgi-bin/plot-msms.cgi?MassType=1&amp;NumAxis=1&amp;Mod10=170&amp;Pep=GGNFGFGDSRGGGGNFGPGPGSNFR&amp;Dta=/var/www/html/dta/yong/23612.13150.3.dta&amp;Global_Mod=CS57.0215", "13150")</f>
        <v>13150</v>
      </c>
      <c r="M1846" s="1" t="str">
        <f>HYPERLINK("http://ms.phosphosite.org:5080/cgi-bin/plot-msms.cgi?MassType=1&amp;NumAxis=1&amp;Mod10=170&amp;Pep=GGNFGFGDSRGGGGNFGPGPGSNFR&amp;Dta=/var/www/html/dta/yong/23613.16035.3.dta&amp;Global_Mod=CS57.0215", "16035")</f>
        <v>16035</v>
      </c>
      <c r="N1846" s="27">
        <v>54.83</v>
      </c>
      <c r="O1846" s="27">
        <v>65.41</v>
      </c>
      <c r="P1846" s="27">
        <v>5.0430000000000001</v>
      </c>
      <c r="Q1846" s="27">
        <v>3.98</v>
      </c>
      <c r="R1846" s="27">
        <v>0.65069999999999995</v>
      </c>
      <c r="S1846" s="27">
        <v>0.63229999999999997</v>
      </c>
      <c r="T1846" s="27">
        <v>0.35709999999999997</v>
      </c>
      <c r="U1846" s="27">
        <v>0.4047</v>
      </c>
      <c r="V1846" s="1">
        <v>1</v>
      </c>
      <c r="W1846" s="1">
        <v>1</v>
      </c>
      <c r="X1846" s="27">
        <v>4.4400000000000004</v>
      </c>
      <c r="Y1846" s="27">
        <v>4.37</v>
      </c>
      <c r="Z1846" s="28">
        <v>1000</v>
      </c>
      <c r="AA1846" s="28">
        <v>1000</v>
      </c>
      <c r="AB1846" s="1" t="s">
        <v>13</v>
      </c>
    </row>
    <row r="1847" spans="1:28">
      <c r="A1847" t="s">
        <v>580</v>
      </c>
      <c r="B1847" s="29" t="s">
        <v>2748</v>
      </c>
      <c r="C1847" s="26" t="s">
        <v>2749</v>
      </c>
      <c r="D1847" s="1">
        <v>213</v>
      </c>
      <c r="E1847" t="s">
        <v>627</v>
      </c>
      <c r="F1847" s="3" t="s">
        <v>2750</v>
      </c>
      <c r="G1847" s="1">
        <v>37.4</v>
      </c>
      <c r="H1847" t="s">
        <v>2761</v>
      </c>
      <c r="I1847" t="s">
        <v>629</v>
      </c>
      <c r="J1847" s="1">
        <v>3</v>
      </c>
      <c r="K1847" s="1">
        <v>796.02840000000003</v>
      </c>
      <c r="L1847" s="1" t="str">
        <f>HYPERLINK("http://ms.phosphosite.org:5080/cgi-bin/plot-msms.cgi?MassType=1&amp;NumAxis=1&amp;Mod10=170&amp;Pep=GGNFGFGDSRGGGGNFGPGPGSNFR&amp;Dta=/var/www/html/dta/yong/23612.17960.3.dta&amp;Global_Mod=CS57.0215", "17960")</f>
        <v>17960</v>
      </c>
      <c r="M1847" s="1" t="str">
        <f>HYPERLINK("http://ms.phosphosite.org:5080/cgi-bin/plot-msms.cgi?MassType=1&amp;NumAxis=1&amp;Mod10=170&amp;Pep=GGNFGFGDSRGGGGNFGPGPGSNFR&amp;Dta=/var/www/html/dta/yong/23613.13486.3.dta&amp;Global_Mod=CS57.0215", "13486")</f>
        <v>13486</v>
      </c>
      <c r="N1847" s="27">
        <v>74.010000000000005</v>
      </c>
      <c r="O1847" s="27">
        <v>55.71</v>
      </c>
      <c r="P1847" s="27">
        <v>3.4740000000000002</v>
      </c>
      <c r="Q1847" s="27">
        <v>4.399</v>
      </c>
      <c r="R1847" s="27">
        <v>1.5463</v>
      </c>
      <c r="S1847" s="27">
        <v>2.3298999999999999</v>
      </c>
      <c r="T1847" s="27">
        <v>8.09E-2</v>
      </c>
      <c r="U1847" s="27">
        <v>0.36359999999999998</v>
      </c>
      <c r="V1847" s="1">
        <v>1</v>
      </c>
      <c r="W1847" s="1">
        <v>1</v>
      </c>
      <c r="X1847" s="27">
        <v>2.72</v>
      </c>
      <c r="Y1847" s="27">
        <v>4.17</v>
      </c>
      <c r="Z1847" s="28">
        <v>1000</v>
      </c>
      <c r="AA1847" s="28">
        <v>1000</v>
      </c>
      <c r="AB1847" s="1" t="s">
        <v>13</v>
      </c>
    </row>
    <row r="1848" spans="1:28">
      <c r="A1848" t="s">
        <v>580</v>
      </c>
      <c r="B1848" s="29" t="s">
        <v>2748</v>
      </c>
      <c r="C1848" s="26" t="s">
        <v>2749</v>
      </c>
      <c r="D1848" s="1">
        <v>213</v>
      </c>
      <c r="E1848" t="s">
        <v>627</v>
      </c>
      <c r="F1848" s="3" t="s">
        <v>2750</v>
      </c>
      <c r="G1848" s="1">
        <v>37.4</v>
      </c>
      <c r="H1848" t="s">
        <v>2761</v>
      </c>
      <c r="I1848" t="s">
        <v>629</v>
      </c>
      <c r="J1848" s="1">
        <v>3</v>
      </c>
      <c r="K1848" s="1">
        <v>796.02840000000003</v>
      </c>
      <c r="L1848" s="1" t="str">
        <f>HYPERLINK("http://ms.phosphosite.org:5080/cgi-bin/plot-msms.cgi?MassType=1&amp;NumAxis=1&amp;Mod10=170&amp;Pep=GGNFGFGDSRGGGGNFGPGPGSNFR&amp;Dta=/var/www/html/dta/yong/23612.17935.3.dta&amp;Global_Mod=CS57.0215", "17935")</f>
        <v>17935</v>
      </c>
      <c r="M1848" s="1" t="str">
        <f>HYPERLINK("http://ms.phosphosite.org:5080/cgi-bin/plot-msms.cgi?MassType=1&amp;NumAxis=1&amp;Mod10=170&amp;Pep=GGNFGFGDSRGGGGNFGPGPGSNFR&amp;Dta=/var/www/html/dta/yong/23613.19500.3.dta&amp;Global_Mod=CS57.0215", "19500")</f>
        <v>19500</v>
      </c>
      <c r="N1848" s="27">
        <v>73.89</v>
      </c>
      <c r="O1848" s="27">
        <v>80.680000000000007</v>
      </c>
      <c r="P1848" s="27">
        <v>3.4670000000000001</v>
      </c>
      <c r="Q1848" s="27">
        <v>2.5910000000000002</v>
      </c>
      <c r="R1848" s="27">
        <v>1.5928</v>
      </c>
      <c r="S1848" s="27">
        <v>1.3097000000000001</v>
      </c>
      <c r="T1848" s="27">
        <v>7.7600000000000002E-2</v>
      </c>
      <c r="U1848" s="27">
        <v>0.18820000000000001</v>
      </c>
      <c r="V1848" s="1">
        <v>1</v>
      </c>
      <c r="W1848" s="1">
        <v>78</v>
      </c>
      <c r="X1848" s="27">
        <v>2.7</v>
      </c>
      <c r="Y1848" s="27">
        <v>2.94</v>
      </c>
      <c r="Z1848" s="28">
        <v>1000</v>
      </c>
      <c r="AA1848" s="28">
        <v>1000</v>
      </c>
      <c r="AB1848" s="1" t="s">
        <v>13</v>
      </c>
    </row>
    <row r="1849" spans="1:28">
      <c r="A1849" t="s">
        <v>580</v>
      </c>
      <c r="B1849" s="29" t="s">
        <v>2748</v>
      </c>
      <c r="C1849" s="26" t="s">
        <v>2749</v>
      </c>
      <c r="D1849" s="1">
        <v>213</v>
      </c>
      <c r="E1849" t="s">
        <v>627</v>
      </c>
      <c r="F1849" s="3" t="s">
        <v>2750</v>
      </c>
      <c r="G1849" s="1">
        <v>37.4</v>
      </c>
      <c r="H1849" t="s">
        <v>2761</v>
      </c>
      <c r="I1849" t="s">
        <v>629</v>
      </c>
      <c r="J1849" s="1">
        <v>3</v>
      </c>
      <c r="K1849" s="1">
        <v>796.02840000000003</v>
      </c>
      <c r="L1849" s="1" t="str">
        <f>HYPERLINK("http://ms.phosphosite.org:5080/cgi-bin/plot-msms.cgi?MassType=1&amp;NumAxis=1&amp;Mod10=170&amp;Pep=GGNFGFGDSRGGGGNFGPGPGSNFR&amp;Dta=/var/www/html/dta/yong/23612.23695.3.dta&amp;Global_Mod=CS57.0215", "23695")</f>
        <v>23695</v>
      </c>
      <c r="M1849" s="1" t="str">
        <f>HYPERLINK("http://ms.phosphosite.org:5080/cgi-bin/plot-msms.cgi?MassType=1&amp;NumAxis=1&amp;Mod10=170&amp;Pep=GGNFGFGDSRGGGGNFGPGPGSNFR&amp;Dta=/var/www/html/dta/yong/23613.14683.3.dta&amp;Global_Mod=CS57.0215", "14683")</f>
        <v>14683</v>
      </c>
      <c r="N1849" s="27">
        <v>101.81</v>
      </c>
      <c r="O1849" s="27">
        <v>60.13</v>
      </c>
      <c r="P1849" s="27">
        <v>3.4780000000000002</v>
      </c>
      <c r="Q1849" s="27">
        <v>3.8690000000000002</v>
      </c>
      <c r="R1849" s="27">
        <v>-1.1041000000000001</v>
      </c>
      <c r="S1849" s="27">
        <v>0.34310000000000002</v>
      </c>
      <c r="T1849" s="27">
        <v>0.1585</v>
      </c>
      <c r="U1849" s="27">
        <v>0.37890000000000001</v>
      </c>
      <c r="V1849" s="1">
        <v>3</v>
      </c>
      <c r="W1849" s="1">
        <v>1</v>
      </c>
      <c r="X1849" s="27">
        <v>3.08</v>
      </c>
      <c r="Y1849" s="27">
        <v>4.2300000000000004</v>
      </c>
      <c r="Z1849" s="28">
        <v>1000</v>
      </c>
      <c r="AA1849" s="28">
        <v>1000</v>
      </c>
      <c r="AB1849" s="1" t="s">
        <v>13</v>
      </c>
    </row>
    <row r="1850" spans="1:28">
      <c r="A1850" t="s">
        <v>580</v>
      </c>
      <c r="B1850" s="29" t="s">
        <v>2748</v>
      </c>
      <c r="C1850" s="26" t="s">
        <v>2749</v>
      </c>
      <c r="D1850" s="1">
        <v>213</v>
      </c>
      <c r="E1850" t="s">
        <v>627</v>
      </c>
      <c r="F1850" s="3" t="s">
        <v>2750</v>
      </c>
      <c r="G1850" s="1">
        <v>37.4</v>
      </c>
      <c r="H1850" t="s">
        <v>2761</v>
      </c>
      <c r="I1850" t="s">
        <v>629</v>
      </c>
      <c r="J1850" s="1">
        <v>3</v>
      </c>
      <c r="K1850" s="1">
        <v>796.02840000000003</v>
      </c>
      <c r="L1850" s="1" t="str">
        <f>HYPERLINK("http://ms.phosphosite.org:5080/cgi-bin/plot-msms.cgi?MassType=1&amp;NumAxis=1&amp;Mod10=170&amp;Pep=GGNFGFGDSRGGGGNFGPGPGSNFR&amp;Dta=/var/www/html/dta/yong/23612.15306.3.dta&amp;Global_Mod=CS57.0215", "15306")</f>
        <v>15306</v>
      </c>
      <c r="M1850" s="1" t="str">
        <f>HYPERLINK("http://ms.phosphosite.org:5080/cgi-bin/plot-msms.cgi?MassType=1&amp;NumAxis=1&amp;Mod10=170&amp;Pep=GGNFGFGDSRGGGGNFGPGPGSNFR&amp;Dta=/var/www/html/dta/yong/23613.13258.3.dta&amp;Global_Mod=CS57.0215", "13258")</f>
        <v>13258</v>
      </c>
      <c r="N1850" s="27">
        <v>62.78</v>
      </c>
      <c r="O1850" s="27">
        <v>54.88</v>
      </c>
      <c r="P1850" s="27">
        <v>4.2770000000000001</v>
      </c>
      <c r="Q1850" s="27">
        <v>5.0570000000000004</v>
      </c>
      <c r="R1850" s="27">
        <v>0.1118</v>
      </c>
      <c r="S1850" s="27">
        <v>0.98450000000000004</v>
      </c>
      <c r="T1850" s="27">
        <v>0.39729999999999999</v>
      </c>
      <c r="U1850" s="27">
        <v>0.38059999999999999</v>
      </c>
      <c r="V1850" s="1">
        <v>1</v>
      </c>
      <c r="W1850" s="1">
        <v>1</v>
      </c>
      <c r="X1850" s="27">
        <v>4.4800000000000004</v>
      </c>
      <c r="Y1850" s="27">
        <v>4.46</v>
      </c>
      <c r="Z1850" s="28">
        <v>1000</v>
      </c>
      <c r="AA1850" s="28">
        <v>1000</v>
      </c>
      <c r="AB1850" s="1" t="s">
        <v>13</v>
      </c>
    </row>
    <row r="1851" spans="1:28">
      <c r="A1851" t="s">
        <v>580</v>
      </c>
      <c r="B1851" s="29" t="s">
        <v>2748</v>
      </c>
      <c r="C1851" s="26" t="s">
        <v>2749</v>
      </c>
      <c r="D1851" s="1">
        <v>213</v>
      </c>
      <c r="E1851" t="s">
        <v>627</v>
      </c>
      <c r="F1851" s="3" t="s">
        <v>2750</v>
      </c>
      <c r="G1851" s="1">
        <v>37.4</v>
      </c>
      <c r="H1851" t="s">
        <v>2761</v>
      </c>
      <c r="I1851" t="s">
        <v>629</v>
      </c>
      <c r="J1851" s="1">
        <v>3</v>
      </c>
      <c r="K1851" s="1">
        <v>796.02840000000003</v>
      </c>
      <c r="L1851" s="1" t="str">
        <f>HYPERLINK("http://ms.phosphosite.org:5080/cgi-bin/plot-msms.cgi?MassType=1&amp;NumAxis=1&amp;Mod10=170&amp;Pep=GGNFGFGDSRGGGGNFGPGPGSNFR&amp;Dta=/var/www/html/dta/yong/23612.14699.3.dta&amp;Global_Mod=CS57.0215", "14699")</f>
        <v>14699</v>
      </c>
      <c r="M1851" s="1" t="str">
        <f>HYPERLINK("http://ms.phosphosite.org:5080/cgi-bin/plot-msms.cgi?MassType=1&amp;NumAxis=1&amp;Mod10=170&amp;Pep=GGNFGFGDSRGGGGNFGPGPGSNFR&amp;Dta=/var/www/html/dta/yong/23613.19003.3.dta&amp;Global_Mod=CS57.0215", "19003")</f>
        <v>19003</v>
      </c>
      <c r="N1851" s="27">
        <v>60.5</v>
      </c>
      <c r="O1851" s="27">
        <v>78.319999999999993</v>
      </c>
      <c r="P1851" s="27">
        <v>4.0199999999999996</v>
      </c>
      <c r="Q1851" s="27">
        <v>4.4000000000000004</v>
      </c>
      <c r="R1851" s="27">
        <v>0.81969999999999998</v>
      </c>
      <c r="S1851" s="27">
        <v>0.14369999999999999</v>
      </c>
      <c r="T1851" s="27">
        <v>0.29320000000000002</v>
      </c>
      <c r="U1851" s="27">
        <v>0.40629999999999999</v>
      </c>
      <c r="V1851" s="1">
        <v>1</v>
      </c>
      <c r="W1851" s="1">
        <v>1</v>
      </c>
      <c r="X1851" s="27">
        <v>3.91</v>
      </c>
      <c r="Y1851" s="27">
        <v>4.46</v>
      </c>
      <c r="Z1851" s="28">
        <v>1000</v>
      </c>
      <c r="AA1851" s="28">
        <v>1000</v>
      </c>
      <c r="AB1851" s="1" t="s">
        <v>13</v>
      </c>
    </row>
    <row r="1852" spans="1:28">
      <c r="A1852" t="s">
        <v>580</v>
      </c>
      <c r="B1852" s="29" t="s">
        <v>2748</v>
      </c>
      <c r="C1852" s="26" t="s">
        <v>2749</v>
      </c>
      <c r="D1852" s="1">
        <v>213</v>
      </c>
      <c r="E1852" t="s">
        <v>627</v>
      </c>
      <c r="F1852" s="3" t="s">
        <v>2750</v>
      </c>
      <c r="G1852" s="1">
        <v>37.4</v>
      </c>
      <c r="H1852" t="s">
        <v>2761</v>
      </c>
      <c r="I1852" t="s">
        <v>629</v>
      </c>
      <c r="J1852" s="1">
        <v>3</v>
      </c>
      <c r="K1852" s="1">
        <v>796.02840000000003</v>
      </c>
      <c r="L1852" s="1" t="str">
        <f>HYPERLINK("http://ms.phosphosite.org:5080/cgi-bin/plot-msms.cgi?MassType=1&amp;NumAxis=1&amp;Mod10=170&amp;Pep=GGNFGFGDSRGGGGNFGPGPGSNFR&amp;Dta=/var/www/html/dta/yong/23612.13341.3.dta&amp;Global_Mod=CS57.0215", "13341")</f>
        <v>13341</v>
      </c>
      <c r="M1852" s="1" t="str">
        <f>HYPERLINK("http://ms.phosphosite.org:5080/cgi-bin/plot-msms.cgi?MassType=1&amp;NumAxis=1&amp;Mod10=170&amp;Pep=GGNFGFGDSRGGGGNFGPGPGSNFR&amp;Dta=/var/www/html/dta/yong/23613.21259.3.dta&amp;Global_Mod=CS57.0215", "21259")</f>
        <v>21259</v>
      </c>
      <c r="N1852" s="27">
        <v>55.52</v>
      </c>
      <c r="O1852" s="27">
        <v>89.03</v>
      </c>
      <c r="P1852" s="27">
        <v>4.5949999999999998</v>
      </c>
      <c r="Q1852" s="27">
        <v>4.0270000000000001</v>
      </c>
      <c r="R1852" s="27">
        <v>0.46899999999999997</v>
      </c>
      <c r="S1852" s="27">
        <v>1.022</v>
      </c>
      <c r="T1852" s="27">
        <v>0.32969999999999999</v>
      </c>
      <c r="U1852" s="27">
        <v>0.31790000000000002</v>
      </c>
      <c r="V1852" s="1">
        <v>1</v>
      </c>
      <c r="W1852" s="1">
        <v>1</v>
      </c>
      <c r="X1852" s="27">
        <v>4.22</v>
      </c>
      <c r="Y1852" s="27">
        <v>3.93</v>
      </c>
      <c r="Z1852" s="28">
        <v>1000</v>
      </c>
      <c r="AA1852" s="28">
        <v>1000</v>
      </c>
      <c r="AB1852" s="1" t="s">
        <v>13</v>
      </c>
    </row>
    <row r="1853" spans="1:28">
      <c r="A1853" t="s">
        <v>580</v>
      </c>
      <c r="B1853" s="29" t="s">
        <v>2748</v>
      </c>
      <c r="C1853" s="26" t="s">
        <v>2749</v>
      </c>
      <c r="D1853" s="1">
        <v>213</v>
      </c>
      <c r="E1853" t="s">
        <v>627</v>
      </c>
      <c r="F1853" s="3" t="s">
        <v>2750</v>
      </c>
      <c r="G1853" s="1">
        <v>37.4</v>
      </c>
      <c r="H1853" t="s">
        <v>2761</v>
      </c>
      <c r="I1853" t="s">
        <v>629</v>
      </c>
      <c r="J1853" s="1">
        <v>3</v>
      </c>
      <c r="K1853" s="1">
        <v>796.02840000000003</v>
      </c>
      <c r="L1853" s="1" t="str">
        <f>HYPERLINK("http://ms.phosphosite.org:5080/cgi-bin/plot-msms.cgi?MassType=1&amp;NumAxis=1&amp;Mod10=170&amp;Pep=GGNFGFGDSRGGGGNFGPGPGSNFR&amp;Dta=/var/www/html/dta/yong/23612.21254.3.dta&amp;Global_Mod=CS57.0215", "21254")</f>
        <v>21254</v>
      </c>
      <c r="M1853" s="1" t="str">
        <f>HYPERLINK("http://ms.phosphosite.org:5080/cgi-bin/plot-msms.cgi?MassType=1&amp;NumAxis=1&amp;Mod10=170&amp;Pep=GGNFGFGDSRGGGGNFGPGPGSNFR&amp;Dta=/var/www/html/dta/yong/23613.25011.3.dta&amp;Global_Mod=CS57.0215", "25011")</f>
        <v>25011</v>
      </c>
      <c r="N1853" s="27">
        <v>89.47</v>
      </c>
      <c r="O1853" s="27">
        <v>109.43</v>
      </c>
      <c r="P1853" s="27">
        <v>3.8650000000000002</v>
      </c>
      <c r="Q1853" s="27">
        <v>3.9369999999999998</v>
      </c>
      <c r="R1853" s="27">
        <v>1.2269000000000001</v>
      </c>
      <c r="S1853" s="27">
        <v>1.6636</v>
      </c>
      <c r="T1853" s="27">
        <v>0.33929999999999999</v>
      </c>
      <c r="U1853" s="27">
        <v>0.34429999999999999</v>
      </c>
      <c r="V1853" s="1">
        <v>1</v>
      </c>
      <c r="W1853" s="1">
        <v>1</v>
      </c>
      <c r="X1853" s="27">
        <v>4.09</v>
      </c>
      <c r="Y1853" s="27">
        <v>4.01</v>
      </c>
      <c r="Z1853" s="28">
        <v>1000</v>
      </c>
      <c r="AA1853" s="28">
        <v>1000</v>
      </c>
      <c r="AB1853" s="1" t="s">
        <v>13</v>
      </c>
    </row>
    <row r="1854" spans="1:28">
      <c r="A1854" t="s">
        <v>580</v>
      </c>
      <c r="B1854" s="29" t="s">
        <v>2748</v>
      </c>
      <c r="C1854" s="26" t="s">
        <v>2749</v>
      </c>
      <c r="D1854" s="1">
        <v>213</v>
      </c>
      <c r="E1854" t="s">
        <v>627</v>
      </c>
      <c r="F1854" s="3" t="s">
        <v>2750</v>
      </c>
      <c r="G1854" s="1">
        <v>37.4</v>
      </c>
      <c r="H1854" t="s">
        <v>2761</v>
      </c>
      <c r="I1854" t="s">
        <v>629</v>
      </c>
      <c r="J1854" s="1">
        <v>3</v>
      </c>
      <c r="K1854" s="1">
        <v>796.02840000000003</v>
      </c>
      <c r="L1854" s="1" t="str">
        <f>HYPERLINK("http://ms.phosphosite.org:5080/cgi-bin/plot-msms.cgi?MassType=1&amp;NumAxis=1&amp;Mod10=170&amp;Pep=GGNFGFGDSRGGGGNFGPGPGSNFR&amp;Dta=/var/www/html/dta/yong/23612.14475.3.dta&amp;Global_Mod=CS57.0215", "14475")</f>
        <v>14475</v>
      </c>
      <c r="M1854" s="1" t="str">
        <f>HYPERLINK("http://ms.phosphosite.org:5080/cgi-bin/plot-msms.cgi?MassType=1&amp;NumAxis=1&amp;Mod10=170&amp;Pep=GGNFGFGDSRGGGGNFGPGPGSNFR&amp;Dta=/var/www/html/dta/yong/23613.12429.3.dta&amp;Global_Mod=CS57.0215", "12429")</f>
        <v>12429</v>
      </c>
      <c r="N1854" s="27">
        <v>59.6</v>
      </c>
      <c r="O1854" s="27">
        <v>51.92</v>
      </c>
      <c r="P1854" s="27">
        <v>3.8479999999999999</v>
      </c>
      <c r="Q1854" s="27">
        <v>4.4059999999999997</v>
      </c>
      <c r="R1854" s="27">
        <v>0.77700000000000002</v>
      </c>
      <c r="S1854" s="27">
        <v>0.25800000000000001</v>
      </c>
      <c r="T1854" s="27">
        <v>0.31919999999999998</v>
      </c>
      <c r="U1854" s="27">
        <v>0.28349999999999997</v>
      </c>
      <c r="V1854" s="1">
        <v>1</v>
      </c>
      <c r="W1854" s="1">
        <v>1</v>
      </c>
      <c r="X1854" s="27">
        <v>4.01</v>
      </c>
      <c r="Y1854" s="27">
        <v>3.86</v>
      </c>
      <c r="Z1854" s="28">
        <v>1000</v>
      </c>
      <c r="AA1854" s="28">
        <v>1000</v>
      </c>
      <c r="AB1854" s="1" t="s">
        <v>13</v>
      </c>
    </row>
    <row r="1855" spans="1:28">
      <c r="A1855" t="s">
        <v>580</v>
      </c>
      <c r="B1855" s="29" t="s">
        <v>2748</v>
      </c>
      <c r="C1855" s="26" t="s">
        <v>2749</v>
      </c>
      <c r="D1855" s="1">
        <v>213</v>
      </c>
      <c r="E1855" t="s">
        <v>627</v>
      </c>
      <c r="F1855" s="3" t="s">
        <v>2750</v>
      </c>
      <c r="G1855" s="1">
        <v>37.4</v>
      </c>
      <c r="H1855" t="s">
        <v>2761</v>
      </c>
      <c r="I1855" t="s">
        <v>629</v>
      </c>
      <c r="J1855" s="1">
        <v>3</v>
      </c>
      <c r="K1855" s="1">
        <v>796.02840000000003</v>
      </c>
      <c r="L1855" s="1" t="str">
        <f>HYPERLINK("http://ms.phosphosite.org:5080/cgi-bin/plot-msms.cgi?MassType=1&amp;NumAxis=1&amp;Mod10=170&amp;Pep=GGNFGFGDSRGGGGNFGPGPGSNFR&amp;Dta=/var/www/html/dta/yong/23612.14664.3.dta&amp;Global_Mod=CS57.0215", "14664")</f>
        <v>14664</v>
      </c>
      <c r="M1855" s="1" t="str">
        <f>HYPERLINK("http://ms.phosphosite.org:5080/cgi-bin/plot-msms.cgi?MassType=1&amp;NumAxis=1&amp;Mod10=170&amp;Pep=GGNFGFGDSRGGGGNFGPGPGSNFR&amp;Dta=/var/www/html/dta/yong/23613.15405.3.dta&amp;Global_Mod=CS57.0215", "15405")</f>
        <v>15405</v>
      </c>
      <c r="N1855" s="27">
        <v>60.36</v>
      </c>
      <c r="O1855" s="27">
        <v>62.87</v>
      </c>
      <c r="P1855" s="27">
        <v>3.7130000000000001</v>
      </c>
      <c r="Q1855" s="27">
        <v>4.3540000000000001</v>
      </c>
      <c r="R1855" s="27">
        <v>1.0244</v>
      </c>
      <c r="S1855" s="27">
        <v>1.6849000000000001</v>
      </c>
      <c r="T1855" s="27">
        <v>0.30470000000000003</v>
      </c>
      <c r="U1855" s="27">
        <v>0.35370000000000001</v>
      </c>
      <c r="V1855" s="1">
        <v>1</v>
      </c>
      <c r="W1855" s="1">
        <v>1</v>
      </c>
      <c r="X1855" s="27">
        <v>3.9</v>
      </c>
      <c r="Y1855" s="27">
        <v>4.1399999999999997</v>
      </c>
      <c r="Z1855" s="28">
        <v>1000</v>
      </c>
      <c r="AA1855" s="28">
        <v>1000</v>
      </c>
      <c r="AB1855" s="1" t="s">
        <v>13</v>
      </c>
    </row>
    <row r="1856" spans="1:28">
      <c r="A1856" t="s">
        <v>580</v>
      </c>
      <c r="B1856" s="29" t="s">
        <v>2748</v>
      </c>
      <c r="C1856" s="26" t="s">
        <v>2749</v>
      </c>
      <c r="D1856" s="1">
        <v>213</v>
      </c>
      <c r="E1856" t="s">
        <v>627</v>
      </c>
      <c r="F1856" s="3" t="s">
        <v>2750</v>
      </c>
      <c r="G1856" s="1">
        <v>37.4</v>
      </c>
      <c r="H1856" t="s">
        <v>2761</v>
      </c>
      <c r="I1856" t="s">
        <v>629</v>
      </c>
      <c r="J1856" s="1">
        <v>3</v>
      </c>
      <c r="K1856" s="1">
        <v>796.02840000000003</v>
      </c>
      <c r="L1856" s="1" t="str">
        <f>HYPERLINK("http://ms.phosphosite.org:5080/cgi-bin/plot-msms.cgi?MassType=1&amp;NumAxis=1&amp;Mod10=170&amp;Pep=GGNFGFGDSRGGGGNFGPGPGSNFR&amp;Dta=/var/www/html/dta/yong/23612.22331.3.dta&amp;Global_Mod=CS57.0215", "22331")</f>
        <v>22331</v>
      </c>
      <c r="M1856" s="1" t="str">
        <f>HYPERLINK("http://ms.phosphosite.org:5080/cgi-bin/plot-msms.cgi?MassType=1&amp;NumAxis=1&amp;Mod10=170&amp;Pep=GGNFGFGDSRGGGGNFGPGPGSNFR&amp;Dta=/var/www/html/dta/yong/23613.19284.3.dta&amp;Global_Mod=CS57.0215", "19284")</f>
        <v>19284</v>
      </c>
      <c r="N1856" s="27">
        <v>94.84</v>
      </c>
      <c r="O1856" s="27">
        <v>79.650000000000006</v>
      </c>
      <c r="P1856" s="27">
        <v>2.6429999999999998</v>
      </c>
      <c r="Q1856" s="27">
        <v>4.3579999999999997</v>
      </c>
      <c r="R1856" s="27">
        <v>1.2264999999999999</v>
      </c>
      <c r="S1856" s="27">
        <v>2.0255000000000001</v>
      </c>
      <c r="T1856" s="27">
        <v>0.1158</v>
      </c>
      <c r="U1856" s="27">
        <v>0.41089999999999999</v>
      </c>
      <c r="V1856" s="1">
        <v>1</v>
      </c>
      <c r="W1856" s="1">
        <v>1</v>
      </c>
      <c r="X1856" s="27">
        <v>2.75</v>
      </c>
      <c r="Y1856" s="27">
        <v>4.41</v>
      </c>
      <c r="Z1856" s="28">
        <v>1000</v>
      </c>
      <c r="AA1856" s="28">
        <v>1000</v>
      </c>
      <c r="AB1856" s="1" t="s">
        <v>13</v>
      </c>
    </row>
    <row r="1857" spans="1:28">
      <c r="A1857" t="s">
        <v>580</v>
      </c>
      <c r="B1857" s="29" t="s">
        <v>2748</v>
      </c>
      <c r="C1857" s="26" t="s">
        <v>2749</v>
      </c>
      <c r="D1857" s="1">
        <v>213</v>
      </c>
      <c r="E1857" t="s">
        <v>627</v>
      </c>
      <c r="F1857" s="3" t="s">
        <v>2750</v>
      </c>
      <c r="G1857" s="1">
        <v>37.4</v>
      </c>
      <c r="H1857" t="s">
        <v>2761</v>
      </c>
      <c r="I1857" t="s">
        <v>629</v>
      </c>
      <c r="J1857" s="1">
        <v>3</v>
      </c>
      <c r="K1857" s="1">
        <v>796.02840000000003</v>
      </c>
      <c r="L1857" s="1" t="str">
        <f>HYPERLINK("http://ms.phosphosite.org:5080/cgi-bin/plot-msms.cgi?MassType=1&amp;NumAxis=1&amp;Mod10=170&amp;Pep=GGNFGFGDSRGGGGNFGPGPGSNFR&amp;Dta=/var/www/html/dta/yong/23612.21109.3.dta&amp;Global_Mod=CS57.0215", "21109")</f>
        <v>21109</v>
      </c>
      <c r="M1857" s="1" t="str">
        <f>HYPERLINK("http://ms.phosphosite.org:5080/cgi-bin/plot-msms.cgi?MassType=1&amp;NumAxis=1&amp;Mod10=170&amp;Pep=GGNFGFGDSRGGGGNFGPGPGSNFR&amp;Dta=/var/www/html/dta/yong/23613.23488.3.dta&amp;Global_Mod=CS57.0215", "23488")</f>
        <v>23488</v>
      </c>
      <c r="N1857" s="27">
        <v>88.75</v>
      </c>
      <c r="O1857" s="27">
        <v>100.34</v>
      </c>
      <c r="P1857" s="27">
        <v>3.6909999999999998</v>
      </c>
      <c r="Q1857" s="27">
        <v>3.0619999999999998</v>
      </c>
      <c r="R1857" s="27">
        <v>1.0661</v>
      </c>
      <c r="S1857" s="27">
        <v>0.53110000000000002</v>
      </c>
      <c r="T1857" s="27">
        <v>0.2989</v>
      </c>
      <c r="U1857" s="27">
        <v>0.21129999999999999</v>
      </c>
      <c r="V1857" s="1">
        <v>1</v>
      </c>
      <c r="W1857" s="1">
        <v>1</v>
      </c>
      <c r="X1857" s="27">
        <v>3.87</v>
      </c>
      <c r="Y1857" s="27">
        <v>3.24</v>
      </c>
      <c r="Z1857" s="28">
        <v>1000</v>
      </c>
      <c r="AA1857" s="28">
        <v>1000</v>
      </c>
      <c r="AB1857" s="1" t="s">
        <v>13</v>
      </c>
    </row>
    <row r="1858" spans="1:28">
      <c r="A1858" t="s">
        <v>580</v>
      </c>
      <c r="B1858" s="29" t="s">
        <v>2748</v>
      </c>
      <c r="C1858" s="26" t="s">
        <v>2749</v>
      </c>
      <c r="D1858" s="1">
        <v>213</v>
      </c>
      <c r="E1858" t="s">
        <v>627</v>
      </c>
      <c r="F1858" s="3" t="s">
        <v>2750</v>
      </c>
      <c r="G1858" s="1">
        <v>37.4</v>
      </c>
      <c r="H1858" t="s">
        <v>2761</v>
      </c>
      <c r="I1858" t="s">
        <v>629</v>
      </c>
      <c r="J1858" s="1">
        <v>3</v>
      </c>
      <c r="K1858" s="1">
        <v>796.02840000000003</v>
      </c>
      <c r="L1858" s="1" t="str">
        <f>HYPERLINK("http://ms.phosphosite.org:5080/cgi-bin/plot-msms.cgi?MassType=1&amp;NumAxis=1&amp;Mod10=170&amp;Pep=GGNFGFGDSRGGGGNFGPGPGSNFR&amp;Dta=/var/www/html/dta/yong/23612.13929.3.dta&amp;Global_Mod=CS57.0215", "13929")</f>
        <v>13929</v>
      </c>
      <c r="M1858" s="1" t="str">
        <f>HYPERLINK("http://ms.phosphosite.org:5080/cgi-bin/plot-msms.cgi?MassType=1&amp;NumAxis=1&amp;Mod10=170&amp;Pep=GGNFGFGDSRGGGGNFGPGPGSNFR&amp;Dta=/var/www/html/dta/yong/23613.13063.3.dta&amp;Global_Mod=CS57.0215", "13063")</f>
        <v>13063</v>
      </c>
      <c r="N1858" s="27">
        <v>57.64</v>
      </c>
      <c r="O1858" s="27">
        <v>54.14</v>
      </c>
      <c r="P1858" s="27">
        <v>4.0739999999999998</v>
      </c>
      <c r="Q1858" s="27">
        <v>4.7910000000000004</v>
      </c>
      <c r="R1858" s="27">
        <v>-7.9200000000000007E-2</v>
      </c>
      <c r="S1858" s="27">
        <v>0.70099999999999996</v>
      </c>
      <c r="T1858" s="27">
        <v>0.36809999999999998</v>
      </c>
      <c r="U1858" s="27">
        <v>0.43209999999999998</v>
      </c>
      <c r="V1858" s="1">
        <v>1</v>
      </c>
      <c r="W1858" s="1">
        <v>1</v>
      </c>
      <c r="X1858" s="27">
        <v>4.29</v>
      </c>
      <c r="Y1858" s="27">
        <v>4.67</v>
      </c>
      <c r="Z1858" s="28">
        <v>1000</v>
      </c>
      <c r="AA1858" s="28">
        <v>1000</v>
      </c>
      <c r="AB1858" s="1" t="s">
        <v>13</v>
      </c>
    </row>
    <row r="1859" spans="1:28">
      <c r="A1859" t="s">
        <v>580</v>
      </c>
      <c r="B1859" s="29" t="s">
        <v>2748</v>
      </c>
      <c r="C1859" s="26" t="s">
        <v>2749</v>
      </c>
      <c r="D1859" s="1">
        <v>213</v>
      </c>
      <c r="E1859" t="s">
        <v>627</v>
      </c>
      <c r="F1859" s="3" t="s">
        <v>2750</v>
      </c>
      <c r="G1859" s="1">
        <v>37.4</v>
      </c>
      <c r="H1859" t="s">
        <v>2761</v>
      </c>
      <c r="I1859" t="s">
        <v>629</v>
      </c>
      <c r="J1859" s="1">
        <v>3</v>
      </c>
      <c r="K1859" s="1">
        <v>796.02840000000003</v>
      </c>
      <c r="L1859" s="1" t="str">
        <f>HYPERLINK("http://ms.phosphosite.org:5080/cgi-bin/plot-msms.cgi?MassType=1&amp;NumAxis=1&amp;Mod10=170&amp;Pep=GGNFGFGDSRGGGGNFGPGPGSNFR&amp;Dta=/var/www/html/dta/yong/23612.14052.3.dta&amp;Global_Mod=CS57.0215", "14052")</f>
        <v>14052</v>
      </c>
      <c r="M1859" s="1" t="str">
        <f>HYPERLINK("http://ms.phosphosite.org:5080/cgi-bin/plot-msms.cgi?MassType=1&amp;NumAxis=1&amp;Mod10=170&amp;Pep=GGNFGFGDSRGGGGNFGPGPGSNFR&amp;Dta=/var/www/html/dta/yong/23613.13704.3.dta&amp;Global_Mod=CS57.0215", "13704")</f>
        <v>13704</v>
      </c>
      <c r="N1859" s="27">
        <v>58.1</v>
      </c>
      <c r="O1859" s="27">
        <v>56.45</v>
      </c>
      <c r="P1859" s="27">
        <v>4.7220000000000004</v>
      </c>
      <c r="Q1859" s="27">
        <v>4.8819999999999997</v>
      </c>
      <c r="R1859" s="27">
        <v>1.0153000000000001</v>
      </c>
      <c r="S1859" s="27">
        <v>0.66059999999999997</v>
      </c>
      <c r="T1859" s="27">
        <v>0.33250000000000002</v>
      </c>
      <c r="U1859" s="27">
        <v>0.42749999999999999</v>
      </c>
      <c r="V1859" s="1">
        <v>1</v>
      </c>
      <c r="W1859" s="1">
        <v>1</v>
      </c>
      <c r="X1859" s="27">
        <v>4.2300000000000004</v>
      </c>
      <c r="Y1859" s="27">
        <v>4.67</v>
      </c>
      <c r="Z1859" s="28">
        <v>1000</v>
      </c>
      <c r="AA1859" s="28">
        <v>1000</v>
      </c>
      <c r="AB1859" s="1" t="s">
        <v>13</v>
      </c>
    </row>
    <row r="1860" spans="1:28">
      <c r="A1860" t="s">
        <v>580</v>
      </c>
      <c r="B1860" s="29" t="s">
        <v>2748</v>
      </c>
      <c r="C1860" s="26" t="s">
        <v>2749</v>
      </c>
      <c r="D1860" s="1">
        <v>213</v>
      </c>
      <c r="E1860" t="s">
        <v>627</v>
      </c>
      <c r="F1860" s="3" t="s">
        <v>2750</v>
      </c>
      <c r="G1860" s="1">
        <v>37.4</v>
      </c>
      <c r="H1860" t="s">
        <v>2761</v>
      </c>
      <c r="I1860" t="s">
        <v>629</v>
      </c>
      <c r="J1860" s="1">
        <v>3</v>
      </c>
      <c r="K1860" s="1">
        <v>796.02840000000003</v>
      </c>
      <c r="L1860" s="1" t="str">
        <f>HYPERLINK("http://ms.phosphosite.org:5080/cgi-bin/plot-msms.cgi?MassType=1&amp;NumAxis=1&amp;Mod10=170&amp;Pep=GGNFGFGDSRGGGGNFGPGPGSNFR&amp;Dta=/var/www/html/dta/yong/23612.15873.3.dta&amp;Global_Mod=CS57.0215", "15873")</f>
        <v>15873</v>
      </c>
      <c r="M1860" s="1" t="str">
        <f>HYPERLINK("http://ms.phosphosite.org:5080/cgi-bin/plot-msms.cgi?MassType=1&amp;NumAxis=1&amp;Mod10=170&amp;Pep=GGNFGFGDSRGGGGNFGPGPGSNFR&amp;Dta=/var/www/html/dta/yong/23613.14588.3.dta&amp;Global_Mod=CS57.0215", "14588")</f>
        <v>14588</v>
      </c>
      <c r="N1860" s="27">
        <v>65.12</v>
      </c>
      <c r="O1860" s="27">
        <v>59.73</v>
      </c>
      <c r="P1860" s="27">
        <v>3.806</v>
      </c>
      <c r="Q1860" s="27">
        <v>4.0860000000000003</v>
      </c>
      <c r="R1860" s="27">
        <v>0.91869999999999996</v>
      </c>
      <c r="S1860" s="27">
        <v>0.80979999999999996</v>
      </c>
      <c r="T1860" s="27">
        <v>0.17349999999999999</v>
      </c>
      <c r="U1860" s="27">
        <v>0.43169999999999997</v>
      </c>
      <c r="V1860" s="1">
        <v>1</v>
      </c>
      <c r="W1860" s="1">
        <v>1</v>
      </c>
      <c r="X1860" s="27">
        <v>3.27</v>
      </c>
      <c r="Y1860" s="27">
        <v>4.5199999999999996</v>
      </c>
      <c r="Z1860" s="28">
        <v>1000</v>
      </c>
      <c r="AA1860" s="28">
        <v>1000</v>
      </c>
      <c r="AB1860" s="1" t="s">
        <v>13</v>
      </c>
    </row>
    <row r="1861" spans="1:28">
      <c r="A1861" t="s">
        <v>580</v>
      </c>
      <c r="B1861" s="29" t="s">
        <v>2748</v>
      </c>
      <c r="C1861" s="26" t="s">
        <v>2749</v>
      </c>
      <c r="D1861" s="1">
        <v>213</v>
      </c>
      <c r="E1861" t="s">
        <v>627</v>
      </c>
      <c r="F1861" s="3" t="s">
        <v>2750</v>
      </c>
      <c r="G1861" s="1">
        <v>37.4</v>
      </c>
      <c r="H1861" t="s">
        <v>2761</v>
      </c>
      <c r="I1861" t="s">
        <v>629</v>
      </c>
      <c r="J1861" s="1">
        <v>3</v>
      </c>
      <c r="K1861" s="1">
        <v>796.02840000000003</v>
      </c>
      <c r="L1861" s="1" t="str">
        <f>HYPERLINK("http://ms.phosphosite.org:5080/cgi-bin/plot-msms.cgi?MassType=1&amp;NumAxis=1&amp;Mod10=170&amp;Pep=GGNFGFGDSRGGGGNFGPGPGSNFR&amp;Dta=/var/www/html/dta/yong/23612.22597.3.dta&amp;Global_Mod=CS57.0215", "22597")</f>
        <v>22597</v>
      </c>
      <c r="M1861" s="1" t="str">
        <f>HYPERLINK("http://ms.phosphosite.org:5080/cgi-bin/plot-msms.cgi?MassType=1&amp;NumAxis=1&amp;Mod10=170&amp;Pep=GGNFGFGDSRGGGGNFGPGPGSNFR&amp;Dta=/var/www/html/dta/yong/23613.12099.3.dta&amp;Global_Mod=CS57.0215", "12099")</f>
        <v>12099</v>
      </c>
      <c r="N1861" s="27">
        <v>96.21</v>
      </c>
      <c r="O1861" s="27">
        <v>50.83</v>
      </c>
      <c r="P1861" s="27">
        <v>2.536</v>
      </c>
      <c r="Q1861" s="27">
        <v>5.867</v>
      </c>
      <c r="R1861" s="27">
        <v>1.5166999999999999</v>
      </c>
      <c r="S1861" s="27">
        <v>0.1394</v>
      </c>
      <c r="T1861" s="27">
        <v>1.3100000000000001E-2</v>
      </c>
      <c r="U1861" s="27">
        <v>0.42770000000000002</v>
      </c>
      <c r="V1861" s="1">
        <v>5</v>
      </c>
      <c r="W1861" s="1">
        <v>1</v>
      </c>
      <c r="X1861" s="27">
        <v>2.2000000000000002</v>
      </c>
      <c r="Y1861" s="27">
        <v>4.87</v>
      </c>
      <c r="Z1861" s="28">
        <v>1000</v>
      </c>
      <c r="AA1861" s="28">
        <v>1000</v>
      </c>
      <c r="AB1861" s="1" t="s">
        <v>13</v>
      </c>
    </row>
    <row r="1862" spans="1:28">
      <c r="A1862" t="s">
        <v>580</v>
      </c>
      <c r="B1862" s="29" t="s">
        <v>2748</v>
      </c>
      <c r="C1862" s="26" t="s">
        <v>2749</v>
      </c>
      <c r="D1862" s="1">
        <v>213</v>
      </c>
      <c r="E1862" t="s">
        <v>627</v>
      </c>
      <c r="F1862" s="3" t="s">
        <v>2750</v>
      </c>
      <c r="G1862" s="1">
        <v>37.4</v>
      </c>
      <c r="H1862" t="s">
        <v>2761</v>
      </c>
      <c r="I1862" t="s">
        <v>629</v>
      </c>
      <c r="J1862" s="1">
        <v>3</v>
      </c>
      <c r="K1862" s="1">
        <v>796.02840000000003</v>
      </c>
      <c r="L1862" s="1" t="str">
        <f>HYPERLINK("http://ms.phosphosite.org:5080/cgi-bin/plot-msms.cgi?MassType=1&amp;NumAxis=1&amp;Mod10=170&amp;Pep=GGNFGFGDSRGGGGNFGPGPGSNFR&amp;Dta=/var/www/html/dta/yong/23612.22444.3.dta&amp;Global_Mod=CS57.0215", "22444")</f>
        <v>22444</v>
      </c>
      <c r="M1862" s="1" t="str">
        <f>HYPERLINK("http://ms.phosphosite.org:5080/cgi-bin/plot-msms.cgi?MassType=1&amp;NumAxis=1&amp;Mod10=170&amp;Pep=GGNFGFGDSRGGGGNFGPGPGSNFR&amp;Dta=/var/www/html/dta/yong/23613.23477.3.dta&amp;Global_Mod=CS57.0215", "23477")</f>
        <v>23477</v>
      </c>
      <c r="N1862" s="27">
        <v>95.42</v>
      </c>
      <c r="O1862" s="27">
        <v>100.28</v>
      </c>
      <c r="P1862" s="27">
        <v>3.0219999999999998</v>
      </c>
      <c r="Q1862" s="27">
        <v>3.7269999999999999</v>
      </c>
      <c r="R1862" s="27">
        <v>1.0476000000000001</v>
      </c>
      <c r="S1862" s="27">
        <v>0.57499999999999996</v>
      </c>
      <c r="T1862" s="27">
        <v>0.311</v>
      </c>
      <c r="U1862" s="27">
        <v>0.37459999999999999</v>
      </c>
      <c r="V1862" s="1">
        <v>1</v>
      </c>
      <c r="W1862" s="1">
        <v>1</v>
      </c>
      <c r="X1862" s="27">
        <v>3.8</v>
      </c>
      <c r="Y1862" s="27">
        <v>4.18</v>
      </c>
      <c r="Z1862" s="28">
        <v>1000</v>
      </c>
      <c r="AA1862" s="28">
        <v>1000</v>
      </c>
      <c r="AB1862" s="1" t="s">
        <v>13</v>
      </c>
    </row>
    <row r="1863" spans="1:28">
      <c r="A1863" t="s">
        <v>580</v>
      </c>
      <c r="B1863" s="29" t="s">
        <v>2748</v>
      </c>
      <c r="C1863" s="26" t="s">
        <v>2749</v>
      </c>
      <c r="D1863" s="1">
        <v>213</v>
      </c>
      <c r="E1863" t="s">
        <v>627</v>
      </c>
      <c r="F1863" s="3" t="s">
        <v>2750</v>
      </c>
      <c r="G1863" s="1">
        <v>37.4</v>
      </c>
      <c r="H1863" t="s">
        <v>2761</v>
      </c>
      <c r="I1863" t="s">
        <v>629</v>
      </c>
      <c r="J1863" s="1">
        <v>3</v>
      </c>
      <c r="K1863" s="1">
        <v>796.02840000000003</v>
      </c>
      <c r="L1863" s="1" t="str">
        <f>HYPERLINK("http://ms.phosphosite.org:5080/cgi-bin/plot-msms.cgi?MassType=1&amp;NumAxis=1&amp;Mod10=170&amp;Pep=GGNFGFGDSRGGGGNFGPGPGSNFR&amp;Dta=/var/www/html/dta/yong/23612.21472.3.dta&amp;Global_Mod=CS57.0215", "21472")</f>
        <v>21472</v>
      </c>
      <c r="M1863" s="1" t="str">
        <f>HYPERLINK("http://ms.phosphosite.org:5080/cgi-bin/plot-msms.cgi?MassType=1&amp;NumAxis=1&amp;Mod10=170&amp;Pep=GGNFGFGDSRGGGGNFGPGPGSNFR&amp;Dta=/var/www/html/dta/yong/23613.21200.3.dta&amp;Global_Mod=CS57.0215", "21200")</f>
        <v>21200</v>
      </c>
      <c r="N1863" s="27">
        <v>90.53</v>
      </c>
      <c r="O1863" s="27">
        <v>88.74</v>
      </c>
      <c r="P1863" s="27">
        <v>3.0459999999999998</v>
      </c>
      <c r="Q1863" s="27">
        <v>4.1230000000000002</v>
      </c>
      <c r="R1863" s="27">
        <v>0.83679999999999999</v>
      </c>
      <c r="S1863" s="27">
        <v>1.5412999999999999</v>
      </c>
      <c r="T1863" s="27">
        <v>0.22620000000000001</v>
      </c>
      <c r="U1863" s="27">
        <v>0.31019999999999998</v>
      </c>
      <c r="V1863" s="1">
        <v>1</v>
      </c>
      <c r="W1863" s="1">
        <v>1</v>
      </c>
      <c r="X1863" s="27">
        <v>3.39</v>
      </c>
      <c r="Y1863" s="27">
        <v>3.89</v>
      </c>
      <c r="Z1863" s="28">
        <v>1000</v>
      </c>
      <c r="AA1863" s="28">
        <v>1000</v>
      </c>
      <c r="AB1863" s="1" t="s">
        <v>13</v>
      </c>
    </row>
    <row r="1864" spans="1:28">
      <c r="A1864" t="s">
        <v>580</v>
      </c>
      <c r="B1864" s="29" t="s">
        <v>2748</v>
      </c>
      <c r="C1864" s="26" t="s">
        <v>2749</v>
      </c>
      <c r="D1864" s="1">
        <v>213</v>
      </c>
      <c r="E1864" t="s">
        <v>627</v>
      </c>
      <c r="F1864" s="3" t="s">
        <v>2750</v>
      </c>
      <c r="G1864" s="1">
        <v>37.4</v>
      </c>
      <c r="H1864" t="s">
        <v>2761</v>
      </c>
      <c r="I1864" t="s">
        <v>629</v>
      </c>
      <c r="J1864" s="1">
        <v>3</v>
      </c>
      <c r="K1864" s="1">
        <v>796.02840000000003</v>
      </c>
      <c r="L1864" s="1" t="str">
        <f>HYPERLINK("http://ms.phosphosite.org:5080/cgi-bin/plot-msms.cgi?MassType=1&amp;NumAxis=1&amp;Mod10=170&amp;Pep=GGNFGFGDSRGGGGNFGPGPGSNFR&amp;Dta=/var/www/html/dta/yong/23612.12954.3.dta&amp;Global_Mod=CS57.0215", "12954")</f>
        <v>12954</v>
      </c>
      <c r="M1864" s="1" t="str">
        <f>HYPERLINK("http://ms.phosphosite.org:5080/cgi-bin/plot-msms.cgi?MassType=1&amp;NumAxis=1&amp;Mod10=170&amp;Pep=GGNFGFGDSRGGGGNFGPGPGSNFR&amp;Dta=/var/www/html/dta/yong/23613.18716.3.dta&amp;Global_Mod=CS57.0215", "18716")</f>
        <v>18716</v>
      </c>
      <c r="N1864" s="27">
        <v>54.08</v>
      </c>
      <c r="O1864" s="27">
        <v>76.98</v>
      </c>
      <c r="P1864" s="27">
        <v>5.42</v>
      </c>
      <c r="Q1864" s="27">
        <v>3.5779999999999998</v>
      </c>
      <c r="R1864" s="27">
        <v>0.73529999999999995</v>
      </c>
      <c r="S1864" s="27">
        <v>2.4839000000000002</v>
      </c>
      <c r="T1864" s="27">
        <v>0.42159999999999997</v>
      </c>
      <c r="U1864" s="27">
        <v>0.32869999999999999</v>
      </c>
      <c r="V1864" s="1">
        <v>1</v>
      </c>
      <c r="W1864" s="1">
        <v>1</v>
      </c>
      <c r="X1864" s="27">
        <v>4.82</v>
      </c>
      <c r="Y1864" s="27">
        <v>3.82</v>
      </c>
      <c r="Z1864" s="28">
        <v>1000</v>
      </c>
      <c r="AA1864" s="28">
        <v>1000</v>
      </c>
      <c r="AB1864" s="1" t="s">
        <v>13</v>
      </c>
    </row>
    <row r="1865" spans="1:28">
      <c r="A1865" t="s">
        <v>580</v>
      </c>
      <c r="B1865" s="29" t="s">
        <v>2748</v>
      </c>
      <c r="C1865" s="26" t="s">
        <v>2749</v>
      </c>
      <c r="D1865" s="1">
        <v>213</v>
      </c>
      <c r="E1865" t="s">
        <v>627</v>
      </c>
      <c r="F1865" s="3" t="s">
        <v>2750</v>
      </c>
      <c r="G1865" s="1">
        <v>37.4</v>
      </c>
      <c r="H1865" t="s">
        <v>2761</v>
      </c>
      <c r="I1865" t="s">
        <v>629</v>
      </c>
      <c r="J1865" s="1">
        <v>3</v>
      </c>
      <c r="K1865" s="1">
        <v>796.02840000000003</v>
      </c>
      <c r="L1865" s="1" t="str">
        <f>HYPERLINK("http://ms.phosphosite.org:5080/cgi-bin/plot-msms.cgi?MassType=1&amp;NumAxis=1&amp;Mod10=170&amp;Pep=GGNFGFGDSRGGGGNFGPGPGSNFR&amp;Dta=/var/www/html/dta/yong/23612.19583.3.dta&amp;Global_Mod=CS57.0215", "19583")</f>
        <v>19583</v>
      </c>
      <c r="M1865" s="1" t="str">
        <f>HYPERLINK("http://ms.phosphosite.org:5080/cgi-bin/plot-msms.cgi?MassType=1&amp;NumAxis=1&amp;Mod10=170&amp;Pep=GGNFGFGDSRGGGGNFGPGPGSNFR&amp;Dta=/var/www/html/dta/yong/23613.23056.3.dta&amp;Global_Mod=CS57.0215", "23056")</f>
        <v>23056</v>
      </c>
      <c r="N1865" s="27">
        <v>81.52</v>
      </c>
      <c r="O1865" s="27">
        <v>98.13</v>
      </c>
      <c r="P1865" s="27">
        <v>3.0880000000000001</v>
      </c>
      <c r="Q1865" s="27">
        <v>2.9319999999999999</v>
      </c>
      <c r="R1865" s="27">
        <v>1.7981</v>
      </c>
      <c r="S1865" s="27">
        <v>0.84850000000000003</v>
      </c>
      <c r="T1865" s="27">
        <v>0.1888</v>
      </c>
      <c r="U1865" s="27">
        <v>0.2142</v>
      </c>
      <c r="V1865" s="1">
        <v>1</v>
      </c>
      <c r="W1865" s="1">
        <v>1</v>
      </c>
      <c r="X1865" s="27">
        <v>3.17</v>
      </c>
      <c r="Y1865" s="27">
        <v>3.21</v>
      </c>
      <c r="Z1865" s="28">
        <v>1000</v>
      </c>
      <c r="AA1865" s="28">
        <v>1000</v>
      </c>
      <c r="AB1865" s="1" t="s">
        <v>13</v>
      </c>
    </row>
    <row r="1866" spans="1:28">
      <c r="A1866" t="s">
        <v>580</v>
      </c>
      <c r="B1866" s="29" t="s">
        <v>2748</v>
      </c>
      <c r="C1866" s="26" t="s">
        <v>2749</v>
      </c>
      <c r="D1866" s="1">
        <v>213</v>
      </c>
      <c r="E1866" t="s">
        <v>627</v>
      </c>
      <c r="F1866" s="3" t="s">
        <v>2750</v>
      </c>
      <c r="G1866" s="1">
        <v>37.4</v>
      </c>
      <c r="H1866" t="s">
        <v>2761</v>
      </c>
      <c r="I1866" t="s">
        <v>629</v>
      </c>
      <c r="J1866" s="1">
        <v>3</v>
      </c>
      <c r="K1866" s="1">
        <v>796.02840000000003</v>
      </c>
      <c r="L1866" s="1" t="str">
        <f>HYPERLINK("http://ms.phosphosite.org:5080/cgi-bin/plot-msms.cgi?MassType=1&amp;NumAxis=1&amp;Mod10=170&amp;Pep=GGNFGFGDSRGGGGNFGPGPGSNFR&amp;Dta=/var/www/html/dta/yong/23612.22856.3.dta&amp;Global_Mod=CS57.0215", "22856")</f>
        <v>22856</v>
      </c>
      <c r="M1866" s="1" t="str">
        <f>HYPERLINK("http://ms.phosphosite.org:5080/cgi-bin/plot-msms.cgi?MassType=1&amp;NumAxis=1&amp;Mod10=170&amp;Pep=GGNFGFGDSRGGGGNFGPGPGSNFR&amp;Dta=/var/www/html/dta/yong/23613.11681.3.dta&amp;Global_Mod=CS57.0215", "11681")</f>
        <v>11681</v>
      </c>
      <c r="N1866" s="27">
        <v>97.53</v>
      </c>
      <c r="O1866" s="27">
        <v>49.45</v>
      </c>
      <c r="P1866" s="27">
        <v>3.1139999999999999</v>
      </c>
      <c r="Q1866" s="27">
        <v>5.4580000000000002</v>
      </c>
      <c r="R1866" s="27">
        <v>1.4558</v>
      </c>
      <c r="S1866" s="27">
        <v>0.20810000000000001</v>
      </c>
      <c r="T1866" s="27">
        <v>0.317</v>
      </c>
      <c r="U1866" s="27">
        <v>0.44040000000000001</v>
      </c>
      <c r="V1866" s="1">
        <v>1</v>
      </c>
      <c r="W1866" s="1">
        <v>1</v>
      </c>
      <c r="X1866" s="27">
        <v>3.82</v>
      </c>
      <c r="Y1866" s="27">
        <v>4.8499999999999996</v>
      </c>
      <c r="Z1866" s="28">
        <v>1000</v>
      </c>
      <c r="AA1866" s="28">
        <v>1000</v>
      </c>
      <c r="AB1866" s="1" t="s">
        <v>13</v>
      </c>
    </row>
    <row r="1867" spans="1:28">
      <c r="A1867" t="s">
        <v>580</v>
      </c>
      <c r="B1867" s="29" t="s">
        <v>2748</v>
      </c>
      <c r="C1867" s="26" t="s">
        <v>2749</v>
      </c>
      <c r="D1867" s="1">
        <v>213</v>
      </c>
      <c r="E1867" t="s">
        <v>627</v>
      </c>
      <c r="F1867" s="3" t="s">
        <v>2750</v>
      </c>
      <c r="G1867" s="1">
        <v>37.4</v>
      </c>
      <c r="H1867" t="s">
        <v>2761</v>
      </c>
      <c r="I1867" t="s">
        <v>629</v>
      </c>
      <c r="J1867" s="1">
        <v>3</v>
      </c>
      <c r="K1867" s="1">
        <v>796.02840000000003</v>
      </c>
      <c r="L1867" s="1" t="str">
        <f>HYPERLINK("http://ms.phosphosite.org:5080/cgi-bin/plot-msms.cgi?MassType=1&amp;NumAxis=1&amp;Mod10=170&amp;Pep=GGNFGFGDSRGGGGNFGPGPGSNFR&amp;Dta=/var/www/html/dta/yong/23612.11609.3.dta&amp;Global_Mod=CS57.0215", "11609")</f>
        <v>11609</v>
      </c>
      <c r="M1867" s="1" t="str">
        <f>HYPERLINK("http://ms.phosphosite.org:5080/cgi-bin/plot-msms.cgi?MassType=1&amp;NumAxis=1&amp;Mod10=170&amp;Pep=GGNFGFGDSRGGGGNFGPGPGSNFR&amp;Dta=/var/www/html/dta/yong/23613.13618.3.dta&amp;Global_Mod=CS57.0215", "13618")</f>
        <v>13618</v>
      </c>
      <c r="N1867" s="27">
        <v>49.52</v>
      </c>
      <c r="O1867" s="27">
        <v>56.15</v>
      </c>
      <c r="P1867" s="27">
        <v>5.7359999999999998</v>
      </c>
      <c r="Q1867" s="27">
        <v>4.851</v>
      </c>
      <c r="R1867" s="27">
        <v>0.54110000000000003</v>
      </c>
      <c r="S1867" s="27">
        <v>0.90780000000000005</v>
      </c>
      <c r="T1867" s="27">
        <v>0.42180000000000001</v>
      </c>
      <c r="U1867" s="27">
        <v>0.41020000000000001</v>
      </c>
      <c r="V1867" s="1">
        <v>1</v>
      </c>
      <c r="W1867" s="1">
        <v>1</v>
      </c>
      <c r="X1867" s="27">
        <v>4.8899999999999997</v>
      </c>
      <c r="Y1867" s="27">
        <v>4.5599999999999996</v>
      </c>
      <c r="Z1867" s="28">
        <v>1000</v>
      </c>
      <c r="AA1867" s="28">
        <v>1000</v>
      </c>
      <c r="AB1867" s="1" t="s">
        <v>13</v>
      </c>
    </row>
    <row r="1868" spans="1:28">
      <c r="A1868" t="s">
        <v>580</v>
      </c>
      <c r="B1868" s="29" t="s">
        <v>2748</v>
      </c>
      <c r="C1868" s="26" t="s">
        <v>2749</v>
      </c>
      <c r="D1868" s="1">
        <v>213</v>
      </c>
      <c r="E1868" t="s">
        <v>627</v>
      </c>
      <c r="F1868" s="3" t="s">
        <v>2750</v>
      </c>
      <c r="G1868" s="1">
        <v>37.4</v>
      </c>
      <c r="H1868" t="s">
        <v>2761</v>
      </c>
      <c r="I1868" t="s">
        <v>629</v>
      </c>
      <c r="J1868" s="1">
        <v>3</v>
      </c>
      <c r="K1868" s="1">
        <v>796.02840000000003</v>
      </c>
      <c r="L1868" s="1" t="str">
        <f>HYPERLINK("http://ms.phosphosite.org:5080/cgi-bin/plot-msms.cgi?MassType=1&amp;NumAxis=1&amp;Mod10=170&amp;Pep=GGNFGFGDSRGGGGNFGPGPGSNFR&amp;Dta=/var/www/html/dta/yong/23612.25046.3.dta&amp;Global_Mod=CS57.0215", "25046")</f>
        <v>25046</v>
      </c>
      <c r="M1868" s="1" t="str">
        <f>HYPERLINK("http://ms.phosphosite.org:5080/cgi-bin/plot-msms.cgi?MassType=1&amp;NumAxis=1&amp;Mod10=170&amp;Pep=GGNFGFGDSRGGGGNFGPGPGSNFR&amp;Dta=/var/www/html/dta/yong/23613.25085.3.dta&amp;Global_Mod=CS57.0215", "25085")</f>
        <v>25085</v>
      </c>
      <c r="N1868" s="27">
        <v>109.82</v>
      </c>
      <c r="O1868" s="27">
        <v>109.82</v>
      </c>
      <c r="P1868" s="27">
        <v>2.948</v>
      </c>
      <c r="Q1868" s="27">
        <v>3.3860000000000001</v>
      </c>
      <c r="R1868" s="27">
        <v>1.2181999999999999</v>
      </c>
      <c r="S1868" s="27">
        <v>1.8878999999999999</v>
      </c>
      <c r="T1868" s="27">
        <v>5.9400000000000001E-2</v>
      </c>
      <c r="U1868" s="27">
        <v>0.2014</v>
      </c>
      <c r="V1868" s="1">
        <v>1</v>
      </c>
      <c r="W1868" s="1">
        <v>1</v>
      </c>
      <c r="X1868" s="27">
        <v>2.5299999999999998</v>
      </c>
      <c r="Y1868" s="27">
        <v>3.18</v>
      </c>
      <c r="Z1868" s="28">
        <v>1000</v>
      </c>
      <c r="AA1868" s="28">
        <v>1000</v>
      </c>
      <c r="AB1868" s="1" t="s">
        <v>13</v>
      </c>
    </row>
    <row r="1869" spans="1:28">
      <c r="A1869" t="s">
        <v>580</v>
      </c>
      <c r="B1869" s="29" t="s">
        <v>2748</v>
      </c>
      <c r="C1869" s="26" t="s">
        <v>2749</v>
      </c>
      <c r="D1869" s="1">
        <v>213</v>
      </c>
      <c r="E1869" t="s">
        <v>627</v>
      </c>
      <c r="F1869" s="3" t="s">
        <v>2750</v>
      </c>
      <c r="G1869" s="1">
        <v>37.4</v>
      </c>
      <c r="H1869" t="s">
        <v>2761</v>
      </c>
      <c r="I1869" t="s">
        <v>629</v>
      </c>
      <c r="J1869" s="1">
        <v>3</v>
      </c>
      <c r="K1869" s="1">
        <v>796.02840000000003</v>
      </c>
      <c r="L1869" s="1" t="str">
        <f>HYPERLINK("http://ms.phosphosite.org:5080/cgi-bin/plot-msms.cgi?MassType=1&amp;NumAxis=1&amp;Mod10=170&amp;Pep=GGNFGFGDSRGGGGNFGPGPGSNFR&amp;Dta=/var/www/html/dta/yong/23612.11817.3.dta&amp;Global_Mod=CS57.0215", "11817")</f>
        <v>11817</v>
      </c>
      <c r="M1869" s="1" t="str">
        <f>HYPERLINK("http://ms.phosphosite.org:5080/cgi-bin/plot-msms.cgi?MassType=1&amp;NumAxis=1&amp;Mod10=170&amp;Pep=GGNFGFGDSRGGGGNFGPGPGSNFR&amp;Dta=/var/www/html/dta/yong/23613.22131.3.dta&amp;Global_Mod=CS57.0215", "22131")</f>
        <v>22131</v>
      </c>
      <c r="N1869" s="27">
        <v>50.22</v>
      </c>
      <c r="O1869" s="27">
        <v>93.37</v>
      </c>
      <c r="P1869" s="27">
        <v>5.8339999999999996</v>
      </c>
      <c r="Q1869" s="27">
        <v>4.0090000000000003</v>
      </c>
      <c r="R1869" s="27">
        <v>0.1011</v>
      </c>
      <c r="S1869" s="27">
        <v>1.9312</v>
      </c>
      <c r="T1869" s="27">
        <v>0.42820000000000003</v>
      </c>
      <c r="U1869" s="27">
        <v>0.3896</v>
      </c>
      <c r="V1869" s="1">
        <v>1</v>
      </c>
      <c r="W1869" s="1">
        <v>1</v>
      </c>
      <c r="X1869" s="27">
        <v>4.9400000000000004</v>
      </c>
      <c r="Y1869" s="27">
        <v>4.24</v>
      </c>
      <c r="Z1869" s="28">
        <v>1000</v>
      </c>
      <c r="AA1869" s="28">
        <v>1000</v>
      </c>
      <c r="AB1869" s="1" t="s">
        <v>13</v>
      </c>
    </row>
    <row r="1870" spans="1:28">
      <c r="A1870" t="s">
        <v>580</v>
      </c>
      <c r="B1870" s="29" t="s">
        <v>2748</v>
      </c>
      <c r="C1870" s="26" t="s">
        <v>2749</v>
      </c>
      <c r="D1870" s="1">
        <v>213</v>
      </c>
      <c r="E1870" t="s">
        <v>627</v>
      </c>
      <c r="F1870" s="3" t="s">
        <v>2750</v>
      </c>
      <c r="G1870" s="1">
        <v>37.4</v>
      </c>
      <c r="H1870" t="s">
        <v>2761</v>
      </c>
      <c r="I1870" t="s">
        <v>629</v>
      </c>
      <c r="J1870" s="1">
        <v>3</v>
      </c>
      <c r="K1870" s="1">
        <v>796.02840000000003</v>
      </c>
      <c r="L1870" s="1" t="str">
        <f>HYPERLINK("http://ms.phosphosite.org:5080/cgi-bin/plot-msms.cgi?MassType=1&amp;NumAxis=1&amp;Mod10=170&amp;Pep=GGNFGFGDSRGGGGNFGPGPGSNFR&amp;Dta=/var/www/html/dta/yong/23612.18696.3.dta&amp;Global_Mod=CS57.0215", "18696")</f>
        <v>18696</v>
      </c>
      <c r="M1870" s="1" t="str">
        <f>HYPERLINK("http://ms.phosphosite.org:5080/cgi-bin/plot-msms.cgi?MassType=1&amp;NumAxis=1&amp;Mod10=170&amp;Pep=GGNFGFGDSRGGGGNFGPGPGSNFR&amp;Dta=/var/www/html/dta/yong/23613.21925.3.dta&amp;Global_Mod=CS57.0215", "21925")</f>
        <v>21925</v>
      </c>
      <c r="N1870" s="27">
        <v>77.31</v>
      </c>
      <c r="O1870" s="27">
        <v>92.32</v>
      </c>
      <c r="P1870" s="27">
        <v>3.3319999999999999</v>
      </c>
      <c r="Q1870" s="27">
        <v>3.6150000000000002</v>
      </c>
      <c r="R1870" s="27">
        <v>1.3458000000000001</v>
      </c>
      <c r="S1870" s="27">
        <v>5.1299999999999998E-2</v>
      </c>
      <c r="T1870" s="27">
        <v>0.2276</v>
      </c>
      <c r="U1870" s="27">
        <v>0.26519999999999999</v>
      </c>
      <c r="V1870" s="1">
        <v>1</v>
      </c>
      <c r="W1870" s="1">
        <v>1</v>
      </c>
      <c r="X1870" s="27">
        <v>3.43</v>
      </c>
      <c r="Y1870" s="27">
        <v>3.6</v>
      </c>
      <c r="Z1870" s="28">
        <v>1000</v>
      </c>
      <c r="AA1870" s="28">
        <v>1000</v>
      </c>
      <c r="AB1870" s="1" t="s">
        <v>13</v>
      </c>
    </row>
    <row r="1871" spans="1:28">
      <c r="A1871" t="s">
        <v>580</v>
      </c>
      <c r="B1871" s="29" t="s">
        <v>2748</v>
      </c>
      <c r="C1871" s="26" t="s">
        <v>2749</v>
      </c>
      <c r="D1871" s="1">
        <v>213</v>
      </c>
      <c r="E1871" t="s">
        <v>627</v>
      </c>
      <c r="F1871" s="3" t="s">
        <v>2750</v>
      </c>
      <c r="G1871" s="1">
        <v>37.4</v>
      </c>
      <c r="H1871" t="s">
        <v>2761</v>
      </c>
      <c r="I1871" t="s">
        <v>629</v>
      </c>
      <c r="J1871" s="1">
        <v>3</v>
      </c>
      <c r="K1871" s="1">
        <v>796.02840000000003</v>
      </c>
      <c r="L1871" s="1" t="str">
        <f>HYPERLINK("http://ms.phosphosite.org:5080/cgi-bin/plot-msms.cgi?MassType=1&amp;NumAxis=1&amp;Mod10=170&amp;Pep=GGNFGFGDSRGGGGNFGPGPGSNFR&amp;Dta=/var/www/html/dta/yong/23612.14454.3.dta&amp;Global_Mod=CS57.0215", "14454")</f>
        <v>14454</v>
      </c>
      <c r="M1871" s="1" t="str">
        <f>HYPERLINK("http://ms.phosphosite.org:5080/cgi-bin/plot-msms.cgi?MassType=1&amp;NumAxis=1&amp;Mod10=170&amp;Pep=GGNFGFGDSRGGGGNFGPGPGSNFR&amp;Dta=/var/www/html/dta/yong/23613.22786.3.dta&amp;Global_Mod=CS57.0215", "22786")</f>
        <v>22786</v>
      </c>
      <c r="N1871" s="27">
        <v>59.52</v>
      </c>
      <c r="O1871" s="27">
        <v>96.73</v>
      </c>
      <c r="P1871" s="27">
        <v>5.1239999999999997</v>
      </c>
      <c r="Q1871" s="27">
        <v>3.1869999999999998</v>
      </c>
      <c r="R1871" s="27">
        <v>0.75219999999999998</v>
      </c>
      <c r="S1871" s="27">
        <v>1.1601999999999999</v>
      </c>
      <c r="T1871" s="27">
        <v>0.42449999999999999</v>
      </c>
      <c r="U1871" s="27">
        <v>0.2074</v>
      </c>
      <c r="V1871" s="1">
        <v>1</v>
      </c>
      <c r="W1871" s="1">
        <v>1</v>
      </c>
      <c r="X1871" s="27">
        <v>4.78</v>
      </c>
      <c r="Y1871" s="27">
        <v>3.21</v>
      </c>
      <c r="Z1871" s="28">
        <v>1000</v>
      </c>
      <c r="AA1871" s="28">
        <v>1000</v>
      </c>
      <c r="AB1871" s="1" t="s">
        <v>13</v>
      </c>
    </row>
    <row r="1872" spans="1:28">
      <c r="A1872" t="s">
        <v>580</v>
      </c>
      <c r="B1872" s="29" t="s">
        <v>2748</v>
      </c>
      <c r="C1872" s="26" t="s">
        <v>2749</v>
      </c>
      <c r="D1872" s="1">
        <v>213</v>
      </c>
      <c r="E1872" t="s">
        <v>627</v>
      </c>
      <c r="F1872" s="3" t="s">
        <v>2750</v>
      </c>
      <c r="G1872" s="1">
        <v>37.4</v>
      </c>
      <c r="H1872" t="s">
        <v>2761</v>
      </c>
      <c r="I1872" t="s">
        <v>629</v>
      </c>
      <c r="J1872" s="1">
        <v>3</v>
      </c>
      <c r="K1872" s="1">
        <v>796.02840000000003</v>
      </c>
      <c r="L1872" s="1" t="str">
        <f>HYPERLINK("http://ms.phosphosite.org:5080/cgi-bin/plot-msms.cgi?MassType=1&amp;NumAxis=1&amp;Mod10=170&amp;Pep=GGNFGFGDSRGGGGNFGPGPGSNFR&amp;Dta=/var/www/html/dta/yong/23612.21098.3.dta&amp;Global_Mod=CS57.0215", "21098")</f>
        <v>21098</v>
      </c>
      <c r="M1872" s="1" t="str">
        <f>HYPERLINK("http://ms.phosphosite.org:5080/cgi-bin/plot-msms.cgi?MassType=1&amp;NumAxis=1&amp;Mod10=170&amp;Pep=GGNFGFGDSRGGGGNFGPGPGSNFR&amp;Dta=/var/www/html/dta/yong/23613.14042.3.dta&amp;Global_Mod=CS57.0215", "14042")</f>
        <v>14042</v>
      </c>
      <c r="N1872" s="27">
        <v>88.7</v>
      </c>
      <c r="O1872" s="27">
        <v>57.68</v>
      </c>
      <c r="P1872" s="27">
        <v>3.3849999999999998</v>
      </c>
      <c r="Q1872" s="27">
        <v>4.3099999999999996</v>
      </c>
      <c r="R1872" s="27">
        <v>1.0661</v>
      </c>
      <c r="S1872" s="27">
        <v>1.0112000000000001</v>
      </c>
      <c r="T1872" s="27">
        <v>0.18</v>
      </c>
      <c r="U1872" s="27">
        <v>0.40539999999999998</v>
      </c>
      <c r="V1872" s="1">
        <v>1</v>
      </c>
      <c r="W1872" s="1">
        <v>1</v>
      </c>
      <c r="X1872" s="27">
        <v>3.22</v>
      </c>
      <c r="Y1872" s="27">
        <v>4.42</v>
      </c>
      <c r="Z1872" s="28">
        <v>1000</v>
      </c>
      <c r="AA1872" s="28">
        <v>1000</v>
      </c>
      <c r="AB1872" s="1" t="s">
        <v>13</v>
      </c>
    </row>
    <row r="1873" spans="1:28">
      <c r="A1873" t="s">
        <v>580</v>
      </c>
      <c r="B1873" s="29" t="s">
        <v>2748</v>
      </c>
      <c r="C1873" s="26" t="s">
        <v>2749</v>
      </c>
      <c r="D1873" s="1">
        <v>213</v>
      </c>
      <c r="E1873" t="s">
        <v>627</v>
      </c>
      <c r="F1873" s="3" t="s">
        <v>2750</v>
      </c>
      <c r="G1873" s="1">
        <v>37.4</v>
      </c>
      <c r="H1873" t="s">
        <v>2761</v>
      </c>
      <c r="I1873" t="s">
        <v>629</v>
      </c>
      <c r="J1873" s="1">
        <v>3</v>
      </c>
      <c r="K1873" s="1">
        <v>796.02840000000003</v>
      </c>
      <c r="L1873" s="1" t="str">
        <f>HYPERLINK("http://ms.phosphosite.org:5080/cgi-bin/plot-msms.cgi?MassType=1&amp;NumAxis=1&amp;Mod10=170&amp;Pep=GGNFGFGDSRGGGGNFGPGPGSNFR&amp;Dta=/var/www/html/dta/yong/23612.21918.3.dta&amp;Global_Mod=CS57.0215", "21918")</f>
        <v>21918</v>
      </c>
      <c r="M1873" s="1" t="str">
        <f>HYPERLINK("http://ms.phosphosite.org:5080/cgi-bin/plot-msms.cgi?MassType=1&amp;NumAxis=1&amp;Mod10=170&amp;Pep=GGNFGFGDSRGGGGNFGPGPGSNFR&amp;Dta=/var/www/html/dta/yong/23613.19300.3.dta&amp;Global_Mod=CS57.0215", "19300")</f>
        <v>19300</v>
      </c>
      <c r="N1873" s="27">
        <v>92.76</v>
      </c>
      <c r="O1873" s="27">
        <v>79.72</v>
      </c>
      <c r="P1873" s="27">
        <v>3.411</v>
      </c>
      <c r="Q1873" s="27">
        <v>3.7909999999999999</v>
      </c>
      <c r="R1873" s="27">
        <v>2.1707000000000001</v>
      </c>
      <c r="S1873" s="27">
        <v>1.2526999999999999</v>
      </c>
      <c r="T1873" s="27">
        <v>9.4600000000000004E-2</v>
      </c>
      <c r="U1873" s="27">
        <v>0.26829999999999998</v>
      </c>
      <c r="V1873" s="1">
        <v>1</v>
      </c>
      <c r="W1873" s="1">
        <v>1</v>
      </c>
      <c r="X1873" s="27">
        <v>2.74</v>
      </c>
      <c r="Y1873" s="27">
        <v>3.63</v>
      </c>
      <c r="Z1873" s="28">
        <v>1000</v>
      </c>
      <c r="AA1873" s="28">
        <v>1000</v>
      </c>
      <c r="AB1873" s="1" t="s">
        <v>13</v>
      </c>
    </row>
    <row r="1874" spans="1:28">
      <c r="A1874" t="s">
        <v>580</v>
      </c>
      <c r="B1874" s="29" t="s">
        <v>2748</v>
      </c>
      <c r="C1874" s="26" t="s">
        <v>2749</v>
      </c>
      <c r="D1874" s="1">
        <v>213</v>
      </c>
      <c r="E1874" t="s">
        <v>627</v>
      </c>
      <c r="F1874" s="3" t="s">
        <v>2750</v>
      </c>
      <c r="G1874" s="1">
        <v>37.4</v>
      </c>
      <c r="H1874" t="s">
        <v>2761</v>
      </c>
      <c r="I1874" t="s">
        <v>629</v>
      </c>
      <c r="J1874" s="1">
        <v>3</v>
      </c>
      <c r="K1874" s="1">
        <v>796.02840000000003</v>
      </c>
      <c r="L1874" s="1" t="str">
        <f>HYPERLINK("http://ms.phosphosite.org:5080/cgi-bin/plot-msms.cgi?MassType=1&amp;NumAxis=1&amp;Mod10=170&amp;Pep=GGNFGFGDSRGGGGNFGPGPGSNFR&amp;Dta=/var/www/html/dta/yong/23612.13041.3.dta&amp;Global_Mod=CS57.0215", "13041")</f>
        <v>13041</v>
      </c>
      <c r="M1874" s="1" t="str">
        <f>HYPERLINK("http://ms.phosphosite.org:5080/cgi-bin/plot-msms.cgi?MassType=1&amp;NumAxis=1&amp;Mod10=170&amp;Pep=GGNFGFGDSRGGGGNFGPGPGSNFR&amp;Dta=/var/www/html/dta/yong/23613.17392.3.dta&amp;Global_Mod=CS57.0215", "17392")</f>
        <v>17392</v>
      </c>
      <c r="N1874" s="27">
        <v>54.4</v>
      </c>
      <c r="O1874" s="27">
        <v>71.03</v>
      </c>
      <c r="P1874" s="27">
        <v>5.0510000000000002</v>
      </c>
      <c r="Q1874" s="27">
        <v>3.589</v>
      </c>
      <c r="R1874" s="27">
        <v>0.6512</v>
      </c>
      <c r="S1874" s="27">
        <v>1.1372</v>
      </c>
      <c r="T1874" s="27">
        <v>0.40589999999999998</v>
      </c>
      <c r="U1874" s="27">
        <v>0.22239999999999999</v>
      </c>
      <c r="V1874" s="1">
        <v>1</v>
      </c>
      <c r="W1874" s="1">
        <v>1</v>
      </c>
      <c r="X1874" s="27">
        <v>4.68</v>
      </c>
      <c r="Y1874" s="27">
        <v>3.37</v>
      </c>
      <c r="Z1874" s="28">
        <v>1000</v>
      </c>
      <c r="AA1874" s="28">
        <v>1000</v>
      </c>
      <c r="AB1874" s="1" t="s">
        <v>13</v>
      </c>
    </row>
    <row r="1875" spans="1:28">
      <c r="A1875" t="s">
        <v>580</v>
      </c>
      <c r="B1875" s="29" t="s">
        <v>2748</v>
      </c>
      <c r="C1875" s="26" t="s">
        <v>2749</v>
      </c>
      <c r="D1875" s="1">
        <v>213</v>
      </c>
      <c r="E1875" t="s">
        <v>627</v>
      </c>
      <c r="F1875" s="3" t="s">
        <v>2750</v>
      </c>
      <c r="G1875" s="1">
        <v>37.4</v>
      </c>
      <c r="H1875" t="s">
        <v>2761</v>
      </c>
      <c r="I1875" t="s">
        <v>629</v>
      </c>
      <c r="J1875" s="1">
        <v>3</v>
      </c>
      <c r="K1875" s="1">
        <v>796.02840000000003</v>
      </c>
      <c r="L1875" s="1" t="str">
        <f>HYPERLINK("http://ms.phosphosite.org:5080/cgi-bin/plot-msms.cgi?MassType=1&amp;NumAxis=1&amp;Mod10=170&amp;Pep=GGNFGFGDSRGGGGNFGPGPGSNFR&amp;Dta=/var/www/html/dta/yong/23612.13633.3.dta&amp;Global_Mod=CS57.0215", "13633")</f>
        <v>13633</v>
      </c>
      <c r="M1875" s="1" t="str">
        <f>HYPERLINK("http://ms.phosphosite.org:5080/cgi-bin/plot-msms.cgi?MassType=1&amp;NumAxis=1&amp;Mod10=170&amp;Pep=GGNFGFGDSRGGGGNFGPGPGSNFR&amp;Dta=/var/www/html/dta/yong/23613.21163.3.dta&amp;Global_Mod=CS57.0215", "21163")</f>
        <v>21163</v>
      </c>
      <c r="N1875" s="27">
        <v>56.54</v>
      </c>
      <c r="O1875" s="27">
        <v>88.56</v>
      </c>
      <c r="P1875" s="27">
        <v>5.2839999999999998</v>
      </c>
      <c r="Q1875" s="27">
        <v>3.7959999999999998</v>
      </c>
      <c r="R1875" s="27">
        <v>0.78690000000000004</v>
      </c>
      <c r="S1875" s="27">
        <v>1.2447999999999999</v>
      </c>
      <c r="T1875" s="27">
        <v>0.43969999999999998</v>
      </c>
      <c r="U1875" s="27">
        <v>0.25519999999999998</v>
      </c>
      <c r="V1875" s="1">
        <v>1</v>
      </c>
      <c r="W1875" s="1">
        <v>1</v>
      </c>
      <c r="X1875" s="27">
        <v>4.88</v>
      </c>
      <c r="Y1875" s="27">
        <v>3.57</v>
      </c>
      <c r="Z1875" s="28">
        <v>1000</v>
      </c>
      <c r="AA1875" s="28">
        <v>1000</v>
      </c>
      <c r="AB1875" s="1" t="s">
        <v>13</v>
      </c>
    </row>
    <row r="1876" spans="1:28">
      <c r="A1876" t="s">
        <v>580</v>
      </c>
      <c r="B1876" s="29" t="s">
        <v>2748</v>
      </c>
      <c r="C1876" s="26" t="s">
        <v>2749</v>
      </c>
      <c r="D1876" s="1">
        <v>213</v>
      </c>
      <c r="E1876" t="s">
        <v>627</v>
      </c>
      <c r="F1876" s="3" t="s">
        <v>2750</v>
      </c>
      <c r="G1876" s="1">
        <v>37.4</v>
      </c>
      <c r="H1876" t="s">
        <v>2761</v>
      </c>
      <c r="I1876" t="s">
        <v>629</v>
      </c>
      <c r="J1876" s="1">
        <v>3</v>
      </c>
      <c r="K1876" s="1">
        <v>796.02840000000003</v>
      </c>
      <c r="L1876" s="1" t="str">
        <f>HYPERLINK("http://ms.phosphosite.org:5080/cgi-bin/plot-msms.cgi?MassType=1&amp;NumAxis=1&amp;Mod10=170&amp;Pep=GGNFGFGDSRGGGGNFGPGPGSNFR&amp;Dta=/var/www/html/dta/yong/23612.13234.3.dta&amp;Global_Mod=CS57.0215", "13234")</f>
        <v>13234</v>
      </c>
      <c r="M1876" s="1"/>
      <c r="N1876" s="27">
        <v>55.14</v>
      </c>
      <c r="O1876" s="27"/>
      <c r="P1876" s="27">
        <v>5.2939999999999996</v>
      </c>
      <c r="Q1876" s="27"/>
      <c r="R1876" s="27">
        <v>0.55289999999999995</v>
      </c>
      <c r="S1876" s="27"/>
      <c r="T1876" s="27">
        <v>0.40089999999999998</v>
      </c>
      <c r="U1876" s="27"/>
      <c r="V1876" s="1">
        <v>1</v>
      </c>
      <c r="W1876" s="1"/>
      <c r="X1876" s="27">
        <v>4.71</v>
      </c>
      <c r="Y1876" s="27"/>
      <c r="Z1876" s="28">
        <v>1000</v>
      </c>
      <c r="AA1876" s="28"/>
      <c r="AB1876" s="1" t="s">
        <v>13</v>
      </c>
    </row>
    <row r="1877" spans="1:28">
      <c r="A1877" t="s">
        <v>580</v>
      </c>
      <c r="B1877" s="29" t="s">
        <v>2748</v>
      </c>
      <c r="C1877" s="26" t="s">
        <v>2749</v>
      </c>
      <c r="D1877" s="1">
        <v>213</v>
      </c>
      <c r="E1877" t="s">
        <v>627</v>
      </c>
      <c r="F1877" s="3" t="s">
        <v>2750</v>
      </c>
      <c r="G1877" s="1">
        <v>37.4</v>
      </c>
      <c r="H1877" t="s">
        <v>2761</v>
      </c>
      <c r="I1877" t="s">
        <v>629</v>
      </c>
      <c r="J1877" s="1">
        <v>4</v>
      </c>
      <c r="K1877" s="1">
        <v>597.27319999999997</v>
      </c>
      <c r="L1877" s="1" t="str">
        <f>HYPERLINK("http://ms.phosphosite.org:5080/cgi-bin/plot-msms.cgi?MassType=1&amp;NumAxis=1&amp;Mod10=170&amp;Pep=GGNFGFGDSRGGGGNFGPGPGSNFR&amp;Dta=/var/www/html/dta/yong/23612.11716.4.dta&amp;Global_Mod=CS57.0215", "11716")</f>
        <v>11716</v>
      </c>
      <c r="M1877" s="1" t="str">
        <f>HYPERLINK("http://ms.phosphosite.org:5080/cgi-bin/plot-msms.cgi?MassType=1&amp;NumAxis=1&amp;Mod10=170&amp;Pep=GGNFGFGDSRGGGGNFGPGPGSNFR&amp;Dta=/var/www/html/dta/yong/23613.11802.4.dta&amp;Global_Mod=CS57.0215", "11802")</f>
        <v>11802</v>
      </c>
      <c r="N1877" s="27">
        <v>49.88</v>
      </c>
      <c r="O1877" s="27">
        <v>49.86</v>
      </c>
      <c r="P1877" s="27">
        <v>3.5750000000000002</v>
      </c>
      <c r="Q1877" s="27">
        <v>3.16</v>
      </c>
      <c r="R1877" s="27">
        <v>0.15340000000000001</v>
      </c>
      <c r="S1877" s="27">
        <v>0.1918</v>
      </c>
      <c r="T1877" s="27">
        <v>0.32629999999999998</v>
      </c>
      <c r="U1877" s="27">
        <v>0.183</v>
      </c>
      <c r="V1877" s="1">
        <v>1</v>
      </c>
      <c r="W1877" s="1">
        <v>1</v>
      </c>
      <c r="X1877" s="27">
        <v>4.0599999999999996</v>
      </c>
      <c r="Y1877" s="27">
        <v>3.15</v>
      </c>
      <c r="Z1877" s="28">
        <v>1000</v>
      </c>
      <c r="AA1877" s="28">
        <v>1000</v>
      </c>
      <c r="AB1877" s="1" t="s">
        <v>13</v>
      </c>
    </row>
    <row r="1878" spans="1:28">
      <c r="A1878" t="s">
        <v>580</v>
      </c>
      <c r="B1878" s="29" t="s">
        <v>2748</v>
      </c>
      <c r="C1878" s="26" t="s">
        <v>2749</v>
      </c>
      <c r="D1878" s="1">
        <v>213</v>
      </c>
      <c r="E1878" t="s">
        <v>627</v>
      </c>
      <c r="F1878" s="3" t="s">
        <v>2750</v>
      </c>
      <c r="G1878" s="1">
        <v>37.4</v>
      </c>
      <c r="H1878" t="s">
        <v>2761</v>
      </c>
      <c r="I1878" t="s">
        <v>629</v>
      </c>
      <c r="J1878" s="1">
        <v>4</v>
      </c>
      <c r="K1878" s="1">
        <v>597.27319999999997</v>
      </c>
      <c r="L1878" s="1"/>
      <c r="M1878" s="1" t="str">
        <f>HYPERLINK("http://ms.phosphosite.org:5080/cgi-bin/plot-msms.cgi?MassType=1&amp;NumAxis=1&amp;Mod10=170&amp;Pep=GGNFGFGDSRGGGGNFGPGPGSNFR&amp;Dta=/var/www/html/dta/yong/23613.11793.4.dta&amp;Global_Mod=CS57.0215", "11793")</f>
        <v>11793</v>
      </c>
      <c r="N1878" s="27"/>
      <c r="O1878" s="27">
        <v>49.83</v>
      </c>
      <c r="P1878" s="27"/>
      <c r="Q1878" s="27">
        <v>3.5529999999999999</v>
      </c>
      <c r="R1878" s="27"/>
      <c r="S1878" s="27">
        <v>0.191</v>
      </c>
      <c r="T1878" s="27"/>
      <c r="U1878" s="27">
        <v>0.32879999999999998</v>
      </c>
      <c r="V1878" s="1"/>
      <c r="W1878" s="1">
        <v>1</v>
      </c>
      <c r="X1878" s="27"/>
      <c r="Y1878" s="27">
        <v>3.95</v>
      </c>
      <c r="Z1878" s="28"/>
      <c r="AA1878" s="28">
        <v>1000</v>
      </c>
      <c r="AB1878" s="1" t="s">
        <v>13</v>
      </c>
    </row>
    <row r="1879" spans="1:28">
      <c r="A1879" t="s">
        <v>580</v>
      </c>
      <c r="B1879" s="29" t="s">
        <v>2748</v>
      </c>
      <c r="C1879" s="26" t="s">
        <v>2749</v>
      </c>
      <c r="D1879" s="30" t="s">
        <v>2777</v>
      </c>
      <c r="E1879" t="s">
        <v>627</v>
      </c>
      <c r="F1879" s="3" t="s">
        <v>2750</v>
      </c>
      <c r="G1879" s="1">
        <v>37.4</v>
      </c>
      <c r="H1879" t="s">
        <v>2778</v>
      </c>
      <c r="I1879" t="s">
        <v>2779</v>
      </c>
      <c r="J1879" s="1">
        <v>2</v>
      </c>
      <c r="K1879" s="1">
        <v>622.2944</v>
      </c>
      <c r="L1879" s="1" t="str">
        <f>HYPERLINK("http://ms.phosphosite.org:5080/cgi-bin/plot-msms.cgi?MassType=1&amp;NumAxis=1&amp;Mod2=170&amp;Mod12=170&amp;Pep=FRGGSDGYGSGR&amp;Dta=/var/www/html/dta/yong/23612.2941.2.dta&amp;Global_Mod=CS57.0215", "2941")</f>
        <v>2941</v>
      </c>
      <c r="M1879" s="1" t="str">
        <f>HYPERLINK("http://ms.phosphosite.org:5080/cgi-bin/plot-msms.cgi?MassType=1&amp;NumAxis=1&amp;Mod2=170&amp;Mod12=170&amp;Pep=FRGGSDGYGSGR&amp;Dta=/var/www/html/dta/yong/23613.2993.2.dta&amp;Global_Mod=CS57.0215", "2993")</f>
        <v>2993</v>
      </c>
      <c r="N1879" s="27">
        <v>17.920000000000002</v>
      </c>
      <c r="O1879" s="27">
        <v>17.96</v>
      </c>
      <c r="P1879" s="27">
        <v>2.5870000000000002</v>
      </c>
      <c r="Q1879" s="27">
        <v>2.8159999999999998</v>
      </c>
      <c r="R1879" s="27">
        <v>0.73070000000000002</v>
      </c>
      <c r="S1879" s="27">
        <v>0.9365</v>
      </c>
      <c r="T1879" s="27">
        <v>0.26569999999999999</v>
      </c>
      <c r="U1879" s="27">
        <v>0.27810000000000001</v>
      </c>
      <c r="V1879" s="1">
        <v>1</v>
      </c>
      <c r="W1879" s="1">
        <v>1</v>
      </c>
      <c r="X1879" s="27">
        <v>3.59</v>
      </c>
      <c r="Y1879" s="27">
        <v>3.61</v>
      </c>
      <c r="Z1879" s="28" t="s">
        <v>1306</v>
      </c>
      <c r="AA1879" s="28" t="s">
        <v>1306</v>
      </c>
      <c r="AB1879" s="1" t="s">
        <v>13</v>
      </c>
    </row>
    <row r="1880" spans="1:28">
      <c r="A1880" t="s">
        <v>580</v>
      </c>
      <c r="B1880" s="29" t="s">
        <v>2748</v>
      </c>
      <c r="C1880" s="26" t="s">
        <v>2749</v>
      </c>
      <c r="D1880" s="30" t="s">
        <v>2777</v>
      </c>
      <c r="E1880" t="s">
        <v>627</v>
      </c>
      <c r="F1880" s="3" t="s">
        <v>2750</v>
      </c>
      <c r="G1880" s="1">
        <v>37.4</v>
      </c>
      <c r="H1880" t="s">
        <v>2778</v>
      </c>
      <c r="I1880" t="s">
        <v>2779</v>
      </c>
      <c r="J1880" s="1">
        <v>3</v>
      </c>
      <c r="K1880" s="1">
        <v>415.19869999999997</v>
      </c>
      <c r="L1880" s="1"/>
      <c r="M1880" s="1" t="str">
        <f>HYPERLINK("http://ms.phosphosite.org:5080/cgi-bin/plot-msms.cgi?MassType=1&amp;NumAxis=1&amp;Mod2=170&amp;Mod12=170&amp;Pep=FRGGSDGYGSGR&amp;Dta=/var/www/html/dta/yong/23613.2989.3.dta&amp;Global_Mod=CS57.0215", "2989")</f>
        <v>2989</v>
      </c>
      <c r="N1880" s="27"/>
      <c r="O1880" s="27">
        <v>17.95</v>
      </c>
      <c r="P1880" s="27"/>
      <c r="Q1880" s="27">
        <v>2.61</v>
      </c>
      <c r="R1880" s="27"/>
      <c r="S1880" s="27">
        <v>0.47060000000000002</v>
      </c>
      <c r="T1880" s="27"/>
      <c r="U1880" s="27">
        <v>3.9300000000000002E-2</v>
      </c>
      <c r="V1880" s="1"/>
      <c r="W1880" s="1">
        <v>19</v>
      </c>
      <c r="X1880" s="27"/>
      <c r="Y1880" s="27">
        <v>2.4500000000000002</v>
      </c>
      <c r="Z1880" s="28"/>
      <c r="AA1880" s="28" t="s">
        <v>1306</v>
      </c>
      <c r="AB1880" s="1" t="s">
        <v>13</v>
      </c>
    </row>
    <row r="1881" spans="1:28">
      <c r="A1881" t="s">
        <v>580</v>
      </c>
      <c r="B1881" s="29" t="s">
        <v>2748</v>
      </c>
      <c r="C1881" s="26" t="s">
        <v>2749</v>
      </c>
      <c r="D1881" s="30" t="s">
        <v>2777</v>
      </c>
      <c r="E1881" t="s">
        <v>627</v>
      </c>
      <c r="F1881" s="3" t="s">
        <v>2750</v>
      </c>
      <c r="G1881" s="1">
        <v>37.4</v>
      </c>
      <c r="H1881" t="s">
        <v>2778</v>
      </c>
      <c r="I1881" t="s">
        <v>2780</v>
      </c>
      <c r="J1881" s="1">
        <v>2</v>
      </c>
      <c r="K1881" s="1">
        <v>1150.0154</v>
      </c>
      <c r="L1881" s="1" t="str">
        <f>HYPERLINK("http://ms.phosphosite.org:5080/cgi-bin/plot-msms.cgi?MassType=1&amp;NumAxis=1&amp;Mod15=170&amp;Mod25=170&amp;Pep=GGGGNFGPGPGSNFRGGSDGYGSGR&amp;Dta=/var/www/html/dta/yong/23612.7875.2.dta&amp;Global_Mod=CS57.0215", "7875")</f>
        <v>7875</v>
      </c>
      <c r="M1881" s="1" t="str">
        <f>HYPERLINK("http://ms.phosphosite.org:5080/cgi-bin/plot-msms.cgi?MassType=1&amp;NumAxis=1&amp;Mod15=170&amp;Mod25=170&amp;Pep=GGGGNFGPGPGSNFRGGSDGYGSGR&amp;Dta=/var/www/html/dta/yong/23613.7925.2.dta&amp;Global_Mod=CS57.0215", "7925")</f>
        <v>7925</v>
      </c>
      <c r="N1881" s="27">
        <v>36.369999999999997</v>
      </c>
      <c r="O1881" s="27">
        <v>36.479999999999997</v>
      </c>
      <c r="P1881" s="27">
        <v>3.4430000000000001</v>
      </c>
      <c r="Q1881" s="27">
        <v>2.71</v>
      </c>
      <c r="R1881" s="27">
        <v>1.321</v>
      </c>
      <c r="S1881" s="27">
        <v>1.6113999999999999</v>
      </c>
      <c r="T1881" s="27">
        <v>0.40279999999999999</v>
      </c>
      <c r="U1881" s="27">
        <v>0.33050000000000002</v>
      </c>
      <c r="V1881" s="1">
        <v>21</v>
      </c>
      <c r="W1881" s="1">
        <v>5</v>
      </c>
      <c r="X1881" s="27">
        <v>4.25</v>
      </c>
      <c r="Y1881" s="27">
        <v>3.65</v>
      </c>
      <c r="Z1881" s="28" t="s">
        <v>1306</v>
      </c>
      <c r="AA1881" s="28" t="s">
        <v>1306</v>
      </c>
      <c r="AB1881" s="1" t="s">
        <v>13</v>
      </c>
    </row>
    <row r="1882" spans="1:28">
      <c r="A1882" t="s">
        <v>580</v>
      </c>
      <c r="B1882" s="29" t="s">
        <v>2748</v>
      </c>
      <c r="C1882" s="26" t="s">
        <v>2749</v>
      </c>
      <c r="D1882" s="30" t="s">
        <v>2777</v>
      </c>
      <c r="E1882" t="s">
        <v>627</v>
      </c>
      <c r="F1882" s="3" t="s">
        <v>2750</v>
      </c>
      <c r="G1882" s="1">
        <v>37.4</v>
      </c>
      <c r="H1882" t="s">
        <v>2778</v>
      </c>
      <c r="I1882" t="s">
        <v>2780</v>
      </c>
      <c r="J1882" s="1">
        <v>3</v>
      </c>
      <c r="K1882" s="1">
        <v>767.0127</v>
      </c>
      <c r="L1882" s="1" t="str">
        <f>HYPERLINK("http://ms.phosphosite.org:5080/cgi-bin/plot-msms.cgi?MassType=1&amp;NumAxis=1&amp;Mod15=170&amp;Mod25=170&amp;Pep=GGGGNFGPGPGSNFRGGSDGYGSGR&amp;Dta=/var/www/html/dta/yong/23612.7799.3.dta&amp;Global_Mod=CS57.0215", "7799")</f>
        <v>7799</v>
      </c>
      <c r="M1882" s="1" t="str">
        <f>HYPERLINK("http://ms.phosphosite.org:5080/cgi-bin/plot-msms.cgi?MassType=1&amp;NumAxis=1&amp;Mod15=170&amp;Mod25=170&amp;Pep=GGGGNFGPGPGSNFRGGSDGYGSGR&amp;Dta=/var/www/html/dta/yong/23613.8018.3.dta&amp;Global_Mod=CS57.0215", "8018")</f>
        <v>8018</v>
      </c>
      <c r="N1882" s="27">
        <v>36.11</v>
      </c>
      <c r="O1882" s="27">
        <v>36.799999999999997</v>
      </c>
      <c r="P1882" s="27">
        <v>2.4489999999999998</v>
      </c>
      <c r="Q1882" s="27">
        <v>1.952</v>
      </c>
      <c r="R1882" s="27">
        <v>0.55279999999999996</v>
      </c>
      <c r="S1882" s="27">
        <v>0.1875</v>
      </c>
      <c r="T1882" s="27">
        <v>0.24349999999999999</v>
      </c>
      <c r="U1882" s="27">
        <v>0.105</v>
      </c>
      <c r="V1882" s="1">
        <v>1</v>
      </c>
      <c r="W1882" s="1">
        <v>6</v>
      </c>
      <c r="X1882" s="27">
        <v>3.38</v>
      </c>
      <c r="Y1882" s="27">
        <v>2.48</v>
      </c>
      <c r="Z1882" s="28" t="s">
        <v>1306</v>
      </c>
      <c r="AA1882" s="28" t="s">
        <v>1306</v>
      </c>
      <c r="AB1882" s="1" t="s">
        <v>13</v>
      </c>
    </row>
    <row r="1883" spans="1:28">
      <c r="A1883" t="s">
        <v>580</v>
      </c>
      <c r="B1883" s="29" t="s">
        <v>2748</v>
      </c>
      <c r="C1883" s="26" t="s">
        <v>2749</v>
      </c>
      <c r="D1883" s="30" t="s">
        <v>2777</v>
      </c>
      <c r="E1883" t="s">
        <v>627</v>
      </c>
      <c r="F1883" s="3" t="s">
        <v>2750</v>
      </c>
      <c r="G1883" s="1">
        <v>37.4</v>
      </c>
      <c r="H1883" t="s">
        <v>2778</v>
      </c>
      <c r="I1883" t="s">
        <v>2780</v>
      </c>
      <c r="J1883" s="1">
        <v>3</v>
      </c>
      <c r="K1883" s="1">
        <v>767.0127</v>
      </c>
      <c r="L1883" s="1" t="str">
        <f>HYPERLINK("http://ms.phosphosite.org:5080/cgi-bin/plot-msms.cgi?MassType=1&amp;NumAxis=1&amp;Mod15=170&amp;Mod25=170&amp;Pep=GGGGNFGPGPGSNFRGGSDGYGSGR&amp;Dta=/var/www/html/dta/yong/23612.8003.3.dta&amp;Global_Mod=CS57.0215", "8003")</f>
        <v>8003</v>
      </c>
      <c r="M1883" s="1"/>
      <c r="N1883" s="27">
        <v>36.82</v>
      </c>
      <c r="O1883" s="27"/>
      <c r="P1883" s="27">
        <v>2.0459999999999998</v>
      </c>
      <c r="Q1883" s="27"/>
      <c r="R1883" s="27">
        <v>0.2266</v>
      </c>
      <c r="S1883" s="27"/>
      <c r="T1883" s="27">
        <v>0.1124</v>
      </c>
      <c r="U1883" s="27"/>
      <c r="V1883" s="1">
        <v>1</v>
      </c>
      <c r="W1883" s="1"/>
      <c r="X1883" s="27">
        <v>2.65</v>
      </c>
      <c r="Y1883" s="27"/>
      <c r="Z1883" s="28" t="s">
        <v>1306</v>
      </c>
      <c r="AA1883" s="28"/>
      <c r="AB1883" s="1" t="s">
        <v>13</v>
      </c>
    </row>
    <row r="1884" spans="1:28">
      <c r="A1884" t="s">
        <v>580</v>
      </c>
      <c r="B1884" s="29" t="s">
        <v>2748</v>
      </c>
      <c r="C1884" s="26" t="s">
        <v>2749</v>
      </c>
      <c r="D1884" s="30" t="s">
        <v>2777</v>
      </c>
      <c r="E1884" t="s">
        <v>627</v>
      </c>
      <c r="F1884" s="3" t="s">
        <v>2750</v>
      </c>
      <c r="G1884" s="1">
        <v>37.4</v>
      </c>
      <c r="H1884" t="s">
        <v>2778</v>
      </c>
      <c r="I1884" t="s">
        <v>2781</v>
      </c>
      <c r="J1884" s="1">
        <v>3</v>
      </c>
      <c r="K1884" s="1">
        <v>1003.768</v>
      </c>
      <c r="L1884" s="1" t="str">
        <f>HYPERLINK("http://ms.phosphosite.org:5080/cgi-bin/plot-msms.cgi?MassType=1&amp;NumAxis=1&amp;Mod15=170&amp;Mod25=170&amp;Pep=GGGGNFGPGPGSNFRGGSDGYGSGRGFGDGYN&amp;Dta=/var/www/html/dta/yong/23612.10621.3.dta&amp;Global_Mod=CS57.0215", "10621")</f>
        <v>10621</v>
      </c>
      <c r="M1884" s="1" t="str">
        <f>HYPERLINK("http://ms.phosphosite.org:5080/cgi-bin/plot-msms.cgi?MassType=1&amp;NumAxis=1&amp;Mod15=170&amp;Mod25=170&amp;Pep=GGGGNFGPGPGSNFRGGSDGYGSGRGFGDGYN&amp;Dta=/var/www/html/dta/yong/23613.10723.3.dta&amp;Global_Mod=CS57.0215", "10723")</f>
        <v>10723</v>
      </c>
      <c r="N1884" s="27">
        <v>46.16</v>
      </c>
      <c r="O1884" s="27">
        <v>46.27</v>
      </c>
      <c r="P1884" s="27">
        <v>2.6720000000000002</v>
      </c>
      <c r="Q1884" s="27">
        <v>2.3479999999999999</v>
      </c>
      <c r="R1884" s="27">
        <v>2.0556999999999999</v>
      </c>
      <c r="S1884" s="27">
        <v>1.5321</v>
      </c>
      <c r="T1884" s="27">
        <v>0.1074</v>
      </c>
      <c r="U1884" s="27">
        <v>2.2499999999999999E-2</v>
      </c>
      <c r="V1884" s="1">
        <v>6</v>
      </c>
      <c r="W1884" s="1">
        <v>43</v>
      </c>
      <c r="X1884" s="27">
        <v>2.4</v>
      </c>
      <c r="Y1884" s="27">
        <v>1.81</v>
      </c>
      <c r="Z1884" s="28" t="s">
        <v>1306</v>
      </c>
      <c r="AA1884" s="28" t="s">
        <v>1306</v>
      </c>
      <c r="AB1884" s="1" t="s">
        <v>13</v>
      </c>
    </row>
    <row r="1885" spans="1:28">
      <c r="A1885" t="s">
        <v>580</v>
      </c>
      <c r="B1885" s="29" t="s">
        <v>2748</v>
      </c>
      <c r="C1885" s="26" t="s">
        <v>2749</v>
      </c>
      <c r="D1885" s="30" t="s">
        <v>2777</v>
      </c>
      <c r="E1885" t="s">
        <v>627</v>
      </c>
      <c r="F1885" s="3" t="s">
        <v>2750</v>
      </c>
      <c r="G1885" s="1">
        <v>37.4</v>
      </c>
      <c r="H1885" t="s">
        <v>2778</v>
      </c>
      <c r="I1885" t="s">
        <v>2782</v>
      </c>
      <c r="J1885" s="1">
        <v>3</v>
      </c>
      <c r="K1885" s="1">
        <v>1261.5378000000001</v>
      </c>
      <c r="L1885" s="1"/>
      <c r="M1885" s="1" t="str">
        <f>HYPERLINK("http://ms.phosphosite.org:5080/cgi-bin/plot-msms.cgi?MassType=1&amp;NumAxis=1&amp;Mod15=170&amp;Mod25=170&amp;Pep=GGGGNFGPGPGSNFRGGSDGYGSGRGFGDGYNGYGGGPGGGN&amp;Dta=/var/www/html/dta/yong/23613.11271.3.dta&amp;Global_Mod=CS57.0215", "11271")</f>
        <v>11271</v>
      </c>
      <c r="N1885" s="27"/>
      <c r="O1885" s="27">
        <v>48.1</v>
      </c>
      <c r="P1885" s="27"/>
      <c r="Q1885" s="27">
        <v>4.6710000000000003</v>
      </c>
      <c r="R1885" s="27"/>
      <c r="S1885" s="27">
        <v>2.3618000000000001</v>
      </c>
      <c r="T1885" s="27"/>
      <c r="U1885" s="27">
        <v>0.33729999999999999</v>
      </c>
      <c r="V1885" s="1"/>
      <c r="W1885" s="1">
        <v>1</v>
      </c>
      <c r="X1885" s="27"/>
      <c r="Y1885" s="27">
        <v>3.69</v>
      </c>
      <c r="Z1885" s="28"/>
      <c r="AA1885" s="28" t="s">
        <v>1306</v>
      </c>
      <c r="AB1885" s="1" t="s">
        <v>13</v>
      </c>
    </row>
    <row r="1886" spans="1:28">
      <c r="A1886" t="s">
        <v>580</v>
      </c>
      <c r="B1886" s="29" t="s">
        <v>2748</v>
      </c>
      <c r="C1886" s="26" t="s">
        <v>2749</v>
      </c>
      <c r="D1886" s="30" t="s">
        <v>2777</v>
      </c>
      <c r="E1886" t="s">
        <v>627</v>
      </c>
      <c r="F1886" s="3" t="s">
        <v>2750</v>
      </c>
      <c r="G1886" s="1">
        <v>37.4</v>
      </c>
      <c r="H1886" t="s">
        <v>2778</v>
      </c>
      <c r="I1886" t="s">
        <v>2783</v>
      </c>
      <c r="J1886" s="1">
        <v>4</v>
      </c>
      <c r="K1886" s="1">
        <v>1194.5168000000001</v>
      </c>
      <c r="L1886" s="1"/>
      <c r="M1886" s="1" t="str">
        <f>HYPERLINK("http://ms.phosphosite.org:5080/cgi-bin/plot-msms.cgi?MassType=1&amp;NumAxis=1&amp;Mod15=170&amp;Mod25=170&amp;Pep=GGGGNFGPGPGSNFRGGSDGYGSGRGFGDGYNGYGGGPGGGNFGGSPGYGGGR&amp;Dta=/var/www/html/dta/yong/23613.11915.4.dta&amp;Global_Mod=CS57.0215", "11915")</f>
        <v>11915</v>
      </c>
      <c r="N1886" s="27"/>
      <c r="O1886" s="27">
        <v>50.22</v>
      </c>
      <c r="P1886" s="27"/>
      <c r="Q1886" s="27">
        <v>4.6280000000000001</v>
      </c>
      <c r="R1886" s="27"/>
      <c r="S1886" s="27">
        <v>1.7121999999999999</v>
      </c>
      <c r="T1886" s="27"/>
      <c r="U1886" s="27">
        <v>0.3246</v>
      </c>
      <c r="V1886" s="1"/>
      <c r="W1886" s="1">
        <v>1</v>
      </c>
      <c r="X1886" s="27"/>
      <c r="Y1886" s="27">
        <v>3.56</v>
      </c>
      <c r="Z1886" s="28"/>
      <c r="AA1886" s="28" t="s">
        <v>1306</v>
      </c>
      <c r="AB1886" s="1" t="s">
        <v>13</v>
      </c>
    </row>
    <row r="1887" spans="1:28">
      <c r="A1887" t="s">
        <v>580</v>
      </c>
      <c r="B1887" s="29" t="s">
        <v>2748</v>
      </c>
      <c r="C1887" s="26" t="s">
        <v>2749</v>
      </c>
      <c r="D1887" s="30" t="s">
        <v>2777</v>
      </c>
      <c r="E1887" t="s">
        <v>627</v>
      </c>
      <c r="F1887" s="3" t="s">
        <v>2750</v>
      </c>
      <c r="G1887" s="1">
        <v>37.4</v>
      </c>
      <c r="H1887" t="s">
        <v>2778</v>
      </c>
      <c r="I1887" t="s">
        <v>2784</v>
      </c>
      <c r="J1887" s="1">
        <v>2</v>
      </c>
      <c r="K1887" s="1">
        <v>548.76009999999997</v>
      </c>
      <c r="L1887" s="1" t="str">
        <f>HYPERLINK("http://ms.phosphosite.org:5080/cgi-bin/plot-msms.cgi?MassType=1&amp;NumAxis=1&amp;Mod1=170&amp;Mod11=170&amp;Pep=RGGSDGYGSGR&amp;Dta=/var/www/html/dta/yong/23612.1325.2.dta&amp;Global_Mod=CS57.0215", "1325")</f>
        <v>1325</v>
      </c>
      <c r="M1887" s="1" t="str">
        <f>HYPERLINK("http://ms.phosphosite.org:5080/cgi-bin/plot-msms.cgi?MassType=1&amp;NumAxis=1&amp;Mod1=170&amp;Mod11=170&amp;Pep=RGGSDGYGSGR&amp;Dta=/var/www/html/dta/yong/23613.1362.2.dta&amp;Global_Mod=CS57.0215", "1362")</f>
        <v>1362</v>
      </c>
      <c r="N1887" s="27">
        <v>11.84</v>
      </c>
      <c r="O1887" s="27">
        <v>11.81</v>
      </c>
      <c r="P1887" s="27">
        <v>3.9489999999999998</v>
      </c>
      <c r="Q1887" s="27">
        <v>2.5329999999999999</v>
      </c>
      <c r="R1887" s="27">
        <v>0.84840000000000004</v>
      </c>
      <c r="S1887" s="27">
        <v>0.70879999999999999</v>
      </c>
      <c r="T1887" s="27">
        <v>0.1883</v>
      </c>
      <c r="U1887" s="27">
        <v>0.15790000000000001</v>
      </c>
      <c r="V1887" s="1">
        <v>1</v>
      </c>
      <c r="W1887" s="1">
        <v>7</v>
      </c>
      <c r="X1887" s="27">
        <v>3.48</v>
      </c>
      <c r="Y1887" s="27">
        <v>2.98</v>
      </c>
      <c r="Z1887" s="28" t="s">
        <v>1306</v>
      </c>
      <c r="AA1887" s="28" t="s">
        <v>1306</v>
      </c>
      <c r="AB1887" s="1" t="s">
        <v>13</v>
      </c>
    </row>
    <row r="1888" spans="1:28">
      <c r="A1888" t="s">
        <v>580</v>
      </c>
      <c r="B1888" s="29" t="s">
        <v>2748</v>
      </c>
      <c r="C1888" s="26" t="s">
        <v>2749</v>
      </c>
      <c r="D1888" s="30" t="s">
        <v>2785</v>
      </c>
      <c r="E1888" t="s">
        <v>627</v>
      </c>
      <c r="F1888" s="3" t="s">
        <v>2750</v>
      </c>
      <c r="G1888" s="1">
        <v>37.4</v>
      </c>
      <c r="H1888" t="s">
        <v>2786</v>
      </c>
      <c r="I1888" t="s">
        <v>2787</v>
      </c>
      <c r="J1888" s="1">
        <v>3</v>
      </c>
      <c r="K1888" s="1">
        <v>1139.4827</v>
      </c>
      <c r="L1888" s="1" t="str">
        <f>HYPERLINK("http://ms.phosphosite.org:5080/cgi-bin/plot-msms.cgi?MassType=1&amp;NumAxis=1&amp;Mod10=170&amp;Mod38=170&amp;Pep=GGSDGYGSGRGFGDGYNGYGGGPGGGNFGGSPGYGGGR&amp;Dta=/var/www/html/dta/yong/23612.10697.3.dta&amp;Global_Mod=CS57.0215", "10697")</f>
        <v>10697</v>
      </c>
      <c r="M1888" s="1" t="str">
        <f>HYPERLINK("http://ms.phosphosite.org:5080/cgi-bin/plot-msms.cgi?MassType=1&amp;NumAxis=1&amp;Mod10=170&amp;Mod38=170&amp;Pep=GGSDGYGSGRGFGDGYNGYGGGPGGGNFGGSPGYGGGR&amp;Dta=/var/www/html/dta/yong/23613.10793.3.dta&amp;Global_Mod=CS57.0215", "10793")</f>
        <v>10793</v>
      </c>
      <c r="N1888" s="27">
        <v>46.43</v>
      </c>
      <c r="O1888" s="27">
        <v>46.51</v>
      </c>
      <c r="P1888" s="27">
        <v>7.0170000000000003</v>
      </c>
      <c r="Q1888" s="27">
        <v>6.3979999999999997</v>
      </c>
      <c r="R1888" s="27">
        <v>1.387</v>
      </c>
      <c r="S1888" s="27">
        <v>1.3161</v>
      </c>
      <c r="T1888" s="27">
        <v>0.59389999999999998</v>
      </c>
      <c r="U1888" s="27">
        <v>0.60350000000000004</v>
      </c>
      <c r="V1888" s="1">
        <v>1</v>
      </c>
      <c r="W1888" s="1">
        <v>1</v>
      </c>
      <c r="X1888" s="27">
        <v>5.8</v>
      </c>
      <c r="Y1888" s="27">
        <v>5.65</v>
      </c>
      <c r="Z1888" s="28" t="s">
        <v>1306</v>
      </c>
      <c r="AA1888" s="28" t="s">
        <v>1306</v>
      </c>
      <c r="AB1888" s="1" t="s">
        <v>13</v>
      </c>
    </row>
    <row r="1889" spans="1:28">
      <c r="A1889" t="s">
        <v>580</v>
      </c>
      <c r="B1889" s="29" t="s">
        <v>2748</v>
      </c>
      <c r="C1889" s="26" t="s">
        <v>2749</v>
      </c>
      <c r="D1889" s="30" t="s">
        <v>2785</v>
      </c>
      <c r="E1889" t="s">
        <v>627</v>
      </c>
      <c r="F1889" s="3" t="s">
        <v>2750</v>
      </c>
      <c r="G1889" s="1">
        <v>37.4</v>
      </c>
      <c r="H1889" t="s">
        <v>2786</v>
      </c>
      <c r="I1889" t="s">
        <v>2787</v>
      </c>
      <c r="J1889" s="1">
        <v>3</v>
      </c>
      <c r="K1889" s="1">
        <v>1139.4827</v>
      </c>
      <c r="L1889" s="1"/>
      <c r="M1889" s="1" t="str">
        <f>HYPERLINK("http://ms.phosphosite.org:5080/cgi-bin/plot-msms.cgi?MassType=1&amp;NumAxis=1&amp;Mod10=170&amp;Mod38=170&amp;Pep=GGSDGYGSGRGFGDGYNGYGGGPGGGNFGGSPGYGGGR&amp;Dta=/var/www/html/dta/yong/23613.10768.3.dta&amp;Global_Mod=CS57.0215", "10768")</f>
        <v>10768</v>
      </c>
      <c r="N1889" s="27"/>
      <c r="O1889" s="27">
        <v>46.43</v>
      </c>
      <c r="P1889" s="27"/>
      <c r="Q1889" s="27">
        <v>6.55</v>
      </c>
      <c r="R1889" s="27"/>
      <c r="S1889" s="27">
        <v>1.3222</v>
      </c>
      <c r="T1889" s="27"/>
      <c r="U1889" s="27">
        <v>0.57530000000000003</v>
      </c>
      <c r="V1889" s="1"/>
      <c r="W1889" s="1">
        <v>1</v>
      </c>
      <c r="X1889" s="27"/>
      <c r="Y1889" s="27">
        <v>5.54</v>
      </c>
      <c r="Z1889" s="28"/>
      <c r="AA1889" s="28" t="s">
        <v>1306</v>
      </c>
      <c r="AB1889" s="1" t="s">
        <v>13</v>
      </c>
    </row>
    <row r="1890" spans="1:28">
      <c r="A1890" t="s">
        <v>580</v>
      </c>
      <c r="B1890" s="29" t="s">
        <v>2748</v>
      </c>
      <c r="C1890" s="26" t="s">
        <v>2749</v>
      </c>
      <c r="D1890" s="30" t="s">
        <v>2785</v>
      </c>
      <c r="E1890" t="s">
        <v>627</v>
      </c>
      <c r="F1890" s="3" t="s">
        <v>2750</v>
      </c>
      <c r="G1890" s="1">
        <v>37.4</v>
      </c>
      <c r="H1890" t="s">
        <v>2786</v>
      </c>
      <c r="I1890" t="s">
        <v>2787</v>
      </c>
      <c r="J1890" s="1">
        <v>4</v>
      </c>
      <c r="K1890" s="1">
        <v>854.86389999999994</v>
      </c>
      <c r="L1890" s="1" t="str">
        <f>HYPERLINK("http://ms.phosphosite.org:5080/cgi-bin/plot-msms.cgi?MassType=1&amp;NumAxis=1&amp;Mod10=170&amp;Mod38=170&amp;Pep=GGSDGYGSGRGFGDGYNGYGGGPGGGNFGGSPGYGGGR&amp;Dta=/var/www/html/dta/yong/23612.10721.4.dta&amp;Global_Mod=CS57.0215", "10721")</f>
        <v>10721</v>
      </c>
      <c r="M1890" s="1" t="str">
        <f>HYPERLINK("http://ms.phosphosite.org:5080/cgi-bin/plot-msms.cgi?MassType=1&amp;NumAxis=1&amp;Mod10=170&amp;Mod38=170&amp;Pep=GGSDGYGSGRGFGDGYNGYGGGPGGGNFGGSPGYGGGR&amp;Dta=/var/www/html/dta/yong/23613.10815.4.dta&amp;Global_Mod=CS57.0215", "10815")</f>
        <v>10815</v>
      </c>
      <c r="N1890" s="27">
        <v>46.52</v>
      </c>
      <c r="O1890" s="27">
        <v>46.58</v>
      </c>
      <c r="P1890" s="27">
        <v>3.5939999999999999</v>
      </c>
      <c r="Q1890" s="27">
        <v>3.7549999999999999</v>
      </c>
      <c r="R1890" s="27">
        <v>0.90339999999999998</v>
      </c>
      <c r="S1890" s="27">
        <v>0.74180000000000001</v>
      </c>
      <c r="T1890" s="27">
        <v>0.34649999999999997</v>
      </c>
      <c r="U1890" s="27">
        <v>0.3543</v>
      </c>
      <c r="V1890" s="1">
        <v>1</v>
      </c>
      <c r="W1890" s="1">
        <v>1</v>
      </c>
      <c r="X1890" s="27">
        <v>4</v>
      </c>
      <c r="Y1890" s="27">
        <v>3.96</v>
      </c>
      <c r="Z1890" s="28" t="s">
        <v>1306</v>
      </c>
      <c r="AA1890" s="28" t="s">
        <v>1306</v>
      </c>
      <c r="AB1890" s="1" t="s">
        <v>13</v>
      </c>
    </row>
    <row r="1891" spans="1:28">
      <c r="A1891" t="s">
        <v>580</v>
      </c>
      <c r="B1891" s="29" t="s">
        <v>2748</v>
      </c>
      <c r="C1891" s="26" t="s">
        <v>2749</v>
      </c>
      <c r="D1891" s="1">
        <v>266</v>
      </c>
      <c r="E1891" t="s">
        <v>627</v>
      </c>
      <c r="F1891" s="3" t="s">
        <v>2750</v>
      </c>
      <c r="G1891" s="1">
        <v>37.4</v>
      </c>
      <c r="H1891" t="s">
        <v>2788</v>
      </c>
      <c r="I1891" t="s">
        <v>2789</v>
      </c>
      <c r="J1891" s="1">
        <v>2</v>
      </c>
      <c r="K1891" s="1">
        <v>513.24360000000001</v>
      </c>
      <c r="L1891" s="1" t="str">
        <f>HYPERLINK("http://ms.phosphosite.org:5080/cgi-bin/plot-msms.cgi?MassType=1&amp;NumAxis=1&amp;Mod11=170&amp;Pep=FGGSPGYGGGR&amp;Dta=/var/www/html/dta/yong/23612.4832.2.dta&amp;Global_Mod=CS57.0215", "4832")</f>
        <v>4832</v>
      </c>
      <c r="M1891" s="1" t="str">
        <f>HYPERLINK("http://ms.phosphosite.org:5080/cgi-bin/plot-msms.cgi?MassType=1&amp;NumAxis=1&amp;Mod11=170&amp;Pep=FGGSPGYGGGR&amp;Dta=/var/www/html/dta/yong/23613.4885.2.dta&amp;Global_Mod=CS57.0215", "4885")</f>
        <v>4885</v>
      </c>
      <c r="N1891" s="27">
        <v>25.19</v>
      </c>
      <c r="O1891" s="27">
        <v>25.18</v>
      </c>
      <c r="P1891" s="27">
        <v>3.2170000000000001</v>
      </c>
      <c r="Q1891" s="27">
        <v>3.2909999999999999</v>
      </c>
      <c r="R1891" s="27">
        <v>-2.3199999999999998E-2</v>
      </c>
      <c r="S1891" s="27">
        <v>0.17829999999999999</v>
      </c>
      <c r="T1891" s="27">
        <v>0.43630000000000002</v>
      </c>
      <c r="U1891" s="27">
        <v>0.45639999999999997</v>
      </c>
      <c r="V1891" s="1">
        <v>1</v>
      </c>
      <c r="W1891" s="1">
        <v>1</v>
      </c>
      <c r="X1891" s="27">
        <v>4.76</v>
      </c>
      <c r="Y1891" s="27">
        <v>4.8</v>
      </c>
      <c r="Z1891" s="28">
        <v>1000</v>
      </c>
      <c r="AA1891" s="28">
        <v>1000</v>
      </c>
      <c r="AB1891" s="1" t="s">
        <v>13</v>
      </c>
    </row>
    <row r="1892" spans="1:28">
      <c r="A1892" t="s">
        <v>580</v>
      </c>
      <c r="B1892" s="29" t="s">
        <v>2748</v>
      </c>
      <c r="C1892" s="26" t="s">
        <v>2749</v>
      </c>
      <c r="D1892" s="1">
        <v>266</v>
      </c>
      <c r="E1892" t="s">
        <v>627</v>
      </c>
      <c r="F1892" s="3" t="s">
        <v>2750</v>
      </c>
      <c r="G1892" s="1">
        <v>37.4</v>
      </c>
      <c r="H1892" t="s">
        <v>2788</v>
      </c>
      <c r="I1892" t="s">
        <v>628</v>
      </c>
      <c r="J1892" s="1">
        <v>2</v>
      </c>
      <c r="K1892" s="1">
        <v>1255.0311999999999</v>
      </c>
      <c r="L1892" s="1" t="str">
        <f>HYPERLINK("http://ms.phosphosite.org:5080/cgi-bin/plot-msms.cgi?MassType=1&amp;NumAxis=1&amp;Mod28=170&amp;Pep=GFGDGYNGYGGGPGGGNFGGSPGYGGGR&amp;Dta=/var/www/html/dta/yong/23612.11500.2.dta&amp;Global_Mod=CS57.0215", "11500")</f>
        <v>11500</v>
      </c>
      <c r="M1892" s="1" t="str">
        <f>HYPERLINK("http://ms.phosphosite.org:5080/cgi-bin/plot-msms.cgi?MassType=1&amp;NumAxis=1&amp;Mod28=170&amp;Pep=GFGDGYNGYGGGPGGGNFGGSPGYGGGR&amp;Dta=/var/www/html/dta/yong/23613.11554.2.dta&amp;Global_Mod=CS57.0215", "11554")</f>
        <v>11554</v>
      </c>
      <c r="N1892" s="27">
        <v>49.16</v>
      </c>
      <c r="O1892" s="27">
        <v>49.05</v>
      </c>
      <c r="P1892" s="27">
        <v>5.673</v>
      </c>
      <c r="Q1892" s="27">
        <v>5.859</v>
      </c>
      <c r="R1892" s="27">
        <v>0.85419999999999996</v>
      </c>
      <c r="S1892" s="27">
        <v>0.81989999999999996</v>
      </c>
      <c r="T1892" s="27">
        <v>0.57120000000000004</v>
      </c>
      <c r="U1892" s="27">
        <v>0.60029999999999994</v>
      </c>
      <c r="V1892" s="1">
        <v>1</v>
      </c>
      <c r="W1892" s="1">
        <v>1</v>
      </c>
      <c r="X1892" s="27">
        <v>5.71</v>
      </c>
      <c r="Y1892" s="27">
        <v>5.82</v>
      </c>
      <c r="Z1892" s="28">
        <v>1000</v>
      </c>
      <c r="AA1892" s="28">
        <v>1000</v>
      </c>
      <c r="AB1892" s="1" t="s">
        <v>13</v>
      </c>
    </row>
    <row r="1893" spans="1:28">
      <c r="A1893" t="s">
        <v>580</v>
      </c>
      <c r="B1893" s="29" t="s">
        <v>2748</v>
      </c>
      <c r="C1893" s="26" t="s">
        <v>2749</v>
      </c>
      <c r="D1893" s="1">
        <v>266</v>
      </c>
      <c r="E1893" t="s">
        <v>627</v>
      </c>
      <c r="F1893" s="3" t="s">
        <v>2750</v>
      </c>
      <c r="G1893" s="1">
        <v>37.4</v>
      </c>
      <c r="H1893" t="s">
        <v>2788</v>
      </c>
      <c r="I1893" t="s">
        <v>628</v>
      </c>
      <c r="J1893" s="1">
        <v>2</v>
      </c>
      <c r="K1893" s="1">
        <v>1255.0311999999999</v>
      </c>
      <c r="L1893" s="1"/>
      <c r="M1893" s="1" t="str">
        <f>HYPERLINK("http://ms.phosphosite.org:5080/cgi-bin/plot-msms.cgi?MassType=1&amp;NumAxis=1&amp;Mod28=170&amp;Pep=GFGDGYNGYGGGPGGGNFGGSPGYGGGR&amp;Dta=/var/www/html/dta/yong/23613.11724.2.dta&amp;Global_Mod=CS57.0215", "11724")</f>
        <v>11724</v>
      </c>
      <c r="N1893" s="27"/>
      <c r="O1893" s="27">
        <v>49.61</v>
      </c>
      <c r="P1893" s="27"/>
      <c r="Q1893" s="27">
        <v>5.1470000000000002</v>
      </c>
      <c r="R1893" s="27"/>
      <c r="S1893" s="27">
        <v>0.82909999999999995</v>
      </c>
      <c r="T1893" s="27"/>
      <c r="U1893" s="27">
        <v>0.61099999999999999</v>
      </c>
      <c r="V1893" s="1"/>
      <c r="W1893" s="1">
        <v>1</v>
      </c>
      <c r="X1893" s="27"/>
      <c r="Y1893" s="27">
        <v>5.72</v>
      </c>
      <c r="Z1893" s="28"/>
      <c r="AA1893" s="28">
        <v>1000</v>
      </c>
      <c r="AB1893" s="1" t="s">
        <v>13</v>
      </c>
    </row>
    <row r="1894" spans="1:28">
      <c r="A1894" t="s">
        <v>580</v>
      </c>
      <c r="B1894" s="29" t="s">
        <v>2748</v>
      </c>
      <c r="C1894" s="26" t="s">
        <v>2749</v>
      </c>
      <c r="D1894" s="1">
        <v>266</v>
      </c>
      <c r="E1894" t="s">
        <v>627</v>
      </c>
      <c r="F1894" s="3" t="s">
        <v>2750</v>
      </c>
      <c r="G1894" s="1">
        <v>37.4</v>
      </c>
      <c r="H1894" t="s">
        <v>2788</v>
      </c>
      <c r="I1894" t="s">
        <v>628</v>
      </c>
      <c r="J1894" s="1">
        <v>3</v>
      </c>
      <c r="K1894" s="1">
        <v>837.02329999999995</v>
      </c>
      <c r="L1894" s="1" t="str">
        <f>HYPERLINK("http://ms.phosphosite.org:5080/cgi-bin/plot-msms.cgi?MassType=1&amp;NumAxis=1&amp;Mod28=170&amp;Pep=GFGDGYNGYGGGPGGGNFGGSPGYGGGR&amp;Dta=/var/www/html/dta/yong/23612.11452.3.dta&amp;Global_Mod=CS57.0215", "11452")</f>
        <v>11452</v>
      </c>
      <c r="M1894" s="1" t="str">
        <f>HYPERLINK("http://ms.phosphosite.org:5080/cgi-bin/plot-msms.cgi?MassType=1&amp;NumAxis=1&amp;Mod28=170&amp;Pep=GFGDGYNGYGGGPGGGNFGGSPGYGGGR&amp;Dta=/var/www/html/dta/yong/23613.11513.3.dta&amp;Global_Mod=CS57.0215", "11513")</f>
        <v>11513</v>
      </c>
      <c r="N1894" s="27">
        <v>48.99</v>
      </c>
      <c r="O1894" s="27">
        <v>48.91</v>
      </c>
      <c r="P1894" s="27">
        <v>6.7919999999999998</v>
      </c>
      <c r="Q1894" s="27">
        <v>5.8739999999999997</v>
      </c>
      <c r="R1894" s="27">
        <v>0.53749999999999998</v>
      </c>
      <c r="S1894" s="27">
        <v>0.58089999999999997</v>
      </c>
      <c r="T1894" s="27">
        <v>0.5514</v>
      </c>
      <c r="U1894" s="27">
        <v>0.54200000000000004</v>
      </c>
      <c r="V1894" s="1">
        <v>1</v>
      </c>
      <c r="W1894" s="1">
        <v>1</v>
      </c>
      <c r="X1894" s="27">
        <v>5.9</v>
      </c>
      <c r="Y1894" s="27">
        <v>5.59</v>
      </c>
      <c r="Z1894" s="28">
        <v>1000</v>
      </c>
      <c r="AA1894" s="28">
        <v>1000</v>
      </c>
      <c r="AB1894" s="1" t="s">
        <v>13</v>
      </c>
    </row>
    <row r="1895" spans="1:28">
      <c r="A1895" t="s">
        <v>580</v>
      </c>
      <c r="B1895" s="29" t="s">
        <v>2748</v>
      </c>
      <c r="C1895" s="26" t="s">
        <v>2749</v>
      </c>
      <c r="D1895" s="1">
        <v>266</v>
      </c>
      <c r="E1895" t="s">
        <v>627</v>
      </c>
      <c r="F1895" s="3" t="s">
        <v>2750</v>
      </c>
      <c r="G1895" s="1">
        <v>37.4</v>
      </c>
      <c r="H1895" t="s">
        <v>2788</v>
      </c>
      <c r="I1895" t="s">
        <v>628</v>
      </c>
      <c r="J1895" s="1">
        <v>3</v>
      </c>
      <c r="K1895" s="1">
        <v>837.02329999999995</v>
      </c>
      <c r="L1895" s="1" t="str">
        <f>HYPERLINK("http://ms.phosphosite.org:5080/cgi-bin/plot-msms.cgi?MassType=1&amp;NumAxis=1&amp;Mod28=170&amp;Pep=GFGDGYNGYGGGPGGGNFGGSPGYGGGR&amp;Dta=/var/www/html/dta/yong/23612.11674.3.dta&amp;Global_Mod=CS57.0215", "11674")</f>
        <v>11674</v>
      </c>
      <c r="M1895" s="1"/>
      <c r="N1895" s="27">
        <v>49.74</v>
      </c>
      <c r="O1895" s="27"/>
      <c r="P1895" s="27">
        <v>6.4560000000000004</v>
      </c>
      <c r="Q1895" s="27"/>
      <c r="R1895" s="27">
        <v>0.69269999999999998</v>
      </c>
      <c r="S1895" s="27"/>
      <c r="T1895" s="27">
        <v>0.52300000000000002</v>
      </c>
      <c r="U1895" s="27"/>
      <c r="V1895" s="1">
        <v>1</v>
      </c>
      <c r="W1895" s="1"/>
      <c r="X1895" s="27">
        <v>5.68</v>
      </c>
      <c r="Y1895" s="27"/>
      <c r="Z1895" s="28">
        <v>1000</v>
      </c>
      <c r="AA1895" s="28"/>
      <c r="AB1895" s="1" t="s">
        <v>13</v>
      </c>
    </row>
    <row r="1896" spans="1:28">
      <c r="A1896" t="s">
        <v>580</v>
      </c>
      <c r="B1896" s="29" t="s">
        <v>2748</v>
      </c>
      <c r="C1896" s="26" t="s">
        <v>2749</v>
      </c>
      <c r="D1896" s="1">
        <v>266</v>
      </c>
      <c r="E1896" t="s">
        <v>627</v>
      </c>
      <c r="F1896" s="3" t="s">
        <v>2750</v>
      </c>
      <c r="G1896" s="1">
        <v>37.4</v>
      </c>
      <c r="H1896" t="s">
        <v>2788</v>
      </c>
      <c r="I1896" t="s">
        <v>2790</v>
      </c>
      <c r="J1896" s="1">
        <v>2</v>
      </c>
      <c r="K1896" s="1">
        <v>1393.5844</v>
      </c>
      <c r="L1896" s="1" t="str">
        <f>HYPERLINK("http://ms.phosphosite.org:5080/cgi-bin/plot-msms.cgi?MassType=1&amp;NumAxis=1&amp;Mod28=170&amp;Pep=GFGDGYNGYGGGPGGGNFGGSPGYGGGRGGY&amp;Dta=/var/www/html/dta/yong/23612.12606.2.dta&amp;Global_Mod=CS57.0215", "12606")</f>
        <v>12606</v>
      </c>
      <c r="M1896" s="1" t="str">
        <f>HYPERLINK("http://ms.phosphosite.org:5080/cgi-bin/plot-msms.cgi?MassType=1&amp;NumAxis=1&amp;Mod28=170&amp;Pep=GFGDGYNGYGGGPGGGNFGGSPGYGGGRGGY&amp;Dta=/var/www/html/dta/yong/23613.12720.2.dta&amp;Global_Mod=CS57.0215", "12720")</f>
        <v>12720</v>
      </c>
      <c r="N1896" s="27">
        <v>52.9</v>
      </c>
      <c r="O1896" s="27">
        <v>52.97</v>
      </c>
      <c r="P1896" s="27">
        <v>5.2839999999999998</v>
      </c>
      <c r="Q1896" s="27">
        <v>4.8330000000000002</v>
      </c>
      <c r="R1896" s="27">
        <v>0.90239999999999998</v>
      </c>
      <c r="S1896" s="27">
        <v>-0.35959999999999998</v>
      </c>
      <c r="T1896" s="27">
        <v>0.61380000000000001</v>
      </c>
      <c r="U1896" s="27">
        <v>0.58599999999999997</v>
      </c>
      <c r="V1896" s="1">
        <v>1</v>
      </c>
      <c r="W1896" s="1">
        <v>1</v>
      </c>
      <c r="X1896" s="27">
        <v>5.61</v>
      </c>
      <c r="Y1896" s="27">
        <v>5.29</v>
      </c>
      <c r="Z1896" s="28">
        <v>1000</v>
      </c>
      <c r="AA1896" s="28">
        <v>1000</v>
      </c>
      <c r="AB1896" s="1" t="s">
        <v>13</v>
      </c>
    </row>
    <row r="1897" spans="1:28">
      <c r="A1897" t="s">
        <v>580</v>
      </c>
      <c r="B1897" s="29" t="s">
        <v>2748</v>
      </c>
      <c r="C1897" s="26" t="s">
        <v>2749</v>
      </c>
      <c r="D1897" s="1">
        <v>266</v>
      </c>
      <c r="E1897" t="s">
        <v>627</v>
      </c>
      <c r="F1897" s="3" t="s">
        <v>2750</v>
      </c>
      <c r="G1897" s="1">
        <v>37.4</v>
      </c>
      <c r="H1897" t="s">
        <v>2788</v>
      </c>
      <c r="I1897" t="s">
        <v>2790</v>
      </c>
      <c r="J1897" s="1">
        <v>3</v>
      </c>
      <c r="K1897" s="1">
        <v>929.39200000000005</v>
      </c>
      <c r="L1897" s="1" t="str">
        <f>HYPERLINK("http://ms.phosphosite.org:5080/cgi-bin/plot-msms.cgi?MassType=1&amp;NumAxis=1&amp;Mod28=170&amp;Pep=GFGDGYNGYGGGPGGGNFGGSPGYGGGRGGY&amp;Dta=/var/www/html/dta/yong/23612.12560.3.dta&amp;Global_Mod=CS57.0215", "12560")</f>
        <v>12560</v>
      </c>
      <c r="M1897" s="1" t="str">
        <f>HYPERLINK("http://ms.phosphosite.org:5080/cgi-bin/plot-msms.cgi?MassType=1&amp;NumAxis=1&amp;Mod28=170&amp;Pep=GFGDGYNGYGGGPGGGNFGGSPGYGGGRGGY&amp;Dta=/var/www/html/dta/yong/23613.12668.3.dta&amp;Global_Mod=CS57.0215", "12668")</f>
        <v>12668</v>
      </c>
      <c r="N1897" s="27">
        <v>52.74</v>
      </c>
      <c r="O1897" s="27">
        <v>52.77</v>
      </c>
      <c r="P1897" s="27">
        <v>6.2309999999999999</v>
      </c>
      <c r="Q1897" s="27">
        <v>6.1</v>
      </c>
      <c r="R1897" s="27">
        <v>1.3328</v>
      </c>
      <c r="S1897" s="27">
        <v>1.2282999999999999</v>
      </c>
      <c r="T1897" s="27">
        <v>0.59099999999999997</v>
      </c>
      <c r="U1897" s="27">
        <v>0.55700000000000005</v>
      </c>
      <c r="V1897" s="1">
        <v>1</v>
      </c>
      <c r="W1897" s="1">
        <v>1</v>
      </c>
      <c r="X1897" s="27">
        <v>5.72</v>
      </c>
      <c r="Y1897" s="27">
        <v>5.45</v>
      </c>
      <c r="Z1897" s="28">
        <v>1000</v>
      </c>
      <c r="AA1897" s="28">
        <v>1000</v>
      </c>
      <c r="AB1897" s="1" t="s">
        <v>13</v>
      </c>
    </row>
    <row r="1898" spans="1:28">
      <c r="A1898" t="s">
        <v>580</v>
      </c>
      <c r="B1898" s="29" t="s">
        <v>2748</v>
      </c>
      <c r="C1898" s="26" t="s">
        <v>2749</v>
      </c>
      <c r="D1898" s="1">
        <v>266</v>
      </c>
      <c r="E1898" t="s">
        <v>627</v>
      </c>
      <c r="F1898" s="3" t="s">
        <v>2750</v>
      </c>
      <c r="G1898" s="1">
        <v>37.4</v>
      </c>
      <c r="H1898" t="s">
        <v>2788</v>
      </c>
      <c r="I1898" t="s">
        <v>2790</v>
      </c>
      <c r="J1898" s="1">
        <v>3</v>
      </c>
      <c r="K1898" s="1">
        <v>929.39200000000005</v>
      </c>
      <c r="L1898" s="1" t="str">
        <f>HYPERLINK("http://ms.phosphosite.org:5080/cgi-bin/plot-msms.cgi?MassType=1&amp;NumAxis=1&amp;Mod28=170&amp;Pep=GFGDGYNGYGGGPGGGNFGGSPGYGGGRGGY&amp;Dta=/var/www/html/dta/yong/23612.12572.3.dta&amp;Global_Mod=CS57.0215", "12572")</f>
        <v>12572</v>
      </c>
      <c r="M1898" s="1" t="str">
        <f>HYPERLINK("http://ms.phosphosite.org:5080/cgi-bin/plot-msms.cgi?MassType=1&amp;NumAxis=1&amp;Mod28=170&amp;Pep=GFGDGYNGYGGGPGGGNFGGSPGYGGGRGGY&amp;Dta=/var/www/html/dta/yong/23613.12763.3.dta&amp;Global_Mod=CS57.0215", "12763")</f>
        <v>12763</v>
      </c>
      <c r="N1898" s="27">
        <v>52.79</v>
      </c>
      <c r="O1898" s="27">
        <v>53.12</v>
      </c>
      <c r="P1898" s="27">
        <v>6.5049999999999999</v>
      </c>
      <c r="Q1898" s="27">
        <v>4.1929999999999996</v>
      </c>
      <c r="R1898" s="27">
        <v>1.3328</v>
      </c>
      <c r="S1898" s="27">
        <v>1.2282999999999999</v>
      </c>
      <c r="T1898" s="27">
        <v>0.53920000000000001</v>
      </c>
      <c r="U1898" s="27">
        <v>0.31540000000000001</v>
      </c>
      <c r="V1898" s="1">
        <v>1</v>
      </c>
      <c r="W1898" s="1">
        <v>1</v>
      </c>
      <c r="X1898" s="27">
        <v>5.52</v>
      </c>
      <c r="Y1898" s="27">
        <v>3.87</v>
      </c>
      <c r="Z1898" s="28">
        <v>1000</v>
      </c>
      <c r="AA1898" s="28">
        <v>1000</v>
      </c>
      <c r="AB1898" s="1" t="s">
        <v>13</v>
      </c>
    </row>
    <row r="1899" spans="1:28">
      <c r="A1899" t="s">
        <v>580</v>
      </c>
      <c r="B1899" s="29" t="s">
        <v>2748</v>
      </c>
      <c r="C1899" s="26" t="s">
        <v>2749</v>
      </c>
      <c r="D1899" s="1">
        <v>266</v>
      </c>
      <c r="E1899" t="s">
        <v>627</v>
      </c>
      <c r="F1899" s="3" t="s">
        <v>2750</v>
      </c>
      <c r="G1899" s="1">
        <v>37.4</v>
      </c>
      <c r="H1899" t="s">
        <v>2788</v>
      </c>
      <c r="I1899" t="s">
        <v>2791</v>
      </c>
      <c r="J1899" s="1">
        <v>3</v>
      </c>
      <c r="K1899" s="1">
        <v>1168.1546000000001</v>
      </c>
      <c r="L1899" s="1"/>
      <c r="M1899" s="1" t="str">
        <f>HYPERLINK("http://ms.phosphosite.org:5080/cgi-bin/plot-msms.cgi?MassType=1&amp;NumAxis=1&amp;Mod28=170&amp;Pep=GFGDGYNGYGGGPGGGNFGGSPGYGGGRGGYGGGGPGYGN&amp;Dta=/var/www/html/dta/yong/23613.12618.3.dta&amp;Global_Mod=CS57.0215", "12618")</f>
        <v>12618</v>
      </c>
      <c r="N1899" s="27"/>
      <c r="O1899" s="27">
        <v>52.6</v>
      </c>
      <c r="P1899" s="27"/>
      <c r="Q1899" s="27">
        <v>3.202</v>
      </c>
      <c r="R1899" s="27"/>
      <c r="S1899" s="27">
        <v>1.6180000000000001</v>
      </c>
      <c r="T1899" s="27"/>
      <c r="U1899" s="27">
        <v>0.1968</v>
      </c>
      <c r="V1899" s="1"/>
      <c r="W1899" s="1">
        <v>1</v>
      </c>
      <c r="X1899" s="27"/>
      <c r="Y1899" s="27">
        <v>2.95</v>
      </c>
      <c r="Z1899" s="28"/>
      <c r="AA1899" s="28">
        <v>1000</v>
      </c>
      <c r="AB1899" s="1" t="s">
        <v>13</v>
      </c>
    </row>
    <row r="1900" spans="1:28">
      <c r="A1900" t="s">
        <v>580</v>
      </c>
      <c r="B1900" s="29" t="s">
        <v>2748</v>
      </c>
      <c r="C1900" s="26" t="s">
        <v>2749</v>
      </c>
      <c r="D1900" s="1">
        <v>266</v>
      </c>
      <c r="E1900" t="s">
        <v>627</v>
      </c>
      <c r="F1900" s="3" t="s">
        <v>2750</v>
      </c>
      <c r="G1900" s="1">
        <v>37.4</v>
      </c>
      <c r="H1900" t="s">
        <v>2788</v>
      </c>
      <c r="I1900" t="s">
        <v>2791</v>
      </c>
      <c r="J1900" s="1">
        <v>3</v>
      </c>
      <c r="K1900" s="1">
        <v>1168.1546000000001</v>
      </c>
      <c r="L1900" s="1"/>
      <c r="M1900" s="1" t="str">
        <f>HYPERLINK("http://ms.phosphosite.org:5080/cgi-bin/plot-msms.cgi?MassType=1&amp;NumAxis=1&amp;Mod28=170&amp;Pep=GFGDGYNGYGGGPGGGNFGGSPGYGGGRGGYGGGGPGYGN&amp;Dta=/var/www/html/dta/yong/23613.12614.3.dta&amp;Global_Mod=CS57.0215", "12614")</f>
        <v>12614</v>
      </c>
      <c r="N1900" s="27"/>
      <c r="O1900" s="27">
        <v>52.59</v>
      </c>
      <c r="P1900" s="27"/>
      <c r="Q1900" s="27">
        <v>5.3470000000000004</v>
      </c>
      <c r="R1900" s="27"/>
      <c r="S1900" s="27">
        <v>1.6180000000000001</v>
      </c>
      <c r="T1900" s="27"/>
      <c r="U1900" s="27">
        <v>0.42659999999999998</v>
      </c>
      <c r="V1900" s="1"/>
      <c r="W1900" s="1">
        <v>1</v>
      </c>
      <c r="X1900" s="27"/>
      <c r="Y1900" s="27">
        <v>4.5199999999999996</v>
      </c>
      <c r="Z1900" s="28"/>
      <c r="AA1900" s="28">
        <v>1000</v>
      </c>
      <c r="AB1900" s="1" t="s">
        <v>13</v>
      </c>
    </row>
    <row r="1901" spans="1:28">
      <c r="A1901" t="s">
        <v>580</v>
      </c>
      <c r="B1901" s="29" t="s">
        <v>2748</v>
      </c>
      <c r="C1901" s="26" t="s">
        <v>2749</v>
      </c>
      <c r="D1901" s="1">
        <v>266</v>
      </c>
      <c r="E1901" t="s">
        <v>627</v>
      </c>
      <c r="F1901" s="3" t="s">
        <v>2750</v>
      </c>
      <c r="G1901" s="1">
        <v>37.4</v>
      </c>
      <c r="H1901" t="s">
        <v>2788</v>
      </c>
      <c r="I1901" t="s">
        <v>2792</v>
      </c>
      <c r="J1901" s="1">
        <v>2</v>
      </c>
      <c r="K1901" s="1">
        <v>789.85580000000004</v>
      </c>
      <c r="L1901" s="1" t="str">
        <f>HYPERLINK("http://ms.phosphosite.org:5080/cgi-bin/plot-msms.cgi?MassType=1&amp;NumAxis=1&amp;Mod19=170&amp;Pep=GGGPGGGNFGGSPGYGGGR&amp;Dta=/var/www/html/dta/yong/23612.6415.2.dta&amp;Global_Mod=CS57.0215", "6415")</f>
        <v>6415</v>
      </c>
      <c r="M1901" s="1" t="str">
        <f>HYPERLINK("http://ms.phosphosite.org:5080/cgi-bin/plot-msms.cgi?MassType=1&amp;NumAxis=1&amp;Mod19=170&amp;Pep=GGGPGGGNFGGSPGYGGGR&amp;Dta=/var/www/html/dta/yong/23613.6463.2.dta&amp;Global_Mod=CS57.0215", "6463")</f>
        <v>6463</v>
      </c>
      <c r="N1901" s="27">
        <v>31.09</v>
      </c>
      <c r="O1901" s="27">
        <v>31.09</v>
      </c>
      <c r="P1901" s="27">
        <v>5.3029999999999999</v>
      </c>
      <c r="Q1901" s="27">
        <v>5.21</v>
      </c>
      <c r="R1901" s="27">
        <v>0.70279999999999998</v>
      </c>
      <c r="S1901" s="27">
        <v>0.84230000000000005</v>
      </c>
      <c r="T1901" s="27">
        <v>0.55400000000000005</v>
      </c>
      <c r="U1901" s="27">
        <v>0.55740000000000001</v>
      </c>
      <c r="V1901" s="1">
        <v>1</v>
      </c>
      <c r="W1901" s="1">
        <v>1</v>
      </c>
      <c r="X1901" s="27">
        <v>5.66</v>
      </c>
      <c r="Y1901" s="27">
        <v>5.58</v>
      </c>
      <c r="Z1901" s="28">
        <v>1000</v>
      </c>
      <c r="AA1901" s="28">
        <v>1000</v>
      </c>
      <c r="AB1901" s="1" t="s">
        <v>13</v>
      </c>
    </row>
    <row r="1902" spans="1:28">
      <c r="A1902" t="s">
        <v>580</v>
      </c>
      <c r="B1902" s="29" t="s">
        <v>2748</v>
      </c>
      <c r="C1902" s="26" t="s">
        <v>2749</v>
      </c>
      <c r="D1902" s="1">
        <v>266</v>
      </c>
      <c r="E1902" t="s">
        <v>627</v>
      </c>
      <c r="F1902" s="3" t="s">
        <v>2750</v>
      </c>
      <c r="G1902" s="1">
        <v>37.4</v>
      </c>
      <c r="H1902" t="s">
        <v>2788</v>
      </c>
      <c r="I1902" t="s">
        <v>2792</v>
      </c>
      <c r="J1902" s="1">
        <v>2</v>
      </c>
      <c r="K1902" s="1">
        <v>789.85580000000004</v>
      </c>
      <c r="L1902" s="1" t="str">
        <f>HYPERLINK("http://ms.phosphosite.org:5080/cgi-bin/plot-msms.cgi?MassType=1&amp;NumAxis=1&amp;Mod19=170&amp;Pep=GGGPGGGNFGGSPGYGGGR&amp;Dta=/var/www/html/dta/yong/23612.6492.2.dta&amp;Global_Mod=CS57.0215", "6492")</f>
        <v>6492</v>
      </c>
      <c r="M1902" s="1"/>
      <c r="N1902" s="27">
        <v>31.37</v>
      </c>
      <c r="O1902" s="27"/>
      <c r="P1902" s="27">
        <v>3.9670000000000001</v>
      </c>
      <c r="Q1902" s="27"/>
      <c r="R1902" s="27">
        <v>0.67159999999999997</v>
      </c>
      <c r="S1902" s="27"/>
      <c r="T1902" s="27">
        <v>0.4395</v>
      </c>
      <c r="U1902" s="27"/>
      <c r="V1902" s="1">
        <v>1</v>
      </c>
      <c r="W1902" s="1"/>
      <c r="X1902" s="27">
        <v>4.83</v>
      </c>
      <c r="Y1902" s="27"/>
      <c r="Z1902" s="28">
        <v>1000</v>
      </c>
      <c r="AA1902" s="28"/>
      <c r="AB1902" s="1" t="s">
        <v>13</v>
      </c>
    </row>
    <row r="1903" spans="1:28">
      <c r="A1903" t="s">
        <v>580</v>
      </c>
      <c r="B1903" s="29" t="s">
        <v>2748</v>
      </c>
      <c r="C1903" s="26" t="s">
        <v>2749</v>
      </c>
      <c r="D1903" s="1">
        <v>266</v>
      </c>
      <c r="E1903" t="s">
        <v>627</v>
      </c>
      <c r="F1903" s="3" t="s">
        <v>2750</v>
      </c>
      <c r="G1903" s="1">
        <v>37.4</v>
      </c>
      <c r="H1903" t="s">
        <v>2788</v>
      </c>
      <c r="I1903" t="s">
        <v>2793</v>
      </c>
      <c r="J1903" s="1">
        <v>2</v>
      </c>
      <c r="K1903" s="1">
        <v>761.3451</v>
      </c>
      <c r="L1903" s="1" t="str">
        <f>HYPERLINK("http://ms.phosphosite.org:5080/cgi-bin/plot-msms.cgi?MassType=1&amp;NumAxis=1&amp;Mod18=170&amp;Pep=GGPGGGNFGGSPGYGGGR&amp;Dta=/var/www/html/dta/yong/23612.6375.2.dta&amp;Global_Mod=CS57.0215", "6375")</f>
        <v>6375</v>
      </c>
      <c r="M1903" s="1" t="str">
        <f>HYPERLINK("http://ms.phosphosite.org:5080/cgi-bin/plot-msms.cgi?MassType=1&amp;NumAxis=1&amp;Mod18=170&amp;Pep=GGPGGGNFGGSPGYGGGR&amp;Dta=/var/www/html/dta/yong/23613.6412.2.dta&amp;Global_Mod=CS57.0215", "6412")</f>
        <v>6412</v>
      </c>
      <c r="N1903" s="27">
        <v>30.94</v>
      </c>
      <c r="O1903" s="27">
        <v>30.89</v>
      </c>
      <c r="P1903" s="27">
        <v>3.8490000000000002</v>
      </c>
      <c r="Q1903" s="27">
        <v>3.7759999999999998</v>
      </c>
      <c r="R1903" s="27">
        <v>0.64159999999999995</v>
      </c>
      <c r="S1903" s="27">
        <v>1.6188</v>
      </c>
      <c r="T1903" s="27">
        <v>0.46800000000000003</v>
      </c>
      <c r="U1903" s="27">
        <v>0.34300000000000003</v>
      </c>
      <c r="V1903" s="1">
        <v>1</v>
      </c>
      <c r="W1903" s="1">
        <v>1</v>
      </c>
      <c r="X1903" s="27">
        <v>4.97</v>
      </c>
      <c r="Y1903" s="27">
        <v>4.2</v>
      </c>
      <c r="Z1903" s="28">
        <v>1000</v>
      </c>
      <c r="AA1903" s="28">
        <v>1000</v>
      </c>
      <c r="AB1903" s="1" t="s">
        <v>13</v>
      </c>
    </row>
    <row r="1904" spans="1:28">
      <c r="A1904" t="s">
        <v>580</v>
      </c>
      <c r="B1904" s="29" t="s">
        <v>2748</v>
      </c>
      <c r="C1904" s="26" t="s">
        <v>2749</v>
      </c>
      <c r="D1904" s="1">
        <v>266</v>
      </c>
      <c r="E1904" t="s">
        <v>627</v>
      </c>
      <c r="F1904" s="3" t="s">
        <v>2750</v>
      </c>
      <c r="G1904" s="1">
        <v>37.4</v>
      </c>
      <c r="H1904" t="s">
        <v>2788</v>
      </c>
      <c r="I1904" t="s">
        <v>2794</v>
      </c>
      <c r="J1904" s="1">
        <v>2</v>
      </c>
      <c r="K1904" s="1">
        <v>732.83439999999996</v>
      </c>
      <c r="L1904" s="1" t="str">
        <f>HYPERLINK("http://ms.phosphosite.org:5080/cgi-bin/plot-msms.cgi?MassType=1&amp;NumAxis=1&amp;Mod17=170&amp;Pep=GPGGGNFGGSPGYGGGR&amp;Dta=/var/www/html/dta/yong/23612.6168.2.dta&amp;Global_Mod=CS57.0215", "6168")</f>
        <v>6168</v>
      </c>
      <c r="M1904" s="1"/>
      <c r="N1904" s="27">
        <v>30.2</v>
      </c>
      <c r="O1904" s="27"/>
      <c r="P1904" s="27">
        <v>3.1920000000000002</v>
      </c>
      <c r="Q1904" s="27"/>
      <c r="R1904" s="27">
        <v>0.49530000000000002</v>
      </c>
      <c r="S1904" s="27"/>
      <c r="T1904" s="27">
        <v>0.35580000000000001</v>
      </c>
      <c r="U1904" s="27"/>
      <c r="V1904" s="1">
        <v>1</v>
      </c>
      <c r="W1904" s="1"/>
      <c r="X1904" s="27">
        <v>4.3</v>
      </c>
      <c r="Y1904" s="27"/>
      <c r="Z1904" s="28">
        <v>1000</v>
      </c>
      <c r="AA1904" s="28"/>
      <c r="AB1904" s="1" t="s">
        <v>13</v>
      </c>
    </row>
    <row r="1905" spans="1:28">
      <c r="A1905" t="s">
        <v>580</v>
      </c>
      <c r="B1905" s="29" t="s">
        <v>2748</v>
      </c>
      <c r="C1905" s="26" t="s">
        <v>2749</v>
      </c>
      <c r="D1905" s="1">
        <v>266</v>
      </c>
      <c r="E1905" t="s">
        <v>627</v>
      </c>
      <c r="F1905" s="3" t="s">
        <v>2750</v>
      </c>
      <c r="G1905" s="1">
        <v>37.4</v>
      </c>
      <c r="H1905" t="s">
        <v>2788</v>
      </c>
      <c r="I1905" t="s">
        <v>2795</v>
      </c>
      <c r="J1905" s="1">
        <v>2</v>
      </c>
      <c r="K1905" s="1">
        <v>899.89819999999997</v>
      </c>
      <c r="L1905" s="1" t="str">
        <f>HYPERLINK("http://ms.phosphosite.org:5080/cgi-bin/plot-msms.cgi?MassType=1&amp;NumAxis=1&amp;Mod21=170&amp;Pep=GYGGGPGGGNFGGSPGYGGGR&amp;Dta=/var/www/html/dta/yong/23612.7784.2.dta&amp;Global_Mod=CS57.0215", "7784")</f>
        <v>7784</v>
      </c>
      <c r="M1905" s="1" t="str">
        <f>HYPERLINK("http://ms.phosphosite.org:5080/cgi-bin/plot-msms.cgi?MassType=1&amp;NumAxis=1&amp;Mod21=170&amp;Pep=GYGGGPGGGNFGGSPGYGGGR&amp;Dta=/var/www/html/dta/yong/23613.7822.2.dta&amp;Global_Mod=CS57.0215", "7822")</f>
        <v>7822</v>
      </c>
      <c r="N1905" s="27">
        <v>36.06</v>
      </c>
      <c r="O1905" s="27">
        <v>36.090000000000003</v>
      </c>
      <c r="P1905" s="27">
        <v>5.1909999999999998</v>
      </c>
      <c r="Q1905" s="27">
        <v>5.4939999999999998</v>
      </c>
      <c r="R1905" s="27">
        <v>-8.48E-2</v>
      </c>
      <c r="S1905" s="27">
        <v>0.59499999999999997</v>
      </c>
      <c r="T1905" s="27">
        <v>0.4909</v>
      </c>
      <c r="U1905" s="27">
        <v>0.53849999999999998</v>
      </c>
      <c r="V1905" s="1">
        <v>1</v>
      </c>
      <c r="W1905" s="1">
        <v>1</v>
      </c>
      <c r="X1905" s="27">
        <v>5.29</v>
      </c>
      <c r="Y1905" s="27">
        <v>5.54</v>
      </c>
      <c r="Z1905" s="28">
        <v>1000</v>
      </c>
      <c r="AA1905" s="28">
        <v>1000</v>
      </c>
      <c r="AB1905" s="1" t="s">
        <v>13</v>
      </c>
    </row>
    <row r="1906" spans="1:28">
      <c r="A1906" t="s">
        <v>580</v>
      </c>
      <c r="B1906" s="29" t="s">
        <v>2748</v>
      </c>
      <c r="C1906" s="26" t="s">
        <v>2749</v>
      </c>
      <c r="D1906" s="1">
        <v>266</v>
      </c>
      <c r="E1906" t="s">
        <v>627</v>
      </c>
      <c r="F1906" s="3" t="s">
        <v>2750</v>
      </c>
      <c r="G1906" s="1">
        <v>37.4</v>
      </c>
      <c r="H1906" t="s">
        <v>2788</v>
      </c>
      <c r="I1906" t="s">
        <v>2795</v>
      </c>
      <c r="J1906" s="1">
        <v>2</v>
      </c>
      <c r="K1906" s="1">
        <v>899.89819999999997</v>
      </c>
      <c r="L1906" s="1" t="str">
        <f>HYPERLINK("http://ms.phosphosite.org:5080/cgi-bin/plot-msms.cgi?MassType=1&amp;NumAxis=1&amp;Mod21=170&amp;Pep=GYGGGPGGGNFGGSPGYGGGR&amp;Dta=/var/www/html/dta/yong/23612.7790.2.dta&amp;Global_Mod=CS57.0215", "7790")</f>
        <v>7790</v>
      </c>
      <c r="M1906" s="1" t="str">
        <f>HYPERLINK("http://ms.phosphosite.org:5080/cgi-bin/plot-msms.cgi?MassType=1&amp;NumAxis=1&amp;Mod21=170&amp;Pep=GYGGGPGGGNFGGSPGYGGGR&amp;Dta=/var/www/html/dta/yong/23613.7811.2.dta&amp;Global_Mod=CS57.0215", "7811")</f>
        <v>7811</v>
      </c>
      <c r="N1906" s="27">
        <v>36.08</v>
      </c>
      <c r="O1906" s="27">
        <v>36.049999999999997</v>
      </c>
      <c r="P1906" s="27">
        <v>4.6970000000000001</v>
      </c>
      <c r="Q1906" s="27">
        <v>5.2930000000000001</v>
      </c>
      <c r="R1906" s="27">
        <v>-8.48E-2</v>
      </c>
      <c r="S1906" s="27">
        <v>0.60089999999999999</v>
      </c>
      <c r="T1906" s="27">
        <v>0.49809999999999999</v>
      </c>
      <c r="U1906" s="27">
        <v>0.54190000000000005</v>
      </c>
      <c r="V1906" s="1">
        <v>1</v>
      </c>
      <c r="W1906" s="1">
        <v>1</v>
      </c>
      <c r="X1906" s="27">
        <v>5.23</v>
      </c>
      <c r="Y1906" s="27">
        <v>5.51</v>
      </c>
      <c r="Z1906" s="28">
        <v>1000</v>
      </c>
      <c r="AA1906" s="28">
        <v>1000</v>
      </c>
      <c r="AB1906" s="1" t="s">
        <v>13</v>
      </c>
    </row>
    <row r="1907" spans="1:28">
      <c r="A1907" t="s">
        <v>580</v>
      </c>
      <c r="B1907" s="29" t="s">
        <v>2748</v>
      </c>
      <c r="C1907" s="26" t="s">
        <v>2749</v>
      </c>
      <c r="D1907" s="1">
        <v>266</v>
      </c>
      <c r="E1907" t="s">
        <v>627</v>
      </c>
      <c r="F1907" s="3" t="s">
        <v>2750</v>
      </c>
      <c r="G1907" s="1">
        <v>37.4</v>
      </c>
      <c r="H1907" t="s">
        <v>2788</v>
      </c>
      <c r="I1907" t="s">
        <v>2796</v>
      </c>
      <c r="J1907" s="1">
        <v>2</v>
      </c>
      <c r="K1907" s="1">
        <v>956.91970000000003</v>
      </c>
      <c r="L1907" s="1" t="str">
        <f>HYPERLINK("http://ms.phosphosite.org:5080/cgi-bin/plot-msms.cgi?MassType=1&amp;NumAxis=1&amp;Mod22=170&amp;Pep=NGYGGGPGGGNFGGSPGYGGGR&amp;Dta=/var/www/html/dta/yong/23612.7831.2.dta&amp;Global_Mod=CS57.0215", "7831")</f>
        <v>7831</v>
      </c>
      <c r="M1907" s="1" t="str">
        <f>HYPERLINK("http://ms.phosphosite.org:5080/cgi-bin/plot-msms.cgi?MassType=1&amp;NumAxis=1&amp;Mod22=170&amp;Pep=NGYGGGPGGGNFGGSPGYGGGR&amp;Dta=/var/www/html/dta/yong/23613.7863.2.dta&amp;Global_Mod=CS57.0215", "7863")</f>
        <v>7863</v>
      </c>
      <c r="N1907" s="27">
        <v>36.21</v>
      </c>
      <c r="O1907" s="27">
        <v>36.24</v>
      </c>
      <c r="P1907" s="27">
        <v>5.4359999999999999</v>
      </c>
      <c r="Q1907" s="27">
        <v>5.6280000000000001</v>
      </c>
      <c r="R1907" s="27">
        <v>0.2253</v>
      </c>
      <c r="S1907" s="27">
        <v>0.79859999999999998</v>
      </c>
      <c r="T1907" s="27">
        <v>0.51080000000000003</v>
      </c>
      <c r="U1907" s="27">
        <v>0.50939999999999996</v>
      </c>
      <c r="V1907" s="1">
        <v>1</v>
      </c>
      <c r="W1907" s="1">
        <v>1</v>
      </c>
      <c r="X1907" s="27">
        <v>5.44</v>
      </c>
      <c r="Y1907" s="27">
        <v>5.4</v>
      </c>
      <c r="Z1907" s="28">
        <v>1000</v>
      </c>
      <c r="AA1907" s="28">
        <v>1000</v>
      </c>
      <c r="AB1907" s="1" t="s">
        <v>13</v>
      </c>
    </row>
    <row r="1908" spans="1:28">
      <c r="A1908" t="s">
        <v>580</v>
      </c>
      <c r="B1908" s="29" t="s">
        <v>2748</v>
      </c>
      <c r="C1908" s="26" t="s">
        <v>2749</v>
      </c>
      <c r="D1908" s="1">
        <v>266</v>
      </c>
      <c r="E1908" t="s">
        <v>627</v>
      </c>
      <c r="F1908" s="3" t="s">
        <v>2750</v>
      </c>
      <c r="G1908" s="1">
        <v>37.4</v>
      </c>
      <c r="H1908" t="s">
        <v>2788</v>
      </c>
      <c r="I1908" t="s">
        <v>2796</v>
      </c>
      <c r="J1908" s="1">
        <v>3</v>
      </c>
      <c r="K1908" s="1">
        <v>638.28219999999999</v>
      </c>
      <c r="L1908" s="1" t="str">
        <f>HYPERLINK("http://ms.phosphosite.org:5080/cgi-bin/plot-msms.cgi?MassType=1&amp;NumAxis=1&amp;Mod22=170&amp;Pep=NGYGGGPGGGNFGGSPGYGGGR&amp;Dta=/var/www/html/dta/yong/23612.7843.3.dta&amp;Global_Mod=CS57.0215", "7843")</f>
        <v>7843</v>
      </c>
      <c r="M1908" s="1" t="str">
        <f>HYPERLINK("http://ms.phosphosite.org:5080/cgi-bin/plot-msms.cgi?MassType=1&amp;NumAxis=1&amp;Mod22=170&amp;Pep=NGYGGGPGGGNFGGSPGYGGGR&amp;Dta=/var/www/html/dta/yong/23613.7888.3.dta&amp;Global_Mod=CS57.0215", "7888")</f>
        <v>7888</v>
      </c>
      <c r="N1908" s="27">
        <v>36.26</v>
      </c>
      <c r="O1908" s="27">
        <v>36.33</v>
      </c>
      <c r="P1908" s="27">
        <v>2.6309999999999998</v>
      </c>
      <c r="Q1908" s="27">
        <v>2.5350000000000001</v>
      </c>
      <c r="R1908" s="27">
        <v>-0.41310000000000002</v>
      </c>
      <c r="S1908" s="27">
        <v>0.18429999999999999</v>
      </c>
      <c r="T1908" s="27">
        <v>0.19670000000000001</v>
      </c>
      <c r="U1908" s="27">
        <v>0.11799999999999999</v>
      </c>
      <c r="V1908" s="1">
        <v>2</v>
      </c>
      <c r="W1908" s="1">
        <v>4</v>
      </c>
      <c r="X1908" s="27">
        <v>3.37</v>
      </c>
      <c r="Y1908" s="27">
        <v>2.88</v>
      </c>
      <c r="Z1908" s="28">
        <v>1000</v>
      </c>
      <c r="AA1908" s="28">
        <v>1000</v>
      </c>
      <c r="AB1908" s="1" t="s">
        <v>13</v>
      </c>
    </row>
    <row r="1909" spans="1:28">
      <c r="A1909" t="s">
        <v>580</v>
      </c>
      <c r="B1909" s="29" t="s">
        <v>2748</v>
      </c>
      <c r="C1909" s="26" t="s">
        <v>2749</v>
      </c>
      <c r="D1909" s="1">
        <v>350</v>
      </c>
      <c r="E1909" t="s">
        <v>627</v>
      </c>
      <c r="F1909" s="3" t="s">
        <v>2750</v>
      </c>
      <c r="G1909" s="1">
        <v>37.4</v>
      </c>
      <c r="H1909" t="s">
        <v>2797</v>
      </c>
      <c r="I1909" t="s">
        <v>2798</v>
      </c>
      <c r="J1909" s="1">
        <v>2</v>
      </c>
      <c r="K1909" s="1">
        <v>1110.4616000000001</v>
      </c>
      <c r="L1909" s="1" t="str">
        <f>HYPERLINK("http://ms.phosphosite.org:5080/cgi-bin/plot-msms.cgi?MassType=1&amp;NumAxis=1&amp;Mod2=147&amp;Mod25=170&amp;Pep=NMGGPYGGGNYGPGGSGGSGGYGGR&amp;Dta=/var/www/html/dta/yong/23612.6906.2.dta&amp;Global_Mod=CS57.0215", "6906")</f>
        <v>6906</v>
      </c>
      <c r="M1909" s="1"/>
      <c r="N1909" s="27">
        <v>32.950000000000003</v>
      </c>
      <c r="O1909" s="27"/>
      <c r="P1909" s="27">
        <v>4.8079999999999998</v>
      </c>
      <c r="Q1909" s="27"/>
      <c r="R1909" s="27">
        <v>0.29330000000000001</v>
      </c>
      <c r="S1909" s="27"/>
      <c r="T1909" s="27">
        <v>0.58989999999999998</v>
      </c>
      <c r="U1909" s="27"/>
      <c r="V1909" s="1">
        <v>1</v>
      </c>
      <c r="W1909" s="1"/>
      <c r="X1909" s="27">
        <v>5.68</v>
      </c>
      <c r="Y1909" s="27"/>
      <c r="Z1909" s="28">
        <v>1000</v>
      </c>
      <c r="AA1909" s="28"/>
      <c r="AB1909" s="1" t="s">
        <v>13</v>
      </c>
    </row>
    <row r="1910" spans="1:28">
      <c r="A1910" t="s">
        <v>580</v>
      </c>
      <c r="B1910" s="29" t="s">
        <v>2748</v>
      </c>
      <c r="C1910" s="26" t="s">
        <v>2749</v>
      </c>
      <c r="D1910" s="1">
        <v>350</v>
      </c>
      <c r="E1910" t="s">
        <v>627</v>
      </c>
      <c r="F1910" s="3" t="s">
        <v>2750</v>
      </c>
      <c r="G1910" s="1">
        <v>37.4</v>
      </c>
      <c r="H1910" t="s">
        <v>2797</v>
      </c>
      <c r="I1910" t="s">
        <v>2798</v>
      </c>
      <c r="J1910" s="1">
        <v>3</v>
      </c>
      <c r="K1910" s="1">
        <v>740.64350000000002</v>
      </c>
      <c r="L1910" s="1" t="str">
        <f>HYPERLINK("http://ms.phosphosite.org:5080/cgi-bin/plot-msms.cgi?MassType=1&amp;NumAxis=1&amp;Mod2=147&amp;Mod25=170&amp;Pep=NMGGPYGGGNYGPGGSGGSGGYGGR&amp;Dta=/var/www/html/dta/yong/23612.6854.3.dta&amp;Global_Mod=CS57.0215", "6854")</f>
        <v>6854</v>
      </c>
      <c r="M1910" s="1" t="str">
        <f>HYPERLINK("http://ms.phosphosite.org:5080/cgi-bin/plot-msms.cgi?MassType=1&amp;NumAxis=1&amp;Mod2=147&amp;Mod25=170&amp;Pep=NMGGPYGGGNYGPGGSGGSGGYGGR&amp;Dta=/var/www/html/dta/yong/23613.6901.3.dta&amp;Global_Mod=CS57.0215", "6901")</f>
        <v>6901</v>
      </c>
      <c r="N1910" s="27">
        <v>32.75</v>
      </c>
      <c r="O1910" s="27">
        <v>32.75</v>
      </c>
      <c r="P1910" s="27">
        <v>2.7709999999999999</v>
      </c>
      <c r="Q1910" s="27">
        <v>3.419</v>
      </c>
      <c r="R1910" s="27">
        <v>1.0980000000000001</v>
      </c>
      <c r="S1910" s="27">
        <v>1.2955000000000001</v>
      </c>
      <c r="T1910" s="27">
        <v>0.1356</v>
      </c>
      <c r="U1910" s="27">
        <v>0.35139999999999999</v>
      </c>
      <c r="V1910" s="1">
        <v>1</v>
      </c>
      <c r="W1910" s="1">
        <v>1</v>
      </c>
      <c r="X1910" s="27">
        <v>3.07</v>
      </c>
      <c r="Y1910" s="27">
        <v>4.1500000000000004</v>
      </c>
      <c r="Z1910" s="28">
        <v>1000</v>
      </c>
      <c r="AA1910" s="28">
        <v>1000</v>
      </c>
      <c r="AB1910" s="1" t="s">
        <v>13</v>
      </c>
    </row>
    <row r="1911" spans="1:28">
      <c r="A1911" t="s">
        <v>580</v>
      </c>
      <c r="B1911" s="29" t="s">
        <v>2748</v>
      </c>
      <c r="C1911" s="26" t="s">
        <v>2749</v>
      </c>
      <c r="D1911" s="30" t="s">
        <v>2799</v>
      </c>
      <c r="E1911" t="s">
        <v>627</v>
      </c>
      <c r="F1911" s="3" t="s">
        <v>2750</v>
      </c>
      <c r="G1911" s="1">
        <v>37.4</v>
      </c>
      <c r="H1911" t="s">
        <v>2800</v>
      </c>
      <c r="I1911" t="s">
        <v>2801</v>
      </c>
      <c r="J1911" s="1">
        <v>2</v>
      </c>
      <c r="K1911" s="1">
        <v>671.3184</v>
      </c>
      <c r="L1911" s="1" t="str">
        <f>HYPERLINK("http://ms.phosphosite.org:5080/cgi-bin/plot-msms.cgi?MassType=1&amp;NumAxis=1&amp;Mod3=170&amp;Mod13=170&amp;Pep=SGRGGNFGFGDSR&amp;Dta=/var/www/html/dta/yong/23612.6542.2.dta&amp;Global_Mod=CS57.0215", "6542")</f>
        <v>6542</v>
      </c>
      <c r="M1911" s="1" t="str">
        <f>HYPERLINK("http://ms.phosphosite.org:5080/cgi-bin/plot-msms.cgi?MassType=1&amp;NumAxis=1&amp;Mod3=170&amp;Mod13=170&amp;Pep=SGRGGNFGFGDSR&amp;Dta=/var/www/html/dta/yong/23613.6588.2.dta&amp;Global_Mod=CS57.0215", "6588")</f>
        <v>6588</v>
      </c>
      <c r="N1911" s="27">
        <v>31.56</v>
      </c>
      <c r="O1911" s="27">
        <v>31.53</v>
      </c>
      <c r="P1911" s="27">
        <v>2.246</v>
      </c>
      <c r="Q1911" s="27">
        <v>1.7609999999999999</v>
      </c>
      <c r="R1911" s="27">
        <v>-5.4600000000000003E-2</v>
      </c>
      <c r="S1911" s="27">
        <v>6.7900000000000002E-2</v>
      </c>
      <c r="T1911" s="27">
        <v>0.16980000000000001</v>
      </c>
      <c r="U1911" s="27">
        <v>2.3E-2</v>
      </c>
      <c r="V1911" s="1">
        <v>1</v>
      </c>
      <c r="W1911" s="1">
        <v>5</v>
      </c>
      <c r="X1911" s="27">
        <v>3.03</v>
      </c>
      <c r="Y1911" s="27">
        <v>2.13</v>
      </c>
      <c r="Z1911" s="28" t="s">
        <v>1306</v>
      </c>
      <c r="AA1911" s="28" t="s">
        <v>1306</v>
      </c>
      <c r="AB1911" s="1" t="s">
        <v>13</v>
      </c>
    </row>
    <row r="1912" spans="1:28">
      <c r="A1912" t="s">
        <v>580</v>
      </c>
      <c r="B1912" s="29" t="s">
        <v>2748</v>
      </c>
      <c r="C1912" s="26" t="s">
        <v>2749</v>
      </c>
      <c r="D1912" s="30" t="s">
        <v>2799</v>
      </c>
      <c r="E1912" t="s">
        <v>627</v>
      </c>
      <c r="F1912" s="3" t="s">
        <v>2750</v>
      </c>
      <c r="G1912" s="1">
        <v>37.4</v>
      </c>
      <c r="H1912" t="s">
        <v>2800</v>
      </c>
      <c r="I1912" t="s">
        <v>2802</v>
      </c>
      <c r="J1912" s="1">
        <v>3</v>
      </c>
      <c r="K1912" s="1">
        <v>662.30510000000004</v>
      </c>
      <c r="L1912" s="1" t="str">
        <f>HYPERLINK("http://ms.phosphosite.org:5080/cgi-bin/plot-msms.cgi?MassType=1&amp;NumAxis=1&amp;Mod3=170&amp;Mod13=170&amp;Pep=SGRGGNFGFGDSRGGGGNFGP&amp;Dta=/var/www/html/dta/yong/23612.10192.3.dta&amp;Global_Mod=CS57.0215", "10192")</f>
        <v>10192</v>
      </c>
      <c r="M1912" s="1" t="str">
        <f>HYPERLINK("http://ms.phosphosite.org:5080/cgi-bin/plot-msms.cgi?MassType=1&amp;NumAxis=1&amp;Mod3=170&amp;Mod13=170&amp;Pep=SGRGGNFGFGDSRGGGGNFGP&amp;Dta=/var/www/html/dta/yong/23613.10186.3.dta&amp;Global_Mod=CS57.0215", "10186")</f>
        <v>10186</v>
      </c>
      <c r="N1912" s="27">
        <v>44.64</v>
      </c>
      <c r="O1912" s="27">
        <v>44.42</v>
      </c>
      <c r="P1912" s="27">
        <v>2.9750000000000001</v>
      </c>
      <c r="Q1912" s="27">
        <v>3.145</v>
      </c>
      <c r="R1912" s="27">
        <v>-0.79459999999999997</v>
      </c>
      <c r="S1912" s="27">
        <v>0.1186</v>
      </c>
      <c r="T1912" s="27">
        <v>2.41E-2</v>
      </c>
      <c r="U1912" s="27">
        <v>0.31990000000000002</v>
      </c>
      <c r="V1912" s="1">
        <v>1</v>
      </c>
      <c r="W1912" s="1">
        <v>1</v>
      </c>
      <c r="X1912" s="27">
        <v>2.19</v>
      </c>
      <c r="Y1912" s="27">
        <v>3.64</v>
      </c>
      <c r="Z1912" s="28" t="s">
        <v>1306</v>
      </c>
      <c r="AA1912" s="28" t="s">
        <v>1306</v>
      </c>
      <c r="AB1912" s="1" t="s">
        <v>13</v>
      </c>
    </row>
    <row r="1913" spans="1:28">
      <c r="A1913" t="s">
        <v>580</v>
      </c>
      <c r="B1913" s="29" t="s">
        <v>2748</v>
      </c>
      <c r="C1913" s="26" t="s">
        <v>2749</v>
      </c>
      <c r="D1913" s="30" t="s">
        <v>2799</v>
      </c>
      <c r="E1913" t="s">
        <v>627</v>
      </c>
      <c r="F1913" s="3" t="s">
        <v>2750</v>
      </c>
      <c r="G1913" s="1">
        <v>37.4</v>
      </c>
      <c r="H1913" t="s">
        <v>2800</v>
      </c>
      <c r="I1913" t="s">
        <v>2802</v>
      </c>
      <c r="J1913" s="1">
        <v>3</v>
      </c>
      <c r="K1913" s="1">
        <v>662.30510000000004</v>
      </c>
      <c r="L1913" s="1" t="str">
        <f>HYPERLINK("http://ms.phosphosite.org:5080/cgi-bin/plot-msms.cgi?MassType=1&amp;NumAxis=1&amp;Mod3=170&amp;Mod13=170&amp;Pep=SGRGGNFGFGDSRGGGGNFGP&amp;Dta=/var/www/html/dta/yong/23612.10126.3.dta&amp;Global_Mod=CS57.0215", "10126")</f>
        <v>10126</v>
      </c>
      <c r="M1913" s="1"/>
      <c r="N1913" s="27">
        <v>44.41</v>
      </c>
      <c r="O1913" s="27"/>
      <c r="P1913" s="27">
        <v>3.198</v>
      </c>
      <c r="Q1913" s="27"/>
      <c r="R1913" s="27">
        <v>0.5222</v>
      </c>
      <c r="S1913" s="27"/>
      <c r="T1913" s="27">
        <v>0.37090000000000001</v>
      </c>
      <c r="U1913" s="27"/>
      <c r="V1913" s="1">
        <v>1</v>
      </c>
      <c r="W1913" s="1"/>
      <c r="X1913" s="27">
        <v>4.01</v>
      </c>
      <c r="Y1913" s="27"/>
      <c r="Z1913" s="28" t="s">
        <v>1306</v>
      </c>
      <c r="AA1913" s="28"/>
      <c r="AB1913" s="1" t="s">
        <v>13</v>
      </c>
    </row>
    <row r="1914" spans="1:28">
      <c r="A1914" t="s">
        <v>580</v>
      </c>
      <c r="B1914" s="29" t="s">
        <v>2748</v>
      </c>
      <c r="C1914" s="26" t="s">
        <v>2749</v>
      </c>
      <c r="D1914" s="30" t="s">
        <v>2799</v>
      </c>
      <c r="E1914" t="s">
        <v>627</v>
      </c>
      <c r="F1914" s="3" t="s">
        <v>2750</v>
      </c>
      <c r="G1914" s="1">
        <v>37.4</v>
      </c>
      <c r="H1914" t="s">
        <v>2800</v>
      </c>
      <c r="I1914" t="s">
        <v>2803</v>
      </c>
      <c r="J1914" s="1">
        <v>3</v>
      </c>
      <c r="K1914" s="1">
        <v>799.69539999999995</v>
      </c>
      <c r="L1914" s="1" t="str">
        <f>HYPERLINK("http://ms.phosphosite.org:5080/cgi-bin/plot-msms.cgi?MassType=1&amp;NumAxis=1&amp;Mod3=170&amp;Mod13=170&amp;Pep=SGRGGNFGFGDSRGGGGNFGPGPGSN&amp;Dta=/var/www/html/dta/yong/23612.9373.3.dta&amp;Global_Mod=CS57.0215", "9373")</f>
        <v>9373</v>
      </c>
      <c r="M1914" s="1" t="str">
        <f>HYPERLINK("http://ms.phosphosite.org:5080/cgi-bin/plot-msms.cgi?MassType=1&amp;NumAxis=1&amp;Mod3=170&amp;Mod13=170&amp;Pep=SGRGGNFGFGDSRGGGGNFGPGPGSN&amp;Dta=/var/www/html/dta/yong/23613.9427.3.dta&amp;Global_Mod=CS57.0215", "9427")</f>
        <v>9427</v>
      </c>
      <c r="N1914" s="27">
        <v>41.8</v>
      </c>
      <c r="O1914" s="27">
        <v>41.86</v>
      </c>
      <c r="P1914" s="27">
        <v>2.605</v>
      </c>
      <c r="Q1914" s="27">
        <v>2.9020000000000001</v>
      </c>
      <c r="R1914" s="27">
        <v>0.71279999999999999</v>
      </c>
      <c r="S1914" s="27">
        <v>0.79290000000000005</v>
      </c>
      <c r="T1914" s="27">
        <v>0.31719999999999998</v>
      </c>
      <c r="U1914" s="27">
        <v>0.35410000000000003</v>
      </c>
      <c r="V1914" s="1">
        <v>1</v>
      </c>
      <c r="W1914" s="1">
        <v>1</v>
      </c>
      <c r="X1914" s="27">
        <v>3.56</v>
      </c>
      <c r="Y1914" s="27">
        <v>3.7</v>
      </c>
      <c r="Z1914" s="28" t="s">
        <v>1306</v>
      </c>
      <c r="AA1914" s="28" t="s">
        <v>1306</v>
      </c>
      <c r="AB1914" s="1" t="s">
        <v>13</v>
      </c>
    </row>
    <row r="1915" spans="1:28">
      <c r="A1915" t="s">
        <v>580</v>
      </c>
      <c r="B1915" s="29" t="s">
        <v>2748</v>
      </c>
      <c r="C1915" s="26" t="s">
        <v>2749</v>
      </c>
      <c r="D1915" s="30" t="s">
        <v>2799</v>
      </c>
      <c r="E1915" t="s">
        <v>627</v>
      </c>
      <c r="F1915" s="3" t="s">
        <v>2750</v>
      </c>
      <c r="G1915" s="1">
        <v>37.4</v>
      </c>
      <c r="H1915" t="s">
        <v>2800</v>
      </c>
      <c r="I1915" t="s">
        <v>630</v>
      </c>
      <c r="J1915" s="1">
        <v>3</v>
      </c>
      <c r="K1915" s="1">
        <v>900.75189999999998</v>
      </c>
      <c r="L1915" s="1" t="str">
        <f>HYPERLINK("http://ms.phosphosite.org:5080/cgi-bin/plot-msms.cgi?MassType=1&amp;NumAxis=1&amp;Mod3=170&amp;Mod13=170&amp;Pep=SGRGGNFGFGDSRGGGGNFGPGPGSNFR&amp;Dta=/var/www/html/dta/yong/23612.10228.3.dta&amp;Global_Mod=CS57.0215", "10228")</f>
        <v>10228</v>
      </c>
      <c r="M1915" s="1" t="str">
        <f>HYPERLINK("http://ms.phosphosite.org:5080/cgi-bin/plot-msms.cgi?MassType=1&amp;NumAxis=1&amp;Mod3=170&amp;Mod13=170&amp;Pep=SGRGGNFGFGDSRGGGGNFGPGPGSNFR&amp;Dta=/var/www/html/dta/yong/23613.10292.3.dta&amp;Global_Mod=CS57.0215", "10292")</f>
        <v>10292</v>
      </c>
      <c r="N1915" s="27">
        <v>44.75</v>
      </c>
      <c r="O1915" s="27">
        <v>44.76</v>
      </c>
      <c r="P1915" s="27">
        <v>4.0890000000000004</v>
      </c>
      <c r="Q1915" s="27">
        <v>3.8239999999999998</v>
      </c>
      <c r="R1915" s="27">
        <v>0.99590000000000001</v>
      </c>
      <c r="S1915" s="27">
        <v>0.8337</v>
      </c>
      <c r="T1915" s="27">
        <v>0.39400000000000002</v>
      </c>
      <c r="U1915" s="27">
        <v>0.31819999999999998</v>
      </c>
      <c r="V1915" s="1">
        <v>1</v>
      </c>
      <c r="W1915" s="1">
        <v>1</v>
      </c>
      <c r="X1915" s="27">
        <v>4.1900000000000004</v>
      </c>
      <c r="Y1915" s="27">
        <v>3.68</v>
      </c>
      <c r="Z1915" s="28" t="s">
        <v>1306</v>
      </c>
      <c r="AA1915" s="28" t="s">
        <v>1306</v>
      </c>
      <c r="AB1915" s="1" t="s">
        <v>13</v>
      </c>
    </row>
    <row r="1916" spans="1:28">
      <c r="A1916" t="s">
        <v>580</v>
      </c>
      <c r="B1916" s="29" t="s">
        <v>2748</v>
      </c>
      <c r="C1916" s="26" t="s">
        <v>2749</v>
      </c>
      <c r="D1916" s="30" t="s">
        <v>2799</v>
      </c>
      <c r="E1916" t="s">
        <v>627</v>
      </c>
      <c r="F1916" s="3" t="s">
        <v>2750</v>
      </c>
      <c r="G1916" s="1">
        <v>37.4</v>
      </c>
      <c r="H1916" t="s">
        <v>2800</v>
      </c>
      <c r="I1916" t="s">
        <v>630</v>
      </c>
      <c r="J1916" s="1">
        <v>3</v>
      </c>
      <c r="K1916" s="1">
        <v>900.75189999999998</v>
      </c>
      <c r="L1916" s="1"/>
      <c r="M1916" s="1" t="str">
        <f>HYPERLINK("http://ms.phosphosite.org:5080/cgi-bin/plot-msms.cgi?MassType=1&amp;NumAxis=1&amp;Mod3=170&amp;Mod13=170&amp;Pep=SGRGGNFGFGDSRGGGGNFGPGPGSNFR&amp;Dta=/var/www/html/dta/yong/23613.10281.3.dta&amp;Global_Mod=CS57.0215", "10281")</f>
        <v>10281</v>
      </c>
      <c r="N1916" s="27"/>
      <c r="O1916" s="27">
        <v>44.72</v>
      </c>
      <c r="P1916" s="27"/>
      <c r="Q1916" s="27">
        <v>3.8519999999999999</v>
      </c>
      <c r="R1916" s="27"/>
      <c r="S1916" s="27">
        <v>0.84299999999999997</v>
      </c>
      <c r="T1916" s="27"/>
      <c r="U1916" s="27">
        <v>0.3034</v>
      </c>
      <c r="V1916" s="1"/>
      <c r="W1916" s="1">
        <v>1</v>
      </c>
      <c r="X1916" s="27"/>
      <c r="Y1916" s="27">
        <v>3.61</v>
      </c>
      <c r="Z1916" s="28"/>
      <c r="AA1916" s="28" t="s">
        <v>1306</v>
      </c>
      <c r="AB1916" s="1" t="s">
        <v>13</v>
      </c>
    </row>
    <row r="1917" spans="1:28">
      <c r="A1917" t="s">
        <v>580</v>
      </c>
      <c r="B1917" s="29" t="s">
        <v>2748</v>
      </c>
      <c r="C1917" s="26" t="s">
        <v>2749</v>
      </c>
      <c r="D1917" s="30" t="s">
        <v>2799</v>
      </c>
      <c r="E1917" t="s">
        <v>627</v>
      </c>
      <c r="F1917" s="3" t="s">
        <v>2750</v>
      </c>
      <c r="G1917" s="1">
        <v>37.4</v>
      </c>
      <c r="H1917" t="s">
        <v>2800</v>
      </c>
      <c r="I1917" t="s">
        <v>630</v>
      </c>
      <c r="J1917" s="1">
        <v>4</v>
      </c>
      <c r="K1917" s="1">
        <v>675.81569999999999</v>
      </c>
      <c r="L1917" s="1" t="str">
        <f>HYPERLINK("http://ms.phosphosite.org:5080/cgi-bin/plot-msms.cgi?MassType=1&amp;NumAxis=1&amp;Mod3=170&amp;Mod13=170&amp;Pep=SGRGGNFGFGDSRGGGGNFGPGPGSNFR&amp;Dta=/var/www/html/dta/yong/23612.10493.4.dta&amp;Global_Mod=CS57.0215", "10493")</f>
        <v>10493</v>
      </c>
      <c r="M1917" s="1"/>
      <c r="N1917" s="27">
        <v>45.69</v>
      </c>
      <c r="O1917" s="27"/>
      <c r="P1917" s="27">
        <v>2.3460000000000001</v>
      </c>
      <c r="Q1917" s="27"/>
      <c r="R1917" s="27">
        <v>0.49199999999999999</v>
      </c>
      <c r="S1917" s="27"/>
      <c r="T1917" s="27">
        <v>0.1179</v>
      </c>
      <c r="U1917" s="27"/>
      <c r="V1917" s="1">
        <v>57</v>
      </c>
      <c r="W1917" s="1"/>
      <c r="X1917" s="27">
        <v>2.54</v>
      </c>
      <c r="Y1917" s="27"/>
      <c r="Z1917" s="28" t="s">
        <v>1306</v>
      </c>
      <c r="AA1917" s="28"/>
      <c r="AB1917" s="1" t="s">
        <v>13</v>
      </c>
    </row>
    <row r="1918" spans="1:28">
      <c r="A1918" t="s">
        <v>580</v>
      </c>
      <c r="B1918" s="29" t="s">
        <v>2748</v>
      </c>
      <c r="C1918" s="26" t="s">
        <v>2749</v>
      </c>
      <c r="D1918" s="30" t="s">
        <v>2799</v>
      </c>
      <c r="E1918" t="s">
        <v>627</v>
      </c>
      <c r="F1918" s="3" t="s">
        <v>2750</v>
      </c>
      <c r="G1918" s="1">
        <v>37.4</v>
      </c>
      <c r="H1918" t="s">
        <v>2800</v>
      </c>
      <c r="I1918" t="s">
        <v>630</v>
      </c>
      <c r="J1918" s="1">
        <v>4</v>
      </c>
      <c r="K1918" s="1">
        <v>675.81569999999999</v>
      </c>
      <c r="L1918" s="1" t="str">
        <f>HYPERLINK("http://ms.phosphosite.org:5080/cgi-bin/plot-msms.cgi?MassType=1&amp;NumAxis=1&amp;Mod3=170&amp;Mod13=170&amp;Pep=SGRGGNFGFGDSRGGGGNFGPGPGSNFR&amp;Dta=/var/www/html/dta/yong/23612.10187.4.dta&amp;Global_Mod=CS57.0215", "10187")</f>
        <v>10187</v>
      </c>
      <c r="M1918" s="1"/>
      <c r="N1918" s="27">
        <v>44.62</v>
      </c>
      <c r="O1918" s="27"/>
      <c r="P1918" s="27">
        <v>3.0089999999999999</v>
      </c>
      <c r="Q1918" s="27"/>
      <c r="R1918" s="27">
        <v>0.33979999999999999</v>
      </c>
      <c r="S1918" s="27"/>
      <c r="T1918" s="27">
        <v>0.14480000000000001</v>
      </c>
      <c r="U1918" s="27"/>
      <c r="V1918" s="1">
        <v>3</v>
      </c>
      <c r="W1918" s="1"/>
      <c r="X1918" s="27">
        <v>2.83</v>
      </c>
      <c r="Y1918" s="27"/>
      <c r="Z1918" s="28" t="s">
        <v>1306</v>
      </c>
      <c r="AA1918" s="28"/>
      <c r="AB1918" s="1" t="s">
        <v>13</v>
      </c>
    </row>
    <row r="1919" spans="1:28">
      <c r="A1919" t="s">
        <v>580</v>
      </c>
      <c r="B1919" s="29" t="s">
        <v>2748</v>
      </c>
      <c r="C1919" s="26" t="s">
        <v>2749</v>
      </c>
      <c r="D1919" s="30" t="s">
        <v>2799</v>
      </c>
      <c r="E1919" t="s">
        <v>627</v>
      </c>
      <c r="F1919" s="3" t="s">
        <v>2750</v>
      </c>
      <c r="G1919" s="1">
        <v>37.4</v>
      </c>
      <c r="H1919" t="s">
        <v>2800</v>
      </c>
      <c r="I1919" t="s">
        <v>630</v>
      </c>
      <c r="J1919" s="1">
        <v>4</v>
      </c>
      <c r="K1919" s="1">
        <v>675.81569999999999</v>
      </c>
      <c r="L1919" s="1" t="str">
        <f>HYPERLINK("http://ms.phosphosite.org:5080/cgi-bin/plot-msms.cgi?MassType=1&amp;NumAxis=1&amp;Mod3=170&amp;Mod13=170&amp;Pep=SGRGGNFGFGDSRGGGGNFGPGPGSNFR&amp;Dta=/var/www/html/dta/yong/23612.10205.4.dta&amp;Global_Mod=CS57.0215", "10205")</f>
        <v>10205</v>
      </c>
      <c r="M1919" s="1"/>
      <c r="N1919" s="27">
        <v>44.68</v>
      </c>
      <c r="O1919" s="27"/>
      <c r="P1919" s="27">
        <v>2.5470000000000002</v>
      </c>
      <c r="Q1919" s="27"/>
      <c r="R1919" s="27">
        <v>0.34399999999999997</v>
      </c>
      <c r="S1919" s="27"/>
      <c r="T1919" s="27">
        <v>0.13389999999999999</v>
      </c>
      <c r="U1919" s="27"/>
      <c r="V1919" s="1">
        <v>5</v>
      </c>
      <c r="W1919" s="1"/>
      <c r="X1919" s="27">
        <v>2.69</v>
      </c>
      <c r="Y1919" s="27"/>
      <c r="Z1919" s="28" t="s">
        <v>1306</v>
      </c>
      <c r="AA1919" s="28"/>
      <c r="AB1919" s="1" t="s">
        <v>13</v>
      </c>
    </row>
    <row r="1920" spans="1:28">
      <c r="A1920" t="s">
        <v>580</v>
      </c>
      <c r="B1920" s="29" t="s">
        <v>2748</v>
      </c>
      <c r="C1920" s="26" t="s">
        <v>2749</v>
      </c>
      <c r="D1920" s="30" t="s">
        <v>2799</v>
      </c>
      <c r="E1920" t="s">
        <v>627</v>
      </c>
      <c r="F1920" s="3" t="s">
        <v>2750</v>
      </c>
      <c r="G1920" s="1">
        <v>37.4</v>
      </c>
      <c r="H1920" t="s">
        <v>2800</v>
      </c>
      <c r="I1920" t="s">
        <v>630</v>
      </c>
      <c r="J1920" s="1">
        <v>4</v>
      </c>
      <c r="K1920" s="1">
        <v>675.81569999999999</v>
      </c>
      <c r="L1920" s="1" t="str">
        <f>HYPERLINK("http://ms.phosphosite.org:5080/cgi-bin/plot-msms.cgi?MassType=1&amp;NumAxis=1&amp;Mod3=170&amp;Mod13=170&amp;Pep=SGRGGNFGFGDSRGGGGNFGPGPGSNFR&amp;Dta=/var/www/html/dta/yong/23612.10413.4.dta&amp;Global_Mod=CS57.0215", "10413")</f>
        <v>10413</v>
      </c>
      <c r="M1920" s="1"/>
      <c r="N1920" s="27">
        <v>45.4</v>
      </c>
      <c r="O1920" s="27"/>
      <c r="P1920" s="27">
        <v>2.6339999999999999</v>
      </c>
      <c r="Q1920" s="27"/>
      <c r="R1920" s="27">
        <v>0.27660000000000001</v>
      </c>
      <c r="S1920" s="27"/>
      <c r="T1920" s="27">
        <v>0.1206</v>
      </c>
      <c r="U1920" s="27"/>
      <c r="V1920" s="1">
        <v>10</v>
      </c>
      <c r="W1920" s="1"/>
      <c r="X1920" s="27">
        <v>2.63</v>
      </c>
      <c r="Y1920" s="27"/>
      <c r="Z1920" s="28" t="s">
        <v>1306</v>
      </c>
      <c r="AA1920" s="28"/>
      <c r="AB1920" s="1" t="s">
        <v>13</v>
      </c>
    </row>
    <row r="1921" spans="1:28">
      <c r="A1921" t="s">
        <v>580</v>
      </c>
      <c r="B1921" s="29" t="s">
        <v>2748</v>
      </c>
      <c r="C1921" s="26" t="s">
        <v>2749</v>
      </c>
      <c r="D1921" s="30" t="s">
        <v>2799</v>
      </c>
      <c r="E1921" t="s">
        <v>627</v>
      </c>
      <c r="F1921" s="3" t="s">
        <v>2750</v>
      </c>
      <c r="G1921" s="1">
        <v>37.4</v>
      </c>
      <c r="H1921" t="s">
        <v>2800</v>
      </c>
      <c r="I1921" t="s">
        <v>630</v>
      </c>
      <c r="J1921" s="1">
        <v>5</v>
      </c>
      <c r="K1921" s="1">
        <v>540.85400000000004</v>
      </c>
      <c r="L1921" s="1" t="str">
        <f>HYPERLINK("http://ms.phosphosite.org:5080/cgi-bin/plot-msms.cgi?MassType=1&amp;NumAxis=1&amp;Mod3=170&amp;Mod13=170&amp;Pep=SGRGGNFGFGDSRGGGGNFGPGPGSNFR&amp;Dta=/var/www/html/dta/yong/23612.10279.5.dta&amp;Global_Mod=CS57.0215", "10279")</f>
        <v>10279</v>
      </c>
      <c r="M1921" s="1"/>
      <c r="N1921" s="27">
        <v>44.93</v>
      </c>
      <c r="O1921" s="27"/>
      <c r="P1921" s="27">
        <v>2.62</v>
      </c>
      <c r="Q1921" s="27"/>
      <c r="R1921" s="27">
        <v>-0.28189999999999998</v>
      </c>
      <c r="S1921" s="27"/>
      <c r="T1921" s="27">
        <v>3.6299999999999999E-2</v>
      </c>
      <c r="U1921" s="27"/>
      <c r="V1921" s="1">
        <v>512</v>
      </c>
      <c r="W1921" s="1"/>
      <c r="X1921" s="27">
        <v>1.93</v>
      </c>
      <c r="Y1921" s="27"/>
      <c r="Z1921" s="28" t="s">
        <v>1306</v>
      </c>
      <c r="AA1921" s="28"/>
      <c r="AB1921" s="1" t="s">
        <v>13</v>
      </c>
    </row>
    <row r="1922" spans="1:28">
      <c r="A1922" t="s">
        <v>580</v>
      </c>
      <c r="B1922" s="29" t="s">
        <v>2748</v>
      </c>
      <c r="C1922" s="26" t="s">
        <v>2749</v>
      </c>
      <c r="D1922" s="30" t="s">
        <v>2799</v>
      </c>
      <c r="E1922" t="s">
        <v>627</v>
      </c>
      <c r="F1922" s="3" t="s">
        <v>2750</v>
      </c>
      <c r="G1922" s="1">
        <v>37.4</v>
      </c>
      <c r="H1922" t="s">
        <v>2800</v>
      </c>
      <c r="I1922" t="s">
        <v>2804</v>
      </c>
      <c r="J1922" s="1">
        <v>3</v>
      </c>
      <c r="K1922" s="1">
        <v>919.75900000000001</v>
      </c>
      <c r="L1922" s="1" t="str">
        <f>HYPERLINK("http://ms.phosphosite.org:5080/cgi-bin/plot-msms.cgi?MassType=1&amp;NumAxis=1&amp;Mod3=170&amp;Mod13=170&amp;Pep=SGRGGNFGFGDSRGGGGNFGPGPGSNFRG&amp;Dta=/var/www/html/dta/yong/23612.11937.3.dta&amp;Global_Mod=CS57.0215", "11937")</f>
        <v>11937</v>
      </c>
      <c r="M1922" s="1"/>
      <c r="N1922" s="27">
        <v>50.58</v>
      </c>
      <c r="O1922" s="27"/>
      <c r="P1922" s="27">
        <v>3.15</v>
      </c>
      <c r="Q1922" s="27"/>
      <c r="R1922" s="27">
        <v>0.84809999999999997</v>
      </c>
      <c r="S1922" s="27"/>
      <c r="T1922" s="27">
        <v>4.9299999999999997E-2</v>
      </c>
      <c r="U1922" s="27"/>
      <c r="V1922" s="1">
        <v>4</v>
      </c>
      <c r="W1922" s="1"/>
      <c r="X1922" s="27">
        <v>2.11</v>
      </c>
      <c r="Y1922" s="27"/>
      <c r="Z1922" s="28" t="s">
        <v>2805</v>
      </c>
      <c r="AA1922" s="28"/>
      <c r="AB1922" s="1" t="s">
        <v>13</v>
      </c>
    </row>
    <row r="1923" spans="1:28">
      <c r="A1923" t="s">
        <v>580</v>
      </c>
      <c r="B1923" s="29" t="s">
        <v>2748</v>
      </c>
      <c r="C1923" s="26" t="s">
        <v>2749</v>
      </c>
      <c r="D1923" s="30" t="s">
        <v>2806</v>
      </c>
      <c r="E1923" t="s">
        <v>627</v>
      </c>
      <c r="F1923" s="3" t="s">
        <v>2750</v>
      </c>
      <c r="G1923" s="1">
        <v>37.4</v>
      </c>
      <c r="H1923" t="s">
        <v>2807</v>
      </c>
      <c r="I1923" t="s">
        <v>2808</v>
      </c>
      <c r="J1923" s="1">
        <v>4</v>
      </c>
      <c r="K1923" s="1">
        <v>827.62170000000003</v>
      </c>
      <c r="L1923" s="1"/>
      <c r="M1923" s="1" t="str">
        <f>HYPERLINK("http://ms.phosphosite.org:5080/cgi-bin/plot-msms.cgi?MassType=1&amp;NumAxis=1&amp;Mod10=170&amp;Mod25=170&amp;Mod35=170&amp;Pep=GGNFGFGDSRGGGGNFGPGPGSNFRGGSDGYGSGR&amp;Dta=/var/www/html/dta/yong/23613.11068.4.dta&amp;Global_Mod=CS57.0215", "11068")</f>
        <v>11068</v>
      </c>
      <c r="N1923" s="27"/>
      <c r="O1923" s="27">
        <v>47.43</v>
      </c>
      <c r="P1923" s="27"/>
      <c r="Q1923" s="27">
        <v>3.85</v>
      </c>
      <c r="R1923" s="27"/>
      <c r="S1923" s="27">
        <v>0.7702</v>
      </c>
      <c r="T1923" s="27"/>
      <c r="U1923" s="27">
        <v>7.6899999999999996E-2</v>
      </c>
      <c r="V1923" s="1"/>
      <c r="W1923" s="1">
        <v>1</v>
      </c>
      <c r="X1923" s="27"/>
      <c r="Y1923" s="27">
        <v>2.46</v>
      </c>
      <c r="Z1923" s="28"/>
      <c r="AA1923" s="28" t="s">
        <v>1307</v>
      </c>
      <c r="AB1923" s="1" t="s">
        <v>13</v>
      </c>
    </row>
    <row r="1924" spans="1:28">
      <c r="A1924" t="s">
        <v>580</v>
      </c>
      <c r="B1924" s="29" t="s">
        <v>2748</v>
      </c>
      <c r="C1924" s="26" t="s">
        <v>2749</v>
      </c>
      <c r="D1924" s="30" t="s">
        <v>2809</v>
      </c>
      <c r="E1924" t="s">
        <v>627</v>
      </c>
      <c r="F1924" s="3" t="s">
        <v>2750</v>
      </c>
      <c r="G1924" s="1">
        <v>37.4</v>
      </c>
      <c r="H1924" t="s">
        <v>2758</v>
      </c>
      <c r="I1924" t="s">
        <v>2810</v>
      </c>
      <c r="J1924" s="1">
        <v>4</v>
      </c>
      <c r="K1924" s="1">
        <v>824.11779999999999</v>
      </c>
      <c r="L1924" s="1" t="str">
        <f>HYPERLINK("http://ms.phosphosite.org:5080/cgi-bin/plot-msms.cgi?MassType=1&amp;NumAxis=1&amp;Mod10=170&amp;Mod35=170&amp;Pep=GGNFGFGDSRGGGGNFGPGPGSNFRGGSDGYGSGR&amp;Dta=/var/www/html/dta/yong/23612.10957.4.dta&amp;Global_Mod=CS57.0215", "10957")</f>
        <v>10957</v>
      </c>
      <c r="M1924" s="1"/>
      <c r="N1924" s="27">
        <v>47.3</v>
      </c>
      <c r="O1924" s="27"/>
      <c r="P1924" s="27">
        <v>3.4649999999999999</v>
      </c>
      <c r="Q1924" s="27"/>
      <c r="R1924" s="27">
        <v>1.2614000000000001</v>
      </c>
      <c r="S1924" s="27"/>
      <c r="T1924" s="27">
        <v>7.5200000000000003E-2</v>
      </c>
      <c r="U1924" s="27"/>
      <c r="V1924" s="1">
        <v>1</v>
      </c>
      <c r="W1924" s="1"/>
      <c r="X1924" s="27">
        <v>2.46</v>
      </c>
      <c r="Y1924" s="27"/>
      <c r="Z1924" s="28" t="s">
        <v>1306</v>
      </c>
      <c r="AA1924" s="28"/>
      <c r="AB1924" s="1" t="s">
        <v>13</v>
      </c>
    </row>
    <row r="1925" spans="1:28">
      <c r="A1925" t="s">
        <v>580</v>
      </c>
      <c r="B1925" s="29" t="s">
        <v>2748</v>
      </c>
      <c r="C1925" s="26" t="s">
        <v>2749</v>
      </c>
      <c r="D1925" s="30" t="s">
        <v>2809</v>
      </c>
      <c r="E1925" t="s">
        <v>627</v>
      </c>
      <c r="F1925" s="3" t="s">
        <v>2750</v>
      </c>
      <c r="G1925" s="1">
        <v>37.4</v>
      </c>
      <c r="H1925" t="s">
        <v>2758</v>
      </c>
      <c r="I1925" t="s">
        <v>2810</v>
      </c>
      <c r="J1925" s="1">
        <v>4</v>
      </c>
      <c r="K1925" s="1">
        <v>824.11779999999999</v>
      </c>
      <c r="L1925" s="1" t="str">
        <f>HYPERLINK("http://ms.phosphosite.org:5080/cgi-bin/plot-msms.cgi?MassType=1&amp;NumAxis=1&amp;Mod10=170&amp;Mod35=170&amp;Pep=GGNFGFGDSRGGGGNFGPGPGSNFRGGSDGYGSGR&amp;Dta=/var/www/html/dta/yong/23612.10742.4.dta&amp;Global_Mod=CS57.0215", "10742")</f>
        <v>10742</v>
      </c>
      <c r="M1925" s="1"/>
      <c r="N1925" s="27">
        <v>46.59</v>
      </c>
      <c r="O1925" s="27"/>
      <c r="P1925" s="27">
        <v>3.5619999999999998</v>
      </c>
      <c r="Q1925" s="27"/>
      <c r="R1925" s="27">
        <v>0.80730000000000002</v>
      </c>
      <c r="S1925" s="27"/>
      <c r="T1925" s="27">
        <v>0.11890000000000001</v>
      </c>
      <c r="U1925" s="27"/>
      <c r="V1925" s="1">
        <v>2</v>
      </c>
      <c r="W1925" s="1"/>
      <c r="X1925" s="27">
        <v>2.72</v>
      </c>
      <c r="Y1925" s="27"/>
      <c r="Z1925" s="28" t="s">
        <v>1306</v>
      </c>
      <c r="AA1925" s="28"/>
      <c r="AB1925" s="1" t="s">
        <v>13</v>
      </c>
    </row>
    <row r="1926" spans="1:28">
      <c r="A1926" t="s">
        <v>580</v>
      </c>
      <c r="B1926" s="29" t="s">
        <v>2748</v>
      </c>
      <c r="C1926" s="26" t="s">
        <v>2749</v>
      </c>
      <c r="D1926" s="30" t="s">
        <v>2811</v>
      </c>
      <c r="E1926" t="s">
        <v>627</v>
      </c>
      <c r="F1926" s="3" t="s">
        <v>2750</v>
      </c>
      <c r="G1926" s="1">
        <v>37.4</v>
      </c>
      <c r="H1926" t="s">
        <v>2812</v>
      </c>
      <c r="I1926" t="s">
        <v>2813</v>
      </c>
      <c r="J1926" s="1">
        <v>4</v>
      </c>
      <c r="K1926" s="1">
        <v>1198.0207</v>
      </c>
      <c r="L1926" s="1"/>
      <c r="M1926" s="1" t="str">
        <f>HYPERLINK("http://ms.phosphosite.org:5080/cgi-bin/plot-msms.cgi?MassType=1&amp;NumAxis=1&amp;Mod15=170&amp;Mod25=170&amp;Mod53=170&amp;Pep=GGGGNFGPGPGSNFRGGSDGYGSGRGFGDGYNGYGGGPGGGNFGGSPGYGGGR&amp;Dta=/var/www/html/dta/yong/23613.12009.4.dta&amp;Global_Mod=CS57.0215", "12009")</f>
        <v>12009</v>
      </c>
      <c r="N1926" s="27"/>
      <c r="O1926" s="27">
        <v>50.51</v>
      </c>
      <c r="P1926" s="27"/>
      <c r="Q1926" s="27">
        <v>4.694</v>
      </c>
      <c r="R1926" s="27"/>
      <c r="S1926" s="27">
        <v>-0.38600000000000001</v>
      </c>
      <c r="T1926" s="27"/>
      <c r="U1926" s="27">
        <v>0.37459999999999999</v>
      </c>
      <c r="V1926" s="1"/>
      <c r="W1926" s="1">
        <v>1</v>
      </c>
      <c r="X1926" s="27"/>
      <c r="Y1926" s="27">
        <v>3.85</v>
      </c>
      <c r="Z1926" s="28"/>
      <c r="AA1926" s="28" t="s">
        <v>1307</v>
      </c>
      <c r="AB1926" s="1" t="s">
        <v>13</v>
      </c>
    </row>
    <row r="1927" spans="1:28">
      <c r="A1927" t="s">
        <v>580</v>
      </c>
      <c r="B1927" s="29" t="s">
        <v>2748</v>
      </c>
      <c r="C1927" s="26" t="s">
        <v>2749</v>
      </c>
      <c r="D1927" s="1">
        <v>228</v>
      </c>
      <c r="E1927" t="s">
        <v>627</v>
      </c>
      <c r="F1927" s="3" t="s">
        <v>2750</v>
      </c>
      <c r="G1927" s="1">
        <v>37.4</v>
      </c>
      <c r="H1927" t="s">
        <v>2814</v>
      </c>
      <c r="I1927" t="s">
        <v>2815</v>
      </c>
      <c r="J1927" s="1">
        <v>2</v>
      </c>
      <c r="K1927" s="1">
        <v>525.26179999999999</v>
      </c>
      <c r="L1927" s="1" t="str">
        <f>HYPERLINK("http://ms.phosphosite.org:5080/cgi-bin/plot-msms.cgi?MassType=1&amp;NumAxis=1&amp;Mod10=170&amp;Pep=FGPGPGSNFR&amp;Dta=/var/www/html/dta/yong/23612.8030.2.dta&amp;Global_Mod=CS57.0215", "8030")</f>
        <v>8030</v>
      </c>
      <c r="M1927" s="1" t="str">
        <f>HYPERLINK("http://ms.phosphosite.org:5080/cgi-bin/plot-msms.cgi?MassType=1&amp;NumAxis=1&amp;Mod10=170&amp;Pep=FGPGPGSNFR&amp;Dta=/var/www/html/dta/yong/23613.8071.2.dta&amp;Global_Mod=CS57.0215", "8071")</f>
        <v>8071</v>
      </c>
      <c r="N1927" s="27">
        <v>36.909999999999997</v>
      </c>
      <c r="O1927" s="27">
        <v>36.97</v>
      </c>
      <c r="P1927" s="27">
        <v>1.4419999999999999</v>
      </c>
      <c r="Q1927" s="27">
        <v>1.349</v>
      </c>
      <c r="R1927" s="27">
        <v>-0.53549999999999998</v>
      </c>
      <c r="S1927" s="27">
        <v>-0.74750000000000005</v>
      </c>
      <c r="T1927" s="27">
        <v>0.1017</v>
      </c>
      <c r="U1927" s="27">
        <v>0.1368</v>
      </c>
      <c r="V1927" s="1">
        <v>19</v>
      </c>
      <c r="W1927" s="1">
        <v>3</v>
      </c>
      <c r="X1927" s="27">
        <v>2.73</v>
      </c>
      <c r="Y1927" s="27">
        <v>2.79</v>
      </c>
      <c r="Z1927" s="28">
        <v>1000</v>
      </c>
      <c r="AA1927" s="28">
        <v>1000</v>
      </c>
      <c r="AB1927" s="1" t="s">
        <v>13</v>
      </c>
    </row>
    <row r="1928" spans="1:28">
      <c r="A1928" t="s">
        <v>580</v>
      </c>
      <c r="B1928" s="29" t="s">
        <v>2748</v>
      </c>
      <c r="C1928" s="26" t="s">
        <v>2749</v>
      </c>
      <c r="D1928" s="1">
        <v>228</v>
      </c>
      <c r="E1928" t="s">
        <v>627</v>
      </c>
      <c r="F1928" s="3" t="s">
        <v>2750</v>
      </c>
      <c r="G1928" s="1">
        <v>37.4</v>
      </c>
      <c r="H1928" t="s">
        <v>2814</v>
      </c>
      <c r="I1928" t="s">
        <v>2816</v>
      </c>
      <c r="J1928" s="1">
        <v>2</v>
      </c>
      <c r="K1928" s="1">
        <v>615.28650000000005</v>
      </c>
      <c r="L1928" s="1" t="str">
        <f>HYPERLINK("http://ms.phosphosite.org:5080/cgi-bin/plot-msms.cgi?MassType=1&amp;NumAxis=1&amp;Mod2=170&amp;Pep=FRGGSDGYGSGR&amp;Dta=/var/www/html/dta/yong/23612.2640.2.dta&amp;Global_Mod=CS57.0215", "2640")</f>
        <v>2640</v>
      </c>
      <c r="M1928" s="1" t="str">
        <f>HYPERLINK("http://ms.phosphosite.org:5080/cgi-bin/plot-msms.cgi?MassType=1&amp;NumAxis=1&amp;Mod2=170&amp;Pep=FRGGSDGYGSGR&amp;Dta=/var/www/html/dta/yong/23613.2681.2.dta&amp;Global_Mod=CS57.0215", "2681")</f>
        <v>2681</v>
      </c>
      <c r="N1928" s="27">
        <v>16.79</v>
      </c>
      <c r="O1928" s="27">
        <v>16.77</v>
      </c>
      <c r="P1928" s="27">
        <v>2.7509999999999999</v>
      </c>
      <c r="Q1928" s="27">
        <v>3.1019999999999999</v>
      </c>
      <c r="R1928" s="27">
        <v>0.70520000000000005</v>
      </c>
      <c r="S1928" s="27">
        <v>-0.2165</v>
      </c>
      <c r="T1928" s="27">
        <v>0.27179999999999999</v>
      </c>
      <c r="U1928" s="27">
        <v>0.29499999999999998</v>
      </c>
      <c r="V1928" s="1">
        <v>1</v>
      </c>
      <c r="W1928" s="1">
        <v>1</v>
      </c>
      <c r="X1928" s="27">
        <v>3.66</v>
      </c>
      <c r="Y1928" s="27">
        <v>3.75</v>
      </c>
      <c r="Z1928" s="28">
        <v>1000</v>
      </c>
      <c r="AA1928" s="28">
        <v>1000</v>
      </c>
      <c r="AB1928" s="1" t="s">
        <v>13</v>
      </c>
    </row>
    <row r="1929" spans="1:28">
      <c r="A1929" t="s">
        <v>580</v>
      </c>
      <c r="B1929" s="29" t="s">
        <v>2748</v>
      </c>
      <c r="C1929" s="26" t="s">
        <v>2749</v>
      </c>
      <c r="D1929" s="1">
        <v>228</v>
      </c>
      <c r="E1929" t="s">
        <v>627</v>
      </c>
      <c r="F1929" s="3" t="s">
        <v>2750</v>
      </c>
      <c r="G1929" s="1">
        <v>37.4</v>
      </c>
      <c r="H1929" t="s">
        <v>2814</v>
      </c>
      <c r="I1929" t="s">
        <v>2816</v>
      </c>
      <c r="J1929" s="1">
        <v>3</v>
      </c>
      <c r="K1929" s="1">
        <v>410.52679999999998</v>
      </c>
      <c r="L1929" s="1" t="str">
        <f>HYPERLINK("http://ms.phosphosite.org:5080/cgi-bin/plot-msms.cgi?MassType=1&amp;NumAxis=1&amp;Mod2=170&amp;Pep=FRGGSDGYGSGR&amp;Dta=/var/www/html/dta/yong/23612.2638.3.dta&amp;Global_Mod=CS57.0215", "2638")</f>
        <v>2638</v>
      </c>
      <c r="M1929" s="1" t="str">
        <f>HYPERLINK("http://ms.phosphosite.org:5080/cgi-bin/plot-msms.cgi?MassType=1&amp;NumAxis=1&amp;Mod2=170&amp;Pep=FRGGSDGYGSGR&amp;Dta=/var/www/html/dta/yong/23613.2689.3.dta&amp;Global_Mod=CS57.0215", "2689")</f>
        <v>2689</v>
      </c>
      <c r="N1929" s="27">
        <v>16.78</v>
      </c>
      <c r="O1929" s="27">
        <v>16.8</v>
      </c>
      <c r="P1929" s="27">
        <v>2.8650000000000002</v>
      </c>
      <c r="Q1929" s="27">
        <v>3.456</v>
      </c>
      <c r="R1929" s="27">
        <v>-0.32550000000000001</v>
      </c>
      <c r="S1929" s="27">
        <v>-0.38129999999999997</v>
      </c>
      <c r="T1929" s="27">
        <v>0.03</v>
      </c>
      <c r="U1929" s="27">
        <v>0.1212</v>
      </c>
      <c r="V1929" s="1">
        <v>1</v>
      </c>
      <c r="W1929" s="1">
        <v>1</v>
      </c>
      <c r="X1929" s="27">
        <v>2.52</v>
      </c>
      <c r="Y1929" s="27">
        <v>3</v>
      </c>
      <c r="Z1929" s="28">
        <v>1000</v>
      </c>
      <c r="AA1929" s="28">
        <v>1000</v>
      </c>
      <c r="AB1929" s="1" t="s">
        <v>13</v>
      </c>
    </row>
    <row r="1930" spans="1:28">
      <c r="A1930" t="s">
        <v>580</v>
      </c>
      <c r="B1930" s="29" t="s">
        <v>2748</v>
      </c>
      <c r="C1930" s="26" t="s">
        <v>2749</v>
      </c>
      <c r="D1930" s="1">
        <v>228</v>
      </c>
      <c r="E1930" t="s">
        <v>627</v>
      </c>
      <c r="F1930" s="3" t="s">
        <v>2750</v>
      </c>
      <c r="G1930" s="1">
        <v>37.4</v>
      </c>
      <c r="H1930" t="s">
        <v>2814</v>
      </c>
      <c r="I1930" t="s">
        <v>2817</v>
      </c>
      <c r="J1930" s="1">
        <v>2</v>
      </c>
      <c r="K1930" s="1">
        <v>696.32619999999997</v>
      </c>
      <c r="L1930" s="1" t="str">
        <f>HYPERLINK("http://ms.phosphosite.org:5080/cgi-bin/plot-msms.cgi?MassType=1&amp;NumAxis=1&amp;Mod15=170&amp;Pep=GGGGNFGPGPGSNFR&amp;Dta=/var/www/html/dta/yong/23612.8115.2.dta&amp;Global_Mod=CS57.0215", "8115")</f>
        <v>8115</v>
      </c>
      <c r="M1930" s="1" t="str">
        <f>HYPERLINK("http://ms.phosphosite.org:5080/cgi-bin/plot-msms.cgi?MassType=1&amp;NumAxis=1&amp;Mod15=170&amp;Pep=GGGGNFGPGPGSNFR&amp;Dta=/var/www/html/dta/yong/23613.8145.2.dta&amp;Global_Mod=CS57.0215", "8145")</f>
        <v>8145</v>
      </c>
      <c r="N1930" s="27">
        <v>37.24</v>
      </c>
      <c r="O1930" s="27">
        <v>37.270000000000003</v>
      </c>
      <c r="P1930" s="27">
        <v>2.9420000000000002</v>
      </c>
      <c r="Q1930" s="27">
        <v>2.972</v>
      </c>
      <c r="R1930" s="27">
        <v>0.46350000000000002</v>
      </c>
      <c r="S1930" s="27">
        <v>0.4289</v>
      </c>
      <c r="T1930" s="27">
        <v>0.3281</v>
      </c>
      <c r="U1930" s="27">
        <v>0.26740000000000003</v>
      </c>
      <c r="V1930" s="1">
        <v>1</v>
      </c>
      <c r="W1930" s="1">
        <v>1</v>
      </c>
      <c r="X1930" s="27">
        <v>4.1399999999999997</v>
      </c>
      <c r="Y1930" s="27">
        <v>3.77</v>
      </c>
      <c r="Z1930" s="28">
        <v>1000</v>
      </c>
      <c r="AA1930" s="28">
        <v>1000</v>
      </c>
      <c r="AB1930" s="1" t="s">
        <v>13</v>
      </c>
    </row>
    <row r="1931" spans="1:28">
      <c r="A1931" t="s">
        <v>580</v>
      </c>
      <c r="B1931" s="29" t="s">
        <v>2748</v>
      </c>
      <c r="C1931" s="26" t="s">
        <v>2749</v>
      </c>
      <c r="D1931" s="1">
        <v>228</v>
      </c>
      <c r="E1931" t="s">
        <v>627</v>
      </c>
      <c r="F1931" s="3" t="s">
        <v>2750</v>
      </c>
      <c r="G1931" s="1">
        <v>37.4</v>
      </c>
      <c r="H1931" t="s">
        <v>2814</v>
      </c>
      <c r="I1931" t="s">
        <v>2817</v>
      </c>
      <c r="J1931" s="1">
        <v>3</v>
      </c>
      <c r="K1931" s="1">
        <v>464.5532</v>
      </c>
      <c r="L1931" s="1" t="str">
        <f>HYPERLINK("http://ms.phosphosite.org:5080/cgi-bin/plot-msms.cgi?MassType=1&amp;NumAxis=1&amp;Mod15=170&amp;Pep=GGGGNFGPGPGSNFR&amp;Dta=/var/www/html/dta/yong/23612.8197.3.dta&amp;Global_Mod=CS57.0215", "8197")</f>
        <v>8197</v>
      </c>
      <c r="M1931" s="1" t="str">
        <f>HYPERLINK("http://ms.phosphosite.org:5080/cgi-bin/plot-msms.cgi?MassType=1&amp;NumAxis=1&amp;Mod15=170&amp;Pep=GGGGNFGPGPGSNFR&amp;Dta=/var/www/html/dta/yong/23613.8196.3.dta&amp;Global_Mod=CS57.0215", "8196")</f>
        <v>8196</v>
      </c>
      <c r="N1931" s="27">
        <v>37.54</v>
      </c>
      <c r="O1931" s="27">
        <v>37.46</v>
      </c>
      <c r="P1931" s="27">
        <v>2.5369999999999999</v>
      </c>
      <c r="Q1931" s="27">
        <v>2.8580000000000001</v>
      </c>
      <c r="R1931" s="27">
        <v>0.86929999999999996</v>
      </c>
      <c r="S1931" s="27">
        <v>-5.8000000000000003E-2</v>
      </c>
      <c r="T1931" s="27">
        <v>0.252</v>
      </c>
      <c r="U1931" s="27">
        <v>0.27100000000000002</v>
      </c>
      <c r="V1931" s="1">
        <v>3</v>
      </c>
      <c r="W1931" s="1">
        <v>1</v>
      </c>
      <c r="X1931" s="27">
        <v>3.72</v>
      </c>
      <c r="Y1931" s="27">
        <v>3.78</v>
      </c>
      <c r="Z1931" s="28">
        <v>1000</v>
      </c>
      <c r="AA1931" s="28">
        <v>1000</v>
      </c>
      <c r="AB1931" s="1" t="s">
        <v>13</v>
      </c>
    </row>
    <row r="1932" spans="1:28">
      <c r="A1932" t="s">
        <v>580</v>
      </c>
      <c r="B1932" s="29" t="s">
        <v>2748</v>
      </c>
      <c r="C1932" s="26" t="s">
        <v>2749</v>
      </c>
      <c r="D1932" s="1">
        <v>228</v>
      </c>
      <c r="E1932" t="s">
        <v>627</v>
      </c>
      <c r="F1932" s="3" t="s">
        <v>2750</v>
      </c>
      <c r="G1932" s="1">
        <v>37.4</v>
      </c>
      <c r="H1932" t="s">
        <v>2814</v>
      </c>
      <c r="I1932" t="s">
        <v>2818</v>
      </c>
      <c r="J1932" s="1">
        <v>2</v>
      </c>
      <c r="K1932" s="1">
        <v>854.37710000000004</v>
      </c>
      <c r="L1932" s="1"/>
      <c r="M1932" s="1" t="str">
        <f>HYPERLINK("http://ms.phosphosite.org:5080/cgi-bin/plot-msms.cgi?MassType=1&amp;NumAxis=1&amp;Mod15=170&amp;Pep=GGGGNFGPGPGSNFRGGSD&amp;Dta=/var/www/html/dta/yong/23613.7935.2.dta&amp;Global_Mod=CS57.0215", "7935")</f>
        <v>7935</v>
      </c>
      <c r="N1932" s="27"/>
      <c r="O1932" s="27">
        <v>36.520000000000003</v>
      </c>
      <c r="P1932" s="27"/>
      <c r="Q1932" s="27">
        <v>2.2530000000000001</v>
      </c>
      <c r="R1932" s="27"/>
      <c r="S1932" s="27">
        <v>0.83340000000000003</v>
      </c>
      <c r="T1932" s="27"/>
      <c r="U1932" s="27">
        <v>0.16830000000000001</v>
      </c>
      <c r="V1932" s="1"/>
      <c r="W1932" s="1">
        <v>3</v>
      </c>
      <c r="X1932" s="27"/>
      <c r="Y1932" s="27">
        <v>2.87</v>
      </c>
      <c r="Z1932" s="28"/>
      <c r="AA1932" s="28">
        <v>1000</v>
      </c>
      <c r="AB1932" s="1" t="s">
        <v>13</v>
      </c>
    </row>
    <row r="1933" spans="1:28">
      <c r="A1933" t="s">
        <v>580</v>
      </c>
      <c r="B1933" s="29" t="s">
        <v>2748</v>
      </c>
      <c r="C1933" s="26" t="s">
        <v>2749</v>
      </c>
      <c r="D1933" s="1">
        <v>228</v>
      </c>
      <c r="E1933" t="s">
        <v>627</v>
      </c>
      <c r="F1933" s="3" t="s">
        <v>2750</v>
      </c>
      <c r="G1933" s="1">
        <v>37.4</v>
      </c>
      <c r="H1933" t="s">
        <v>2814</v>
      </c>
      <c r="I1933" t="s">
        <v>2819</v>
      </c>
      <c r="J1933" s="1">
        <v>2</v>
      </c>
      <c r="K1933" s="1">
        <v>1143.0075999999999</v>
      </c>
      <c r="L1933" s="1" t="str">
        <f>HYPERLINK("http://ms.phosphosite.org:5080/cgi-bin/plot-msms.cgi?MassType=1&amp;NumAxis=1&amp;Mod15=170&amp;Pep=GGGGNFGPGPGSNFRGGSDGYGSGR&amp;Dta=/var/www/html/dta/yong/23612.7681.2.dta&amp;Global_Mod=CS57.0215", "7681")</f>
        <v>7681</v>
      </c>
      <c r="M1933" s="1" t="str">
        <f>HYPERLINK("http://ms.phosphosite.org:5080/cgi-bin/plot-msms.cgi?MassType=1&amp;NumAxis=1&amp;Mod15=170&amp;Pep=GGGGNFGPGPGSNFRGGSDGYGSGR&amp;Dta=/var/www/html/dta/yong/23613.7730.2.dta&amp;Global_Mod=CS57.0215", "7730")</f>
        <v>7730</v>
      </c>
      <c r="N1933" s="27">
        <v>35.700000000000003</v>
      </c>
      <c r="O1933" s="27">
        <v>35.76</v>
      </c>
      <c r="P1933" s="27">
        <v>2.7160000000000002</v>
      </c>
      <c r="Q1933" s="27">
        <v>2.9950000000000001</v>
      </c>
      <c r="R1933" s="27">
        <v>0.39079999999999998</v>
      </c>
      <c r="S1933" s="27">
        <v>0.25629999999999997</v>
      </c>
      <c r="T1933" s="27">
        <v>0.34039999999999998</v>
      </c>
      <c r="U1933" s="27">
        <v>0.254</v>
      </c>
      <c r="V1933" s="1">
        <v>1</v>
      </c>
      <c r="W1933" s="1">
        <v>2</v>
      </c>
      <c r="X1933" s="27">
        <v>3.86</v>
      </c>
      <c r="Y1933" s="27">
        <v>3.39</v>
      </c>
      <c r="Z1933" s="28">
        <v>1000</v>
      </c>
      <c r="AA1933" s="28">
        <v>1000</v>
      </c>
      <c r="AB1933" s="1" t="s">
        <v>13</v>
      </c>
    </row>
    <row r="1934" spans="1:28">
      <c r="A1934" t="s">
        <v>580</v>
      </c>
      <c r="B1934" s="29" t="s">
        <v>2748</v>
      </c>
      <c r="C1934" s="26" t="s">
        <v>2749</v>
      </c>
      <c r="D1934" s="1">
        <v>228</v>
      </c>
      <c r="E1934" t="s">
        <v>627</v>
      </c>
      <c r="F1934" s="3" t="s">
        <v>2750</v>
      </c>
      <c r="G1934" s="1">
        <v>37.4</v>
      </c>
      <c r="H1934" t="s">
        <v>2814</v>
      </c>
      <c r="I1934" t="s">
        <v>2819</v>
      </c>
      <c r="J1934" s="1">
        <v>2</v>
      </c>
      <c r="K1934" s="1">
        <v>1143.0075999999999</v>
      </c>
      <c r="L1934" s="1"/>
      <c r="M1934" s="1" t="str">
        <f>HYPERLINK("http://ms.phosphosite.org:5080/cgi-bin/plot-msms.cgi?MassType=1&amp;NumAxis=1&amp;Mod15=170&amp;Pep=GGGGNFGPGPGSNFRGGSDGYGSGR&amp;Dta=/var/www/html/dta/yong/23613.7735.2.dta&amp;Global_Mod=CS57.0215", "7735")</f>
        <v>7735</v>
      </c>
      <c r="N1934" s="27"/>
      <c r="O1934" s="27">
        <v>35.78</v>
      </c>
      <c r="P1934" s="27"/>
      <c r="Q1934" s="27">
        <v>3.1880000000000002</v>
      </c>
      <c r="R1934" s="27"/>
      <c r="S1934" s="27">
        <v>0.35220000000000001</v>
      </c>
      <c r="T1934" s="27"/>
      <c r="U1934" s="27">
        <v>0.35439999999999999</v>
      </c>
      <c r="V1934" s="1"/>
      <c r="W1934" s="1">
        <v>1</v>
      </c>
      <c r="X1934" s="27"/>
      <c r="Y1934" s="27">
        <v>3.93</v>
      </c>
      <c r="Z1934" s="28"/>
      <c r="AA1934" s="28">
        <v>1000</v>
      </c>
      <c r="AB1934" s="1" t="s">
        <v>13</v>
      </c>
    </row>
    <row r="1935" spans="1:28">
      <c r="A1935" t="s">
        <v>580</v>
      </c>
      <c r="B1935" s="29" t="s">
        <v>2748</v>
      </c>
      <c r="C1935" s="26" t="s">
        <v>2749</v>
      </c>
      <c r="D1935" s="1">
        <v>228</v>
      </c>
      <c r="E1935" t="s">
        <v>627</v>
      </c>
      <c r="F1935" s="3" t="s">
        <v>2750</v>
      </c>
      <c r="G1935" s="1">
        <v>37.4</v>
      </c>
      <c r="H1935" t="s">
        <v>2814</v>
      </c>
      <c r="I1935" t="s">
        <v>2819</v>
      </c>
      <c r="J1935" s="1">
        <v>3</v>
      </c>
      <c r="K1935" s="1">
        <v>762.34079999999994</v>
      </c>
      <c r="L1935" s="1" t="str">
        <f>HYPERLINK("http://ms.phosphosite.org:5080/cgi-bin/plot-msms.cgi?MassType=1&amp;NumAxis=1&amp;Mod15=170&amp;Pep=GGGGNFGPGPGSNFRGGSDGYGSGR&amp;Dta=/var/www/html/dta/yong/23612.7617.3.dta&amp;Global_Mod=CS57.0215", "7617")</f>
        <v>7617</v>
      </c>
      <c r="M1935" s="1" t="str">
        <f>HYPERLINK("http://ms.phosphosite.org:5080/cgi-bin/plot-msms.cgi?MassType=1&amp;NumAxis=1&amp;Mod15=170&amp;Pep=GGGGNFGPGPGSNFRGGSDGYGSGR&amp;Dta=/var/www/html/dta/yong/23613.7660.3.dta&amp;Global_Mod=CS57.0215", "7660")</f>
        <v>7660</v>
      </c>
      <c r="N1935" s="27">
        <v>35.46</v>
      </c>
      <c r="O1935" s="27">
        <v>35.479999999999997</v>
      </c>
      <c r="P1935" s="27">
        <v>2.8140000000000001</v>
      </c>
      <c r="Q1935" s="27">
        <v>2.6339999999999999</v>
      </c>
      <c r="R1935" s="27">
        <v>0.34260000000000002</v>
      </c>
      <c r="S1935" s="27">
        <v>0.38890000000000002</v>
      </c>
      <c r="T1935" s="27">
        <v>0.19189999999999999</v>
      </c>
      <c r="U1935" s="27">
        <v>0.14199999999999999</v>
      </c>
      <c r="V1935" s="1">
        <v>1</v>
      </c>
      <c r="W1935" s="1">
        <v>1</v>
      </c>
      <c r="X1935" s="27">
        <v>3.2</v>
      </c>
      <c r="Y1935" s="27">
        <v>2.81</v>
      </c>
      <c r="Z1935" s="28">
        <v>1000</v>
      </c>
      <c r="AA1935" s="28">
        <v>1000</v>
      </c>
      <c r="AB1935" s="1" t="s">
        <v>13</v>
      </c>
    </row>
    <row r="1936" spans="1:28">
      <c r="A1936" t="s">
        <v>580</v>
      </c>
      <c r="B1936" s="29" t="s">
        <v>2748</v>
      </c>
      <c r="C1936" s="26" t="s">
        <v>2749</v>
      </c>
      <c r="D1936" s="1">
        <v>228</v>
      </c>
      <c r="E1936" t="s">
        <v>627</v>
      </c>
      <c r="F1936" s="3" t="s">
        <v>2750</v>
      </c>
      <c r="G1936" s="1">
        <v>37.4</v>
      </c>
      <c r="H1936" t="s">
        <v>2814</v>
      </c>
      <c r="I1936" t="s">
        <v>2819</v>
      </c>
      <c r="J1936" s="1">
        <v>3</v>
      </c>
      <c r="K1936" s="1">
        <v>762.34079999999994</v>
      </c>
      <c r="L1936" s="1" t="str">
        <f>HYPERLINK("http://ms.phosphosite.org:5080/cgi-bin/plot-msms.cgi?MassType=1&amp;NumAxis=1&amp;Mod15=170&amp;Pep=GGGGNFGPGPGSNFRGGSDGYGSGR&amp;Dta=/var/www/html/dta/yong/23612.7801.3.dta&amp;Global_Mod=CS57.0215", "7801")</f>
        <v>7801</v>
      </c>
      <c r="M1936" s="1" t="str">
        <f>HYPERLINK("http://ms.phosphosite.org:5080/cgi-bin/plot-msms.cgi?MassType=1&amp;NumAxis=1&amp;Mod15=170&amp;Pep=GGGGNFGPGPGSNFRGGSDGYGSGR&amp;Dta=/var/www/html/dta/yong/23613.7839.3.dta&amp;Global_Mod=CS57.0215", "7839")</f>
        <v>7839</v>
      </c>
      <c r="N1936" s="27">
        <v>36.119999999999997</v>
      </c>
      <c r="O1936" s="27">
        <v>36.159999999999997</v>
      </c>
      <c r="P1936" s="27">
        <v>2.3919999999999999</v>
      </c>
      <c r="Q1936" s="27">
        <v>2.7109999999999999</v>
      </c>
      <c r="R1936" s="27">
        <v>0.3044</v>
      </c>
      <c r="S1936" s="27">
        <v>0.31330000000000002</v>
      </c>
      <c r="T1936" s="27">
        <v>0.10539999999999999</v>
      </c>
      <c r="U1936" s="27">
        <v>0.2525</v>
      </c>
      <c r="V1936" s="1">
        <v>1</v>
      </c>
      <c r="W1936" s="1">
        <v>1</v>
      </c>
      <c r="X1936" s="27">
        <v>2.69</v>
      </c>
      <c r="Y1936" s="27">
        <v>3.37</v>
      </c>
      <c r="Z1936" s="28">
        <v>1000</v>
      </c>
      <c r="AA1936" s="28">
        <v>1000</v>
      </c>
      <c r="AB1936" s="1" t="s">
        <v>13</v>
      </c>
    </row>
    <row r="1937" spans="1:28">
      <c r="A1937" t="s">
        <v>580</v>
      </c>
      <c r="B1937" s="29" t="s">
        <v>2748</v>
      </c>
      <c r="C1937" s="26" t="s">
        <v>2749</v>
      </c>
      <c r="D1937" s="1">
        <v>228</v>
      </c>
      <c r="E1937" t="s">
        <v>627</v>
      </c>
      <c r="F1937" s="3" t="s">
        <v>2750</v>
      </c>
      <c r="G1937" s="1">
        <v>37.4</v>
      </c>
      <c r="H1937" t="s">
        <v>2814</v>
      </c>
      <c r="I1937" t="s">
        <v>2820</v>
      </c>
      <c r="J1937" s="1">
        <v>3</v>
      </c>
      <c r="K1937" s="1">
        <v>1112.8232</v>
      </c>
      <c r="L1937" s="1"/>
      <c r="M1937" s="1" t="str">
        <f>HYPERLINK("http://ms.phosphosite.org:5080/cgi-bin/plot-msms.cgi?MassType=1&amp;NumAxis=1&amp;Mod25=170&amp;Pep=GGNFGFGDSRGGGGNFGPGPGSNFRGGSDGYGSGRG&amp;Dta=/var/www/html/dta/yong/23613.12531.3.dta&amp;Global_Mod=CS57.0215", "12531")</f>
        <v>12531</v>
      </c>
      <c r="N1937" s="27"/>
      <c r="O1937" s="27">
        <v>52.3</v>
      </c>
      <c r="P1937" s="27"/>
      <c r="Q1937" s="27">
        <v>2.6160000000000001</v>
      </c>
      <c r="R1937" s="27"/>
      <c r="S1937" s="27">
        <v>2.18E-2</v>
      </c>
      <c r="T1937" s="27"/>
      <c r="U1937" s="27">
        <v>0.1216</v>
      </c>
      <c r="V1937" s="1"/>
      <c r="W1937" s="1">
        <v>8</v>
      </c>
      <c r="X1937" s="27"/>
      <c r="Y1937" s="27">
        <v>2.17</v>
      </c>
      <c r="Z1937" s="28"/>
      <c r="AA1937" s="28">
        <v>20</v>
      </c>
      <c r="AB1937" s="1" t="s">
        <v>13</v>
      </c>
    </row>
    <row r="1938" spans="1:28">
      <c r="A1938" t="s">
        <v>580</v>
      </c>
      <c r="B1938" s="29" t="s">
        <v>2748</v>
      </c>
      <c r="C1938" s="26" t="s">
        <v>2749</v>
      </c>
      <c r="D1938" s="1">
        <v>228</v>
      </c>
      <c r="E1938" t="s">
        <v>627</v>
      </c>
      <c r="F1938" s="3" t="s">
        <v>2750</v>
      </c>
      <c r="G1938" s="1">
        <v>37.4</v>
      </c>
      <c r="H1938" t="s">
        <v>2814</v>
      </c>
      <c r="I1938" t="s">
        <v>2821</v>
      </c>
      <c r="J1938" s="1">
        <v>2</v>
      </c>
      <c r="K1938" s="1">
        <v>541.75229999999999</v>
      </c>
      <c r="L1938" s="1" t="str">
        <f>HYPERLINK("http://ms.phosphosite.org:5080/cgi-bin/plot-msms.cgi?MassType=1&amp;NumAxis=1&amp;Mod1=170&amp;Pep=RGGSDGYGSGR&amp;Dta=/var/www/html/dta/yong/23612.1100.2.dta&amp;Global_Mod=CS57.0215", "1100")</f>
        <v>1100</v>
      </c>
      <c r="M1938" s="1" t="str">
        <f>HYPERLINK("http://ms.phosphosite.org:5080/cgi-bin/plot-msms.cgi?MassType=1&amp;NumAxis=1&amp;Mod1=170&amp;Pep=RGGSDGYGSGR&amp;Dta=/var/www/html/dta/yong/23613.1108.2.dta&amp;Global_Mod=CS57.0215", "1108")</f>
        <v>1108</v>
      </c>
      <c r="N1938" s="27">
        <v>10.96</v>
      </c>
      <c r="O1938" s="27">
        <v>10.85</v>
      </c>
      <c r="P1938" s="27">
        <v>2.6139999999999999</v>
      </c>
      <c r="Q1938" s="27">
        <v>3.39</v>
      </c>
      <c r="R1938" s="27">
        <v>0.79649999999999999</v>
      </c>
      <c r="S1938" s="27">
        <v>0.63980000000000004</v>
      </c>
      <c r="T1938" s="27">
        <v>0.29909999999999998</v>
      </c>
      <c r="U1938" s="27">
        <v>0.38929999999999998</v>
      </c>
      <c r="V1938" s="1">
        <v>1</v>
      </c>
      <c r="W1938" s="1">
        <v>1</v>
      </c>
      <c r="X1938" s="27">
        <v>3.77</v>
      </c>
      <c r="Y1938" s="27">
        <v>4.3099999999999996</v>
      </c>
      <c r="Z1938" s="28">
        <v>1000</v>
      </c>
      <c r="AA1938" s="28">
        <v>1000</v>
      </c>
      <c r="AB1938" s="1" t="s">
        <v>13</v>
      </c>
    </row>
    <row r="1939" spans="1:28">
      <c r="A1939" t="s">
        <v>580</v>
      </c>
      <c r="B1939" s="29" t="s">
        <v>2748</v>
      </c>
      <c r="C1939" s="26" t="s">
        <v>2749</v>
      </c>
      <c r="D1939" s="1">
        <v>238</v>
      </c>
      <c r="E1939" t="s">
        <v>627</v>
      </c>
      <c r="F1939" s="3" t="s">
        <v>2750</v>
      </c>
      <c r="G1939" s="1">
        <v>37.4</v>
      </c>
      <c r="H1939" t="s">
        <v>2822</v>
      </c>
      <c r="I1939" t="s">
        <v>2823</v>
      </c>
      <c r="J1939" s="1">
        <v>2</v>
      </c>
      <c r="K1939" s="1">
        <v>463.70179999999999</v>
      </c>
      <c r="L1939" s="1" t="str">
        <f>HYPERLINK("http://ms.phosphosite.org:5080/cgi-bin/plot-msms.cgi?MassType=1&amp;NumAxis=1&amp;Mod10=170&amp;Pep=GGSDGYGSGR&amp;Dta=/var/www/html/dta/yong/23612.1550.2.dta&amp;Global_Mod=CS57.0215", "1550")</f>
        <v>1550</v>
      </c>
      <c r="M1939" s="1" t="str">
        <f>HYPERLINK("http://ms.phosphosite.org:5080/cgi-bin/plot-msms.cgi?MassType=1&amp;NumAxis=1&amp;Mod10=170&amp;Pep=GGSDGYGSGR&amp;Dta=/var/www/html/dta/yong/23613.1516.2.dta&amp;Global_Mod=CS57.0215", "1516")</f>
        <v>1516</v>
      </c>
      <c r="N1939" s="27">
        <v>12.7</v>
      </c>
      <c r="O1939" s="27">
        <v>12.41</v>
      </c>
      <c r="P1939" s="27">
        <v>2.9420000000000002</v>
      </c>
      <c r="Q1939" s="27">
        <v>1.82</v>
      </c>
      <c r="R1939" s="27">
        <v>-0.41249999999999998</v>
      </c>
      <c r="S1939" s="27">
        <v>0.33310000000000001</v>
      </c>
      <c r="T1939" s="27">
        <v>0.3876</v>
      </c>
      <c r="U1939" s="27">
        <v>0.37940000000000002</v>
      </c>
      <c r="V1939" s="1">
        <v>1</v>
      </c>
      <c r="W1939" s="1">
        <v>9</v>
      </c>
      <c r="X1939" s="27">
        <v>4.45</v>
      </c>
      <c r="Y1939" s="27">
        <v>4.1399999999999997</v>
      </c>
      <c r="Z1939" s="28">
        <v>1000</v>
      </c>
      <c r="AA1939" s="28">
        <v>1000</v>
      </c>
      <c r="AB1939" s="1" t="s">
        <v>13</v>
      </c>
    </row>
    <row r="1940" spans="1:28">
      <c r="A1940" t="s">
        <v>580</v>
      </c>
      <c r="B1940" s="29" t="s">
        <v>2748</v>
      </c>
      <c r="C1940" s="26" t="s">
        <v>2749</v>
      </c>
      <c r="D1940" s="1">
        <v>238</v>
      </c>
      <c r="E1940" t="s">
        <v>627</v>
      </c>
      <c r="F1940" s="3" t="s">
        <v>2750</v>
      </c>
      <c r="G1940" s="1">
        <v>37.4</v>
      </c>
      <c r="H1940" t="s">
        <v>2822</v>
      </c>
      <c r="I1940" t="s">
        <v>2823</v>
      </c>
      <c r="J1940" s="1">
        <v>2</v>
      </c>
      <c r="K1940" s="1">
        <v>463.70179999999999</v>
      </c>
      <c r="L1940" s="1"/>
      <c r="M1940" s="1" t="str">
        <f>HYPERLINK("http://ms.phosphosite.org:5080/cgi-bin/plot-msms.cgi?MassType=1&amp;NumAxis=1&amp;Mod10=170&amp;Pep=GGSDGYGSGR&amp;Dta=/var/www/html/dta/yong/23613.1716.2.dta&amp;Global_Mod=CS57.0215", "1716")</f>
        <v>1716</v>
      </c>
      <c r="N1940" s="27"/>
      <c r="O1940" s="27">
        <v>13.16</v>
      </c>
      <c r="P1940" s="27"/>
      <c r="Q1940" s="27">
        <v>2.1280000000000001</v>
      </c>
      <c r="R1940" s="27"/>
      <c r="S1940" s="27">
        <v>-0.6512</v>
      </c>
      <c r="T1940" s="27"/>
      <c r="U1940" s="27">
        <v>0.18440000000000001</v>
      </c>
      <c r="V1940" s="1"/>
      <c r="W1940" s="1">
        <v>19</v>
      </c>
      <c r="X1940" s="27"/>
      <c r="Y1940" s="27">
        <v>3.18</v>
      </c>
      <c r="Z1940" s="28"/>
      <c r="AA1940" s="28">
        <v>1000</v>
      </c>
      <c r="AB1940" s="1" t="s">
        <v>13</v>
      </c>
    </row>
    <row r="1941" spans="1:28">
      <c r="A1941" t="s">
        <v>580</v>
      </c>
      <c r="B1941" s="29" t="s">
        <v>2748</v>
      </c>
      <c r="C1941" s="26" t="s">
        <v>2749</v>
      </c>
      <c r="D1941" s="1">
        <v>238</v>
      </c>
      <c r="E1941" t="s">
        <v>627</v>
      </c>
      <c r="F1941" s="3" t="s">
        <v>2750</v>
      </c>
      <c r="G1941" s="1">
        <v>37.4</v>
      </c>
      <c r="H1941" t="s">
        <v>2822</v>
      </c>
      <c r="I1941" t="s">
        <v>2824</v>
      </c>
      <c r="J1941" s="1">
        <v>2</v>
      </c>
      <c r="K1941" s="1">
        <v>651.77089999999998</v>
      </c>
      <c r="L1941" s="1" t="str">
        <f>HYPERLINK("http://ms.phosphosite.org:5080/cgi-bin/plot-msms.cgi?MassType=1&amp;NumAxis=1&amp;Mod10=170&amp;Pep=GGSDGYGSGRGFGD&amp;Dta=/var/www/html/dta/yong/23612.5952.2.dta&amp;Global_Mod=CS57.0215", "5952")</f>
        <v>5952</v>
      </c>
      <c r="M1941" s="1"/>
      <c r="N1941" s="27">
        <v>29.39</v>
      </c>
      <c r="O1941" s="27"/>
      <c r="P1941" s="27">
        <v>3.15</v>
      </c>
      <c r="Q1941" s="27"/>
      <c r="R1941" s="27">
        <v>1.1322000000000001</v>
      </c>
      <c r="S1941" s="27"/>
      <c r="T1941" s="27">
        <v>0.56620000000000004</v>
      </c>
      <c r="U1941" s="27"/>
      <c r="V1941" s="1">
        <v>1</v>
      </c>
      <c r="W1941" s="1"/>
      <c r="X1941" s="27">
        <v>5.14</v>
      </c>
      <c r="Y1941" s="27"/>
      <c r="Z1941" s="28">
        <v>1000</v>
      </c>
      <c r="AA1941" s="28"/>
      <c r="AB1941" s="1" t="s">
        <v>13</v>
      </c>
    </row>
    <row r="1942" spans="1:28">
      <c r="A1942" t="s">
        <v>580</v>
      </c>
      <c r="B1942" s="29" t="s">
        <v>2748</v>
      </c>
      <c r="C1942" s="26" t="s">
        <v>2749</v>
      </c>
      <c r="D1942" s="1">
        <v>238</v>
      </c>
      <c r="E1942" t="s">
        <v>627</v>
      </c>
      <c r="F1942" s="3" t="s">
        <v>2750</v>
      </c>
      <c r="G1942" s="1">
        <v>37.4</v>
      </c>
      <c r="H1942" t="s">
        <v>2822</v>
      </c>
      <c r="I1942" t="s">
        <v>2825</v>
      </c>
      <c r="J1942" s="1">
        <v>2</v>
      </c>
      <c r="K1942" s="1">
        <v>928.87720000000002</v>
      </c>
      <c r="L1942" s="1" t="str">
        <f>HYPERLINK("http://ms.phosphosite.org:5080/cgi-bin/plot-msms.cgi?MassType=1&amp;NumAxis=1&amp;Mod10=170&amp;Pep=GGSDGYGSGRGFGDGYNGY&amp;Dta=/var/www/html/dta/yong/23612.9801.2.dta&amp;Global_Mod=CS57.0215", "9801")</f>
        <v>9801</v>
      </c>
      <c r="M1942" s="1" t="str">
        <f>HYPERLINK("http://ms.phosphosite.org:5080/cgi-bin/plot-msms.cgi?MassType=1&amp;NumAxis=1&amp;Mod10=170&amp;Pep=GGSDGYGSGRGFGDGYNGY&amp;Dta=/var/www/html/dta/yong/23613.9859.2.dta&amp;Global_Mod=CS57.0215", "9859")</f>
        <v>9859</v>
      </c>
      <c r="N1942" s="27">
        <v>43.29</v>
      </c>
      <c r="O1942" s="27">
        <v>43.33</v>
      </c>
      <c r="P1942" s="27">
        <v>3.7290000000000001</v>
      </c>
      <c r="Q1942" s="27">
        <v>3.6440000000000001</v>
      </c>
      <c r="R1942" s="27">
        <v>0.75819999999999999</v>
      </c>
      <c r="S1942" s="27">
        <v>0.6694</v>
      </c>
      <c r="T1942" s="27">
        <v>0.54659999999999997</v>
      </c>
      <c r="U1942" s="27">
        <v>0.39560000000000001</v>
      </c>
      <c r="V1942" s="1">
        <v>1</v>
      </c>
      <c r="W1942" s="1">
        <v>1</v>
      </c>
      <c r="X1942" s="27">
        <v>5.12</v>
      </c>
      <c r="Y1942" s="27">
        <v>4.29</v>
      </c>
      <c r="Z1942" s="28">
        <v>1000</v>
      </c>
      <c r="AA1942" s="28">
        <v>1000</v>
      </c>
      <c r="AB1942" s="1" t="s">
        <v>13</v>
      </c>
    </row>
    <row r="1943" spans="1:28">
      <c r="A1943" t="s">
        <v>580</v>
      </c>
      <c r="B1943" s="29" t="s">
        <v>2748</v>
      </c>
      <c r="C1943" s="26" t="s">
        <v>2749</v>
      </c>
      <c r="D1943" s="1">
        <v>238</v>
      </c>
      <c r="E1943" t="s">
        <v>627</v>
      </c>
      <c r="F1943" s="3" t="s">
        <v>2750</v>
      </c>
      <c r="G1943" s="1">
        <v>37.4</v>
      </c>
      <c r="H1943" t="s">
        <v>2822</v>
      </c>
      <c r="I1943" t="s">
        <v>2826</v>
      </c>
      <c r="J1943" s="1">
        <v>3</v>
      </c>
      <c r="K1943" s="1">
        <v>803.99540000000002</v>
      </c>
      <c r="L1943" s="1"/>
      <c r="M1943" s="1" t="str">
        <f>HYPERLINK("http://ms.phosphosite.org:5080/cgi-bin/plot-msms.cgi?MassType=1&amp;NumAxis=1&amp;Mod10=170&amp;Pep=GGSDGYGSGRGFGDGYNGYGGGPGGGN&amp;Dta=/var/www/html/dta/yong/23613.9132.3.dta&amp;Global_Mod=CS57.0215", "9132")</f>
        <v>9132</v>
      </c>
      <c r="N1943" s="27"/>
      <c r="O1943" s="27">
        <v>40.79</v>
      </c>
      <c r="P1943" s="27"/>
      <c r="Q1943" s="27">
        <v>3.673</v>
      </c>
      <c r="R1943" s="27"/>
      <c r="S1943" s="27">
        <v>0.2591</v>
      </c>
      <c r="T1943" s="27"/>
      <c r="U1943" s="27">
        <v>0.45240000000000002</v>
      </c>
      <c r="V1943" s="1"/>
      <c r="W1943" s="1">
        <v>1</v>
      </c>
      <c r="X1943" s="27"/>
      <c r="Y1943" s="27">
        <v>4.5199999999999996</v>
      </c>
      <c r="Z1943" s="28"/>
      <c r="AA1943" s="28">
        <v>1000</v>
      </c>
      <c r="AB1943" s="1" t="s">
        <v>13</v>
      </c>
    </row>
    <row r="1944" spans="1:28">
      <c r="A1944" t="s">
        <v>580</v>
      </c>
      <c r="B1944" s="29" t="s">
        <v>2748</v>
      </c>
      <c r="C1944" s="26" t="s">
        <v>2749</v>
      </c>
      <c r="D1944" s="1">
        <v>238</v>
      </c>
      <c r="E1944" t="s">
        <v>627</v>
      </c>
      <c r="F1944" s="3" t="s">
        <v>2750</v>
      </c>
      <c r="G1944" s="1">
        <v>37.4</v>
      </c>
      <c r="H1944" t="s">
        <v>2822</v>
      </c>
      <c r="I1944" t="s">
        <v>2827</v>
      </c>
      <c r="J1944" s="1">
        <v>3</v>
      </c>
      <c r="K1944" s="1">
        <v>1134.8108</v>
      </c>
      <c r="L1944" s="1" t="str">
        <f>HYPERLINK("http://ms.phosphosite.org:5080/cgi-bin/plot-msms.cgi?MassType=1&amp;NumAxis=1&amp;Mod10=170&amp;Pep=GGSDGYGSGRGFGDGYNGYGGGPGGGNFGGSPGYGGGR&amp;Dta=/var/www/html/dta/yong/23612.10613.3.dta&amp;Global_Mod=CS57.0215", "10613")</f>
        <v>10613</v>
      </c>
      <c r="M1944" s="1" t="str">
        <f>HYPERLINK("http://ms.phosphosite.org:5080/cgi-bin/plot-msms.cgi?MassType=1&amp;NumAxis=1&amp;Mod10=170&amp;Pep=GGSDGYGSGRGFGDGYNGYGGGPGGGNFGGSPGYGGGR&amp;Dta=/var/www/html/dta/yong/23613.10689.3.dta&amp;Global_Mod=CS57.0215", "10689")</f>
        <v>10689</v>
      </c>
      <c r="N1944" s="27">
        <v>46.13</v>
      </c>
      <c r="O1944" s="27">
        <v>46.15</v>
      </c>
      <c r="P1944" s="27">
        <v>7.2549999999999999</v>
      </c>
      <c r="Q1944" s="27">
        <v>6.5339999999999998</v>
      </c>
      <c r="R1944" s="27">
        <v>1.5403</v>
      </c>
      <c r="S1944" s="27">
        <v>1.1640999999999999</v>
      </c>
      <c r="T1944" s="27">
        <v>0.56740000000000002</v>
      </c>
      <c r="U1944" s="27">
        <v>0.53259999999999996</v>
      </c>
      <c r="V1944" s="1">
        <v>1</v>
      </c>
      <c r="W1944" s="1">
        <v>1</v>
      </c>
      <c r="X1944" s="27">
        <v>5.71</v>
      </c>
      <c r="Y1944" s="27">
        <v>5.34</v>
      </c>
      <c r="Z1944" s="28">
        <v>1000</v>
      </c>
      <c r="AA1944" s="28">
        <v>1000</v>
      </c>
      <c r="AB1944" s="1" t="s">
        <v>13</v>
      </c>
    </row>
    <row r="1945" spans="1:28">
      <c r="A1945" t="s">
        <v>580</v>
      </c>
      <c r="B1945" s="29" t="s">
        <v>2748</v>
      </c>
      <c r="C1945" s="26" t="s">
        <v>2749</v>
      </c>
      <c r="D1945" s="1">
        <v>325</v>
      </c>
      <c r="E1945" t="s">
        <v>627</v>
      </c>
      <c r="F1945" s="3" t="s">
        <v>2750</v>
      </c>
      <c r="G1945" s="1">
        <v>37.4</v>
      </c>
      <c r="H1945" t="s">
        <v>2828</v>
      </c>
      <c r="I1945" t="s">
        <v>2829</v>
      </c>
      <c r="J1945" s="1">
        <v>2</v>
      </c>
      <c r="K1945" s="1">
        <v>398.19080000000002</v>
      </c>
      <c r="L1945" s="1" t="str">
        <f>HYPERLINK("http://ms.phosphosite.org:5080/cgi-bin/plot-msms.cgi?MassType=1&amp;NumAxis=1&amp;Mod8=170&amp;Pep=SGNFGGSR&amp;Dta=/var/www/html/dta/yong/23612.2062.2.dta&amp;Global_Mod=CS57.0215", "2062")</f>
        <v>2062</v>
      </c>
      <c r="M1945" s="1" t="str">
        <f>HYPERLINK("http://ms.phosphosite.org:5080/cgi-bin/plot-msms.cgi?MassType=1&amp;NumAxis=1&amp;Mod8=170&amp;Pep=SGNFGGSR&amp;Dta=/var/www/html/dta/yong/23613.2090.2.dta&amp;Global_Mod=CS57.0215", "2090")</f>
        <v>2090</v>
      </c>
      <c r="N1945" s="27">
        <v>14.6</v>
      </c>
      <c r="O1945" s="27">
        <v>14.55</v>
      </c>
      <c r="P1945" s="27">
        <v>1.81</v>
      </c>
      <c r="Q1945" s="27">
        <v>1.881</v>
      </c>
      <c r="R1945" s="27">
        <v>0.4415</v>
      </c>
      <c r="S1945" s="27">
        <v>0.15679999999999999</v>
      </c>
      <c r="T1945" s="27">
        <v>3.7100000000000001E-2</v>
      </c>
      <c r="U1945" s="27">
        <v>0.15479999999999999</v>
      </c>
      <c r="V1945" s="1">
        <v>41</v>
      </c>
      <c r="W1945" s="1">
        <v>3</v>
      </c>
      <c r="X1945" s="27">
        <v>2.54</v>
      </c>
      <c r="Y1945" s="27">
        <v>3.06</v>
      </c>
      <c r="Z1945" s="28">
        <v>1000</v>
      </c>
      <c r="AA1945" s="28">
        <v>1000</v>
      </c>
      <c r="AB1945" s="1" t="s">
        <v>13</v>
      </c>
    </row>
    <row r="1946" spans="1:28">
      <c r="A1946" t="s">
        <v>580</v>
      </c>
      <c r="B1946" s="29" t="s">
        <v>2830</v>
      </c>
      <c r="C1946" s="26" t="s">
        <v>2831</v>
      </c>
      <c r="D1946" s="1">
        <v>226</v>
      </c>
      <c r="E1946" t="s">
        <v>631</v>
      </c>
      <c r="F1946" s="3" t="s">
        <v>2832</v>
      </c>
      <c r="G1946" s="1">
        <v>39.6</v>
      </c>
      <c r="H1946" t="s">
        <v>2833</v>
      </c>
      <c r="I1946" t="s">
        <v>2834</v>
      </c>
      <c r="J1946" s="1">
        <v>2</v>
      </c>
      <c r="K1946" s="1">
        <v>485.214</v>
      </c>
      <c r="L1946" s="1" t="str">
        <f>HYPERLINK("http://ms.phosphosite.org:5080/cgi-bin/plot-msms.cgi?MassType=1&amp;NumAxis=1&amp;Mod8=147&amp;Mod10=170&amp;Pep=GGGSGNFMGR&amp;Dta=/var/www/html/dta/yong/23612.2558.2.dta&amp;Global_Mod=CS57.0215", "2558")</f>
        <v>2558</v>
      </c>
      <c r="M1946" s="1"/>
      <c r="N1946" s="27">
        <v>16.5</v>
      </c>
      <c r="O1946" s="27"/>
      <c r="P1946" s="27">
        <v>2.0819999999999999</v>
      </c>
      <c r="Q1946" s="27"/>
      <c r="R1946" s="27">
        <v>0.55010000000000003</v>
      </c>
      <c r="S1946" s="27"/>
      <c r="T1946" s="27">
        <v>0.30590000000000001</v>
      </c>
      <c r="U1946" s="27"/>
      <c r="V1946" s="1">
        <v>1</v>
      </c>
      <c r="W1946" s="1"/>
      <c r="X1946" s="27">
        <v>2.12</v>
      </c>
      <c r="Y1946" s="27"/>
      <c r="Z1946" s="28">
        <v>1000</v>
      </c>
      <c r="AA1946" s="28"/>
      <c r="AB1946" s="1" t="s">
        <v>13</v>
      </c>
    </row>
    <row r="1947" spans="1:28">
      <c r="A1947" t="s">
        <v>580</v>
      </c>
      <c r="B1947" s="29" t="s">
        <v>2830</v>
      </c>
      <c r="C1947" s="26" t="s">
        <v>2831</v>
      </c>
      <c r="D1947" s="1">
        <v>226</v>
      </c>
      <c r="E1947" t="s">
        <v>631</v>
      </c>
      <c r="F1947" s="3" t="s">
        <v>2832</v>
      </c>
      <c r="G1947" s="1">
        <v>39.6</v>
      </c>
      <c r="H1947" t="s">
        <v>2833</v>
      </c>
      <c r="I1947" t="s">
        <v>2835</v>
      </c>
      <c r="J1947" s="1">
        <v>3</v>
      </c>
      <c r="K1947" s="1">
        <v>701.9769</v>
      </c>
      <c r="L1947" s="1" t="str">
        <f>HYPERLINK("http://ms.phosphosite.org:5080/cgi-bin/plot-msms.cgi?MassType=1&amp;NumAxis=1&amp;Mod8=147&amp;Mod10=170&amp;Pep=GGGSGNFMGRGGNFGGGGGNFGR&amp;Dta=/var/www/html/dta/yong/23612.7319.3.dta&amp;Global_Mod=CS57.0215", "7319")</f>
        <v>7319</v>
      </c>
      <c r="M1947" s="1" t="str">
        <f>HYPERLINK("http://ms.phosphosite.org:5080/cgi-bin/plot-msms.cgi?MassType=1&amp;NumAxis=1&amp;Mod8=147&amp;Mod10=170&amp;Pep=GGGSGNFMGRGGNFGGGGGNFGR&amp;Dta=/var/www/html/dta/yong/23613.7381.3.dta&amp;Global_Mod=CS57.0215", "7381")</f>
        <v>7381</v>
      </c>
      <c r="N1947" s="27">
        <v>34.42</v>
      </c>
      <c r="O1947" s="27">
        <v>34.49</v>
      </c>
      <c r="P1947" s="27">
        <v>2.8410000000000002</v>
      </c>
      <c r="Q1947" s="27">
        <v>2.9420000000000002</v>
      </c>
      <c r="R1947" s="27">
        <v>1.1555</v>
      </c>
      <c r="S1947" s="27">
        <v>0.68010000000000004</v>
      </c>
      <c r="T1947" s="27">
        <v>0.27679999999999999</v>
      </c>
      <c r="U1947" s="27">
        <v>0.17780000000000001</v>
      </c>
      <c r="V1947" s="1">
        <v>1</v>
      </c>
      <c r="W1947" s="1">
        <v>1</v>
      </c>
      <c r="X1947" s="27">
        <v>1.81</v>
      </c>
      <c r="Y1947" s="27">
        <v>1.37</v>
      </c>
      <c r="Z1947" s="28">
        <v>1000</v>
      </c>
      <c r="AA1947" s="28">
        <v>1000</v>
      </c>
      <c r="AB1947" s="1" t="s">
        <v>13</v>
      </c>
    </row>
    <row r="1948" spans="1:28">
      <c r="A1948" t="s">
        <v>580</v>
      </c>
      <c r="B1948" s="29" t="s">
        <v>2830</v>
      </c>
      <c r="C1948" s="26" t="s">
        <v>2831</v>
      </c>
      <c r="D1948" s="1">
        <v>286</v>
      </c>
      <c r="E1948" t="s">
        <v>631</v>
      </c>
      <c r="F1948" s="3" t="s">
        <v>2832</v>
      </c>
      <c r="G1948" s="1">
        <v>39.6</v>
      </c>
      <c r="H1948" t="s">
        <v>2836</v>
      </c>
      <c r="I1948" t="s">
        <v>2837</v>
      </c>
      <c r="J1948" s="1">
        <v>2</v>
      </c>
      <c r="K1948" s="1">
        <v>838.35839999999996</v>
      </c>
      <c r="L1948" s="1" t="str">
        <f>HYPERLINK("http://ms.phosphosite.org:5080/cgi-bin/plot-msms.cgi?MassType=1&amp;NumAxis=1&amp;Mod18=170&amp;Pep=GFGGDGGNYGGGPGYSSR&amp;Dta=/var/www/html/dta/yong/23612.7272.2.dta&amp;Global_Mod=CS57.0215", "7272")</f>
        <v>7272</v>
      </c>
      <c r="M1948" s="1" t="str">
        <f>HYPERLINK("http://ms.phosphosite.org:5080/cgi-bin/plot-msms.cgi?MassType=1&amp;NumAxis=1&amp;Mod18=170&amp;Pep=GFGGDGGNYGGGPGYSSR&amp;Dta=/var/www/html/dta/yong/23613.7329.2.dta&amp;Global_Mod=CS57.0215", "7329")</f>
        <v>7329</v>
      </c>
      <c r="N1948" s="27">
        <v>34.24</v>
      </c>
      <c r="O1948" s="27">
        <v>34.299999999999997</v>
      </c>
      <c r="P1948" s="27">
        <v>5.2140000000000004</v>
      </c>
      <c r="Q1948" s="27">
        <v>4.7629999999999999</v>
      </c>
      <c r="R1948" s="27">
        <v>1.1220000000000001</v>
      </c>
      <c r="S1948" s="27">
        <v>0.89580000000000004</v>
      </c>
      <c r="T1948" s="27">
        <v>0.54379999999999995</v>
      </c>
      <c r="U1948" s="27">
        <v>0.48049999999999998</v>
      </c>
      <c r="V1948" s="1">
        <v>1</v>
      </c>
      <c r="W1948" s="1">
        <v>1</v>
      </c>
      <c r="X1948" s="27">
        <v>3.78</v>
      </c>
      <c r="Y1948" s="27">
        <v>3.43</v>
      </c>
      <c r="Z1948" s="28">
        <v>1000</v>
      </c>
      <c r="AA1948" s="28">
        <v>1000</v>
      </c>
      <c r="AB1948" s="1" t="s">
        <v>13</v>
      </c>
    </row>
    <row r="1949" spans="1:28">
      <c r="A1949" t="s">
        <v>580</v>
      </c>
      <c r="B1949" s="29" t="s">
        <v>2830</v>
      </c>
      <c r="C1949" s="26" t="s">
        <v>2831</v>
      </c>
      <c r="D1949" s="1">
        <v>286</v>
      </c>
      <c r="E1949" t="s">
        <v>631</v>
      </c>
      <c r="F1949" s="3" t="s">
        <v>2832</v>
      </c>
      <c r="G1949" s="1">
        <v>39.6</v>
      </c>
      <c r="H1949" t="s">
        <v>2836</v>
      </c>
      <c r="I1949" t="s">
        <v>2838</v>
      </c>
      <c r="J1949" s="1">
        <v>2</v>
      </c>
      <c r="K1949" s="1">
        <v>736.31349999999998</v>
      </c>
      <c r="L1949" s="1" t="str">
        <f>HYPERLINK("http://ms.phosphosite.org:5080/cgi-bin/plot-msms.cgi?MassType=1&amp;NumAxis=1&amp;Mod16=170&amp;Pep=GGDGGNYGGGPGYSSR&amp;Dta=/var/www/html/dta/yong/23612.4195.2.dta&amp;Global_Mod=CS57.0215", "4195")</f>
        <v>4195</v>
      </c>
      <c r="M1949" s="1" t="str">
        <f>HYPERLINK("http://ms.phosphosite.org:5080/cgi-bin/plot-msms.cgi?MassType=1&amp;NumAxis=1&amp;Mod16=170&amp;Pep=GGDGGNYGGGPGYSSR&amp;Dta=/var/www/html/dta/yong/23613.4244.2.dta&amp;Global_Mod=CS57.0215", "4244")</f>
        <v>4244</v>
      </c>
      <c r="N1949" s="27">
        <v>22.72</v>
      </c>
      <c r="O1949" s="27">
        <v>22.7</v>
      </c>
      <c r="P1949" s="27">
        <v>4.2210000000000001</v>
      </c>
      <c r="Q1949" s="27">
        <v>3.9369999999999998</v>
      </c>
      <c r="R1949" s="27">
        <v>1.2143999999999999</v>
      </c>
      <c r="S1949" s="27">
        <v>1.1392</v>
      </c>
      <c r="T1949" s="27">
        <v>0.43090000000000001</v>
      </c>
      <c r="U1949" s="27">
        <v>0.48099999999999998</v>
      </c>
      <c r="V1949" s="1">
        <v>1</v>
      </c>
      <c r="W1949" s="1">
        <v>1</v>
      </c>
      <c r="X1949" s="27">
        <v>3.05</v>
      </c>
      <c r="Y1949" s="27">
        <v>3.28</v>
      </c>
      <c r="Z1949" s="28">
        <v>1000</v>
      </c>
      <c r="AA1949" s="28">
        <v>1000</v>
      </c>
      <c r="AB1949" s="1" t="s">
        <v>13</v>
      </c>
    </row>
    <row r="1950" spans="1:28">
      <c r="A1950" t="s">
        <v>580</v>
      </c>
      <c r="B1950" s="29" t="s">
        <v>2830</v>
      </c>
      <c r="C1950" s="26" t="s">
        <v>2831</v>
      </c>
      <c r="D1950" s="1">
        <v>286</v>
      </c>
      <c r="E1950" t="s">
        <v>631</v>
      </c>
      <c r="F1950" s="3" t="s">
        <v>2832</v>
      </c>
      <c r="G1950" s="1">
        <v>39.6</v>
      </c>
      <c r="H1950" t="s">
        <v>2836</v>
      </c>
      <c r="I1950" t="s">
        <v>2839</v>
      </c>
      <c r="J1950" s="1">
        <v>2</v>
      </c>
      <c r="K1950" s="1">
        <v>621.77850000000001</v>
      </c>
      <c r="L1950" s="1" t="str">
        <f>HYPERLINK("http://ms.phosphosite.org:5080/cgi-bin/plot-msms.cgi?MassType=1&amp;NumAxis=1&amp;Mod13=170&amp;Pep=GGNYGGGPGYSSR&amp;Dta=/var/www/html/dta/yong/23612.3865.2.dta&amp;Global_Mod=CS57.0215", "3865")</f>
        <v>3865</v>
      </c>
      <c r="M1950" s="1"/>
      <c r="N1950" s="27">
        <v>21.46</v>
      </c>
      <c r="O1950" s="27"/>
      <c r="P1950" s="27">
        <v>2.673</v>
      </c>
      <c r="Q1950" s="27"/>
      <c r="R1950" s="27">
        <v>0.96319999999999995</v>
      </c>
      <c r="S1950" s="27"/>
      <c r="T1950" s="27">
        <v>0.32550000000000001</v>
      </c>
      <c r="U1950" s="27"/>
      <c r="V1950" s="1">
        <v>2</v>
      </c>
      <c r="W1950" s="1"/>
      <c r="X1950" s="27">
        <v>2.27</v>
      </c>
      <c r="Y1950" s="27"/>
      <c r="Z1950" s="28">
        <v>1000</v>
      </c>
      <c r="AA1950" s="28"/>
      <c r="AB1950" s="1" t="s">
        <v>13</v>
      </c>
    </row>
    <row r="1951" spans="1:28">
      <c r="A1951" t="s">
        <v>580</v>
      </c>
      <c r="B1951" s="29" t="s">
        <v>2830</v>
      </c>
      <c r="C1951" s="26" t="s">
        <v>2831</v>
      </c>
      <c r="D1951" s="1">
        <v>286</v>
      </c>
      <c r="E1951" t="s">
        <v>631</v>
      </c>
      <c r="F1951" s="3" t="s">
        <v>2832</v>
      </c>
      <c r="G1951" s="1">
        <v>39.6</v>
      </c>
      <c r="H1951" t="s">
        <v>2836</v>
      </c>
      <c r="I1951" t="s">
        <v>638</v>
      </c>
      <c r="J1951" s="1">
        <v>2</v>
      </c>
      <c r="K1951" s="1">
        <v>1330.5371</v>
      </c>
      <c r="L1951" s="1" t="str">
        <f>HYPERLINK("http://ms.phosphosite.org:5080/cgi-bin/plot-msms.cgi?MassType=1&amp;NumAxis=1&amp;Mod29=170&amp;Pep=GSYGGGDGGYNGFGGDGGNYGGGPGYSSR&amp;Dta=/var/www/html/dta/yong/23612.9851.2.dta&amp;Global_Mod=CS57.0215", "9851")</f>
        <v>9851</v>
      </c>
      <c r="M1951" s="1" t="str">
        <f>HYPERLINK("http://ms.phosphosite.org:5080/cgi-bin/plot-msms.cgi?MassType=1&amp;NumAxis=1&amp;Mod29=170&amp;Pep=GSYGGGDGGYNGFGGDGGNYGGGPGYSSR&amp;Dta=/var/www/html/dta/yong/23613.9909.2.dta&amp;Global_Mod=CS57.0215", "9909")</f>
        <v>9909</v>
      </c>
      <c r="N1951" s="27">
        <v>43.45</v>
      </c>
      <c r="O1951" s="27">
        <v>43.48</v>
      </c>
      <c r="P1951" s="27">
        <v>5.6349999999999998</v>
      </c>
      <c r="Q1951" s="27">
        <v>5.931</v>
      </c>
      <c r="R1951" s="27">
        <v>0.96089999999999998</v>
      </c>
      <c r="S1951" s="27">
        <v>0.85389999999999999</v>
      </c>
      <c r="T1951" s="27">
        <v>0.64790000000000003</v>
      </c>
      <c r="U1951" s="27">
        <v>0.65259999999999996</v>
      </c>
      <c r="V1951" s="1">
        <v>1</v>
      </c>
      <c r="W1951" s="1">
        <v>1</v>
      </c>
      <c r="X1951" s="27">
        <v>4.26</v>
      </c>
      <c r="Y1951" s="27">
        <v>4.3899999999999997</v>
      </c>
      <c r="Z1951" s="28">
        <v>1000</v>
      </c>
      <c r="AA1951" s="28">
        <v>1000</v>
      </c>
      <c r="AB1951" s="1" t="s">
        <v>13</v>
      </c>
    </row>
    <row r="1952" spans="1:28">
      <c r="A1952" t="s">
        <v>580</v>
      </c>
      <c r="B1952" s="29" t="s">
        <v>2830</v>
      </c>
      <c r="C1952" s="26" t="s">
        <v>2831</v>
      </c>
      <c r="D1952" s="1">
        <v>286</v>
      </c>
      <c r="E1952" t="s">
        <v>631</v>
      </c>
      <c r="F1952" s="3" t="s">
        <v>2832</v>
      </c>
      <c r="G1952" s="1">
        <v>39.6</v>
      </c>
      <c r="H1952" t="s">
        <v>2836</v>
      </c>
      <c r="I1952" t="s">
        <v>638</v>
      </c>
      <c r="J1952" s="1">
        <v>3</v>
      </c>
      <c r="K1952" s="1">
        <v>887.3605</v>
      </c>
      <c r="L1952" s="1" t="str">
        <f>HYPERLINK("http://ms.phosphosite.org:5080/cgi-bin/plot-msms.cgi?MassType=1&amp;NumAxis=1&amp;Mod29=170&amp;Pep=GSYGGGDGGYNGFGGDGGNYGGGPGYSSR&amp;Dta=/var/www/html/dta/yong/23612.9848.3.dta&amp;Global_Mod=CS57.0215", "9848")</f>
        <v>9848</v>
      </c>
      <c r="M1952" s="1" t="str">
        <f>HYPERLINK("http://ms.phosphosite.org:5080/cgi-bin/plot-msms.cgi?MassType=1&amp;NumAxis=1&amp;Mod29=170&amp;Pep=GSYGGGDGGYNGFGGDGGNYGGGPGYSSR&amp;Dta=/var/www/html/dta/yong/23613.9907.3.dta&amp;Global_Mod=CS57.0215", "9907")</f>
        <v>9907</v>
      </c>
      <c r="N1952" s="27">
        <v>43.44</v>
      </c>
      <c r="O1952" s="27">
        <v>43.48</v>
      </c>
      <c r="P1952" s="27">
        <v>6.5419999999999998</v>
      </c>
      <c r="Q1952" s="27">
        <v>7.7160000000000002</v>
      </c>
      <c r="R1952" s="27">
        <v>0.64429999999999998</v>
      </c>
      <c r="S1952" s="27">
        <v>0.69010000000000005</v>
      </c>
      <c r="T1952" s="27">
        <v>0.54449999999999998</v>
      </c>
      <c r="U1952" s="27">
        <v>0.58530000000000004</v>
      </c>
      <c r="V1952" s="1">
        <v>1</v>
      </c>
      <c r="W1952" s="1">
        <v>1</v>
      </c>
      <c r="X1952" s="27">
        <v>4</v>
      </c>
      <c r="Y1952" s="27">
        <v>4.47</v>
      </c>
      <c r="Z1952" s="28">
        <v>1000</v>
      </c>
      <c r="AA1952" s="28">
        <v>1000</v>
      </c>
      <c r="AB1952" s="1" t="s">
        <v>13</v>
      </c>
    </row>
    <row r="1953" spans="1:28">
      <c r="A1953" t="s">
        <v>580</v>
      </c>
      <c r="B1953" s="29" t="s">
        <v>2830</v>
      </c>
      <c r="C1953" s="26" t="s">
        <v>2831</v>
      </c>
      <c r="D1953" s="1">
        <v>214</v>
      </c>
      <c r="E1953" t="s">
        <v>631</v>
      </c>
      <c r="F1953" s="3" t="s">
        <v>2832</v>
      </c>
      <c r="G1953" s="1">
        <v>39.6</v>
      </c>
      <c r="H1953" t="s">
        <v>2840</v>
      </c>
      <c r="I1953" t="s">
        <v>2841</v>
      </c>
      <c r="J1953" s="1">
        <v>2</v>
      </c>
      <c r="K1953" s="1">
        <v>568.26170000000002</v>
      </c>
      <c r="L1953" s="1" t="str">
        <f>HYPERLINK("http://ms.phosphosite.org:5080/cgi-bin/plot-msms.cgi?MassType=1&amp;NumAxis=1&amp;Mod10=170&amp;Pep=QEMQSAGSQR&amp;Dta=/var/www/html/dta/yong/23612.1699.2.dta&amp;Global_Mod=CS57.0215", "1699")</f>
        <v>1699</v>
      </c>
      <c r="M1953" s="1" t="str">
        <f>HYPERLINK("http://ms.phosphosite.org:5080/cgi-bin/plot-msms.cgi?MassType=1&amp;NumAxis=1&amp;Mod10=170&amp;Pep=QEMQSAGSQR&amp;Dta=/var/www/html/dta/yong/23613.1702.2.dta&amp;Global_Mod=CS57.0215", "1702")</f>
        <v>1702</v>
      </c>
      <c r="N1953" s="27">
        <v>13.25</v>
      </c>
      <c r="O1953" s="27">
        <v>13.11</v>
      </c>
      <c r="P1953" s="27">
        <v>2.0019999999999998</v>
      </c>
      <c r="Q1953" s="27">
        <v>2.4470000000000001</v>
      </c>
      <c r="R1953" s="27">
        <v>0.87749999999999995</v>
      </c>
      <c r="S1953" s="27">
        <v>0.31519999999999998</v>
      </c>
      <c r="T1953" s="27">
        <v>0.1812</v>
      </c>
      <c r="U1953" s="27">
        <v>0.22070000000000001</v>
      </c>
      <c r="V1953" s="1">
        <v>6</v>
      </c>
      <c r="W1953" s="1">
        <v>1</v>
      </c>
      <c r="X1953" s="27">
        <v>1.47</v>
      </c>
      <c r="Y1953" s="27">
        <v>1.8</v>
      </c>
      <c r="Z1953" s="28">
        <v>1000</v>
      </c>
      <c r="AA1953" s="28">
        <v>1000</v>
      </c>
      <c r="AB1953" s="1" t="s">
        <v>13</v>
      </c>
    </row>
    <row r="1954" spans="1:28">
      <c r="A1954" t="s">
        <v>580</v>
      </c>
      <c r="B1954" s="29" t="s">
        <v>2830</v>
      </c>
      <c r="C1954" s="26" t="s">
        <v>2831</v>
      </c>
      <c r="D1954" s="30" t="s">
        <v>2842</v>
      </c>
      <c r="E1954" t="s">
        <v>631</v>
      </c>
      <c r="F1954" s="3" t="s">
        <v>2832</v>
      </c>
      <c r="G1954" s="1">
        <v>39.6</v>
      </c>
      <c r="H1954" t="s">
        <v>632</v>
      </c>
      <c r="I1954" t="s">
        <v>2843</v>
      </c>
      <c r="J1954" s="1">
        <v>3</v>
      </c>
      <c r="K1954" s="1">
        <v>935.42380000000003</v>
      </c>
      <c r="L1954" s="1"/>
      <c r="M1954" s="1" t="str">
        <f>HYPERLINK("http://ms.phosphosite.org:5080/cgi-bin/plot-msms.cgi?MassType=1&amp;NumAxis=1&amp;Mod10=170&amp;Mod30=170&amp;Pep=GGGSGNFMGRGGNFGGGGGNFGRGGNFGGRG&amp;Dta=/var/www/html/dta/yong/23613.10573.3.dta&amp;Global_Mod=CS57.0215", "10573")</f>
        <v>10573</v>
      </c>
      <c r="N1954" s="27"/>
      <c r="O1954" s="27">
        <v>45.72</v>
      </c>
      <c r="P1954" s="27"/>
      <c r="Q1954" s="27">
        <v>2.88</v>
      </c>
      <c r="R1954" s="27"/>
      <c r="S1954" s="27">
        <v>3.0861999999999998</v>
      </c>
      <c r="T1954" s="27"/>
      <c r="U1954" s="27">
        <v>0.20039999999999999</v>
      </c>
      <c r="V1954" s="1"/>
      <c r="W1954" s="1">
        <v>1</v>
      </c>
      <c r="X1954" s="27"/>
      <c r="Y1954" s="27">
        <v>0.87</v>
      </c>
      <c r="Z1954" s="28"/>
      <c r="AA1954" s="28" t="s">
        <v>2844</v>
      </c>
      <c r="AB1954" s="1" t="s">
        <v>13</v>
      </c>
    </row>
    <row r="1955" spans="1:28">
      <c r="A1955" t="s">
        <v>580</v>
      </c>
      <c r="B1955" s="29" t="s">
        <v>2830</v>
      </c>
      <c r="C1955" s="26" t="s">
        <v>2831</v>
      </c>
      <c r="D1955" s="1">
        <v>246</v>
      </c>
      <c r="E1955" t="s">
        <v>631</v>
      </c>
      <c r="F1955" s="3" t="s">
        <v>2832</v>
      </c>
      <c r="G1955" s="1">
        <v>39.6</v>
      </c>
      <c r="H1955" t="s">
        <v>635</v>
      </c>
      <c r="I1955" t="s">
        <v>2845</v>
      </c>
      <c r="J1955" s="1">
        <v>3</v>
      </c>
      <c r="K1955" s="1">
        <v>438.20960000000002</v>
      </c>
      <c r="L1955" s="1"/>
      <c r="M1955" s="1" t="str">
        <f>HYPERLINK("http://ms.phosphosite.org:5080/cgi-bin/plot-msms.cgi?MassType=1&amp;NumAxis=1&amp;Mod4=170&amp;Pep=FGGRGGYGGGGGGSR&amp;Dta=/var/www/html/dta/yong/23613.2822.3.dta&amp;Global_Mod=CS57.0215", "2822")</f>
        <v>2822</v>
      </c>
      <c r="N1955" s="27"/>
      <c r="O1955" s="27">
        <v>17.309999999999999</v>
      </c>
      <c r="P1955" s="27"/>
      <c r="Q1955" s="27">
        <v>3.4</v>
      </c>
      <c r="R1955" s="27"/>
      <c r="S1955" s="27">
        <v>1.1154999999999999</v>
      </c>
      <c r="T1955" s="27"/>
      <c r="U1955" s="27">
        <v>0.16880000000000001</v>
      </c>
      <c r="V1955" s="1"/>
      <c r="W1955" s="1">
        <v>1</v>
      </c>
      <c r="X1955" s="27"/>
      <c r="Y1955" s="27">
        <v>1.5</v>
      </c>
      <c r="Z1955" s="28"/>
      <c r="AA1955" s="28">
        <v>1000</v>
      </c>
      <c r="AB1955" s="1" t="s">
        <v>13</v>
      </c>
    </row>
    <row r="1956" spans="1:28">
      <c r="A1956" t="s">
        <v>580</v>
      </c>
      <c r="B1956" s="29" t="s">
        <v>2830</v>
      </c>
      <c r="C1956" s="26" t="s">
        <v>2831</v>
      </c>
      <c r="D1956" s="1">
        <v>246</v>
      </c>
      <c r="E1956" t="s">
        <v>631</v>
      </c>
      <c r="F1956" s="3" t="s">
        <v>2832</v>
      </c>
      <c r="G1956" s="1">
        <v>39.6</v>
      </c>
      <c r="H1956" t="s">
        <v>635</v>
      </c>
      <c r="I1956" t="s">
        <v>2846</v>
      </c>
      <c r="J1956" s="1">
        <v>3</v>
      </c>
      <c r="K1956" s="1">
        <v>514.23820000000001</v>
      </c>
      <c r="L1956" s="1"/>
      <c r="M1956" s="1" t="str">
        <f>HYPERLINK("http://ms.phosphosite.org:5080/cgi-bin/plot-msms.cgi?MassType=1&amp;NumAxis=1&amp;Mod7=170&amp;Pep=GGNFGGRGGYGGGGGGSR&amp;Dta=/var/www/html/dta/yong/23613.3372.3.dta&amp;Global_Mod=CS57.0215", "3372")</f>
        <v>3372</v>
      </c>
      <c r="N1956" s="27"/>
      <c r="O1956" s="27">
        <v>19.39</v>
      </c>
      <c r="P1956" s="27"/>
      <c r="Q1956" s="27">
        <v>3.1059999999999999</v>
      </c>
      <c r="R1956" s="27"/>
      <c r="S1956" s="27">
        <v>0.1167</v>
      </c>
      <c r="T1956" s="27"/>
      <c r="U1956" s="27">
        <v>0.2084</v>
      </c>
      <c r="V1956" s="1"/>
      <c r="W1956" s="1">
        <v>1</v>
      </c>
      <c r="X1956" s="27"/>
      <c r="Y1956" s="27">
        <v>1.62</v>
      </c>
      <c r="Z1956" s="28"/>
      <c r="AA1956" s="28">
        <v>1000</v>
      </c>
      <c r="AB1956" s="1" t="s">
        <v>13</v>
      </c>
    </row>
    <row r="1957" spans="1:28">
      <c r="A1957" t="s">
        <v>580</v>
      </c>
      <c r="B1957" s="29" t="s">
        <v>2847</v>
      </c>
      <c r="C1957" s="26" t="s">
        <v>2848</v>
      </c>
      <c r="D1957" s="1">
        <v>253</v>
      </c>
      <c r="E1957" t="s">
        <v>2849</v>
      </c>
      <c r="F1957" s="3" t="s">
        <v>2850</v>
      </c>
      <c r="G1957" s="1">
        <v>35.9</v>
      </c>
      <c r="H1957" t="s">
        <v>2851</v>
      </c>
      <c r="I1957" t="s">
        <v>2852</v>
      </c>
      <c r="J1957" s="1">
        <v>2</v>
      </c>
      <c r="K1957" s="1">
        <v>845.86749999999995</v>
      </c>
      <c r="L1957" s="1" t="str">
        <f>HYPERLINK("http://ms.phosphosite.org:5080/cgi-bin/plot-msms.cgi?MassType=1&amp;NumAxis=1&amp;Mod3=170&amp;Pep=GNRGSGGGGGGGGQSQSWN&amp;Dta=/var/www/html/dta/yong/23612.2929.2.dta&amp;Global_Mod=CS57.0215", "2929")</f>
        <v>2929</v>
      </c>
      <c r="M1957" s="1" t="str">
        <f>HYPERLINK("http://ms.phosphosite.org:5080/cgi-bin/plot-msms.cgi?MassType=1&amp;NumAxis=1&amp;Mod3=170&amp;Pep=GNRGSGGGGGGGGQSQSWN&amp;Dta=/var/www/html/dta/yong/23613.2984.2.dta&amp;Global_Mod=CS57.0215", "2984")</f>
        <v>2984</v>
      </c>
      <c r="N1957" s="27">
        <v>17.87</v>
      </c>
      <c r="O1957" s="27">
        <v>17.93</v>
      </c>
      <c r="P1957" s="27">
        <v>4.6550000000000002</v>
      </c>
      <c r="Q1957" s="27">
        <v>3.99</v>
      </c>
      <c r="R1957" s="27">
        <v>0.73299999999999998</v>
      </c>
      <c r="S1957" s="27">
        <v>1.2542</v>
      </c>
      <c r="T1957" s="27">
        <v>0.5151</v>
      </c>
      <c r="U1957" s="27">
        <v>0.49690000000000001</v>
      </c>
      <c r="V1957" s="1">
        <v>1</v>
      </c>
      <c r="W1957" s="1">
        <v>1</v>
      </c>
      <c r="X1957" s="27">
        <v>3.47</v>
      </c>
      <c r="Y1957" s="27">
        <v>3.23</v>
      </c>
      <c r="Z1957" s="28">
        <v>1000</v>
      </c>
      <c r="AA1957" s="28">
        <v>1000</v>
      </c>
      <c r="AB1957" s="1" t="s">
        <v>13</v>
      </c>
    </row>
    <row r="1958" spans="1:28">
      <c r="A1958" t="s">
        <v>580</v>
      </c>
      <c r="B1958" s="29" t="s">
        <v>2847</v>
      </c>
      <c r="C1958" s="26" t="s">
        <v>2853</v>
      </c>
      <c r="D1958" s="1">
        <v>253</v>
      </c>
      <c r="E1958" t="s">
        <v>2849</v>
      </c>
      <c r="F1958" s="3" t="s">
        <v>2850</v>
      </c>
      <c r="G1958" s="1">
        <v>30.6</v>
      </c>
      <c r="H1958" t="s">
        <v>2851</v>
      </c>
      <c r="I1958" t="s">
        <v>2854</v>
      </c>
      <c r="J1958" s="1">
        <v>2</v>
      </c>
      <c r="K1958" s="1">
        <v>898.40700000000004</v>
      </c>
      <c r="L1958" s="1" t="str">
        <f>HYPERLINK("http://ms.phosphosite.org:5080/cgi-bin/plot-msms.cgi?MassType=1&amp;NumAxis=1&amp;Mod3=170&amp;Pep=GNRGSGGGGGGGGQGSTNYGK&amp;Dta=/var/www/html/dta/yong/23612.1161.2.dta&amp;Global_Mod=CS57.0215", "1161")</f>
        <v>1161</v>
      </c>
      <c r="M1958" s="1" t="str">
        <f>HYPERLINK("http://ms.phosphosite.org:5080/cgi-bin/plot-msms.cgi?MassType=1&amp;NumAxis=1&amp;Mod3=170&amp;Pep=GNRGSGGGGGGGGQGSTNYGK&amp;Dta=/var/www/html/dta/yong/23613.1168.2.dta&amp;Global_Mod=CS57.0215", "1168")</f>
        <v>1168</v>
      </c>
      <c r="N1958" s="27">
        <v>11.21</v>
      </c>
      <c r="O1958" s="27">
        <v>11.08</v>
      </c>
      <c r="P1958" s="27">
        <v>4.5049999999999999</v>
      </c>
      <c r="Q1958" s="27">
        <v>5.7169999999999996</v>
      </c>
      <c r="R1958" s="27">
        <v>1.3240000000000001</v>
      </c>
      <c r="S1958" s="27">
        <v>1.2065999999999999</v>
      </c>
      <c r="T1958" s="27">
        <v>0.52339999999999998</v>
      </c>
      <c r="U1958" s="27">
        <v>0.65029999999999999</v>
      </c>
      <c r="V1958" s="1">
        <v>1</v>
      </c>
      <c r="W1958" s="1">
        <v>1</v>
      </c>
      <c r="X1958" s="27">
        <v>3.12</v>
      </c>
      <c r="Y1958" s="27">
        <v>4</v>
      </c>
      <c r="Z1958" s="28">
        <v>1000</v>
      </c>
      <c r="AA1958" s="28">
        <v>1000</v>
      </c>
      <c r="AB1958" s="1" t="s">
        <v>13</v>
      </c>
    </row>
    <row r="1959" spans="1:28">
      <c r="A1959" t="s">
        <v>580</v>
      </c>
      <c r="B1959" s="29" t="s">
        <v>2847</v>
      </c>
      <c r="C1959" s="26" t="s">
        <v>2853</v>
      </c>
      <c r="D1959" s="1">
        <v>253</v>
      </c>
      <c r="E1959" t="s">
        <v>2849</v>
      </c>
      <c r="F1959" s="3" t="s">
        <v>2850</v>
      </c>
      <c r="G1959" s="1">
        <v>30.6</v>
      </c>
      <c r="H1959" t="s">
        <v>2851</v>
      </c>
      <c r="I1959" t="s">
        <v>2854</v>
      </c>
      <c r="J1959" s="1">
        <v>3</v>
      </c>
      <c r="K1959" s="1">
        <v>599.27369999999996</v>
      </c>
      <c r="L1959" s="1" t="str">
        <f>HYPERLINK("http://ms.phosphosite.org:5080/cgi-bin/plot-msms.cgi?MassType=1&amp;NumAxis=1&amp;Mod3=170&amp;Pep=GNRGSGGGGGGGGQGSTNYGK&amp;Dta=/var/www/html/dta/yong/23612.1154.3.dta&amp;Global_Mod=CS57.0215", "1154")</f>
        <v>1154</v>
      </c>
      <c r="M1959" s="1" t="str">
        <f>HYPERLINK("http://ms.phosphosite.org:5080/cgi-bin/plot-msms.cgi?MassType=1&amp;NumAxis=1&amp;Mod3=170&amp;Pep=GNRGSGGGGGGGGQGSTNYGK&amp;Dta=/var/www/html/dta/yong/23613.1164.3.dta&amp;Global_Mod=CS57.0215", "1164")</f>
        <v>1164</v>
      </c>
      <c r="N1959" s="27">
        <v>11.19</v>
      </c>
      <c r="O1959" s="27">
        <v>11.07</v>
      </c>
      <c r="P1959" s="27">
        <v>4.0449999999999999</v>
      </c>
      <c r="Q1959" s="27">
        <v>4.0129999999999999</v>
      </c>
      <c r="R1959" s="27">
        <v>0.71889999999999998</v>
      </c>
      <c r="S1959" s="27">
        <v>0.77329999999999999</v>
      </c>
      <c r="T1959" s="27">
        <v>0.4703</v>
      </c>
      <c r="U1959" s="27">
        <v>0.36840000000000001</v>
      </c>
      <c r="V1959" s="1">
        <v>1</v>
      </c>
      <c r="W1959" s="1">
        <v>1</v>
      </c>
      <c r="X1959" s="27">
        <v>2.86</v>
      </c>
      <c r="Y1959" s="27">
        <v>2.33</v>
      </c>
      <c r="Z1959" s="28">
        <v>1000</v>
      </c>
      <c r="AA1959" s="28">
        <v>1000</v>
      </c>
      <c r="AB1959" s="1" t="s">
        <v>13</v>
      </c>
    </row>
    <row r="1960" spans="1:28">
      <c r="A1960" t="s">
        <v>580</v>
      </c>
      <c r="B1960" s="29" t="s">
        <v>2847</v>
      </c>
      <c r="C1960" s="26" t="s">
        <v>2848</v>
      </c>
      <c r="D1960" s="1">
        <v>245</v>
      </c>
      <c r="E1960" t="s">
        <v>2849</v>
      </c>
      <c r="F1960" s="3" t="s">
        <v>2850</v>
      </c>
      <c r="G1960" s="1">
        <v>35.9</v>
      </c>
      <c r="H1960" t="s">
        <v>2855</v>
      </c>
      <c r="I1960" t="s">
        <v>2856</v>
      </c>
      <c r="J1960" s="1">
        <v>2</v>
      </c>
      <c r="K1960" s="1">
        <v>757.35509999999999</v>
      </c>
      <c r="L1960" s="1" t="str">
        <f>HYPERLINK("http://ms.phosphosite.org:5080/cgi-bin/plot-msms.cgi?MassType=1&amp;NumAxis=1&amp;Mod13=170&amp;Pep=EVYQQQQYGSGGR&amp;Dta=/var/www/html/dta/yong/23612.4410.2.dta&amp;Global_Mod=CS57.0215", "4410")</f>
        <v>4410</v>
      </c>
      <c r="M1960" s="1" t="str">
        <f>HYPERLINK("http://ms.phosphosite.org:5080/cgi-bin/plot-msms.cgi?MassType=1&amp;NumAxis=1&amp;Mod13=170&amp;Pep=EVYQQQQYGSGGR&amp;Dta=/var/www/html/dta/yong/23613.4464.2.dta&amp;Global_Mod=CS57.0215", "4464")</f>
        <v>4464</v>
      </c>
      <c r="N1960" s="27">
        <v>23.55</v>
      </c>
      <c r="O1960" s="27">
        <v>23.55</v>
      </c>
      <c r="P1960" s="27">
        <v>4.2880000000000003</v>
      </c>
      <c r="Q1960" s="27">
        <v>4.3680000000000003</v>
      </c>
      <c r="R1960" s="27">
        <v>0.85860000000000003</v>
      </c>
      <c r="S1960" s="27">
        <v>0.68779999999999997</v>
      </c>
      <c r="T1960" s="27">
        <v>0.38779999999999998</v>
      </c>
      <c r="U1960" s="27">
        <v>0.37569999999999998</v>
      </c>
      <c r="V1960" s="1">
        <v>1</v>
      </c>
      <c r="W1960" s="1">
        <v>1</v>
      </c>
      <c r="X1960" s="27">
        <v>3.02</v>
      </c>
      <c r="Y1960" s="27">
        <v>3</v>
      </c>
      <c r="Z1960" s="28">
        <v>1000</v>
      </c>
      <c r="AA1960" s="28">
        <v>1000</v>
      </c>
      <c r="AB1960" s="1" t="s">
        <v>13</v>
      </c>
    </row>
    <row r="1961" spans="1:28">
      <c r="A1961" t="s">
        <v>580</v>
      </c>
      <c r="B1961" s="29" t="s">
        <v>2847</v>
      </c>
      <c r="C1961" s="26" t="s">
        <v>2848</v>
      </c>
      <c r="D1961" s="1">
        <v>245</v>
      </c>
      <c r="E1961" t="s">
        <v>2849</v>
      </c>
      <c r="F1961" s="3" t="s">
        <v>2850</v>
      </c>
      <c r="G1961" s="1">
        <v>35.9</v>
      </c>
      <c r="H1961" t="s">
        <v>2855</v>
      </c>
      <c r="I1961" t="s">
        <v>2857</v>
      </c>
      <c r="J1961" s="1">
        <v>2</v>
      </c>
      <c r="K1961" s="1">
        <v>842.88729999999998</v>
      </c>
      <c r="L1961" s="1" t="str">
        <f>HYPERLINK("http://ms.phosphosite.org:5080/cgi-bin/plot-msms.cgi?MassType=1&amp;NumAxis=1&amp;Mod13=170&amp;Pep=EVYQQQQYGSGGRGN&amp;Dta=/var/www/html/dta/yong/23612.4222.2.dta&amp;Global_Mod=CS57.0215", "4222")</f>
        <v>4222</v>
      </c>
      <c r="M1961" s="1"/>
      <c r="N1961" s="27">
        <v>22.82</v>
      </c>
      <c r="O1961" s="27"/>
      <c r="P1961" s="27">
        <v>2.9359999999999999</v>
      </c>
      <c r="Q1961" s="27"/>
      <c r="R1961" s="27">
        <v>0.97960000000000003</v>
      </c>
      <c r="S1961" s="27"/>
      <c r="T1961" s="27">
        <v>0.43580000000000002</v>
      </c>
      <c r="U1961" s="27"/>
      <c r="V1961" s="1">
        <v>1</v>
      </c>
      <c r="W1961" s="1"/>
      <c r="X1961" s="27">
        <v>2.78</v>
      </c>
      <c r="Y1961" s="27"/>
      <c r="Z1961" s="28">
        <v>1000</v>
      </c>
      <c r="AA1961" s="28"/>
      <c r="AB1961" s="1" t="s">
        <v>13</v>
      </c>
    </row>
    <row r="1962" spans="1:28">
      <c r="A1962" t="s">
        <v>580</v>
      </c>
      <c r="B1962" s="29" t="s">
        <v>2847</v>
      </c>
      <c r="C1962" s="26" t="s">
        <v>2848</v>
      </c>
      <c r="D1962" s="1">
        <v>245</v>
      </c>
      <c r="E1962" t="s">
        <v>2849</v>
      </c>
      <c r="F1962" s="3" t="s">
        <v>2850</v>
      </c>
      <c r="G1962" s="1">
        <v>35.9</v>
      </c>
      <c r="H1962" t="s">
        <v>2855</v>
      </c>
      <c r="I1962" t="s">
        <v>2858</v>
      </c>
      <c r="J1962" s="1">
        <v>2</v>
      </c>
      <c r="K1962" s="1">
        <v>920.93790000000001</v>
      </c>
      <c r="L1962" s="1" t="str">
        <f>HYPERLINK("http://ms.phosphosite.org:5080/cgi-bin/plot-msms.cgi?MassType=1&amp;NumAxis=1&amp;Mod13=170&amp;Pep=EVYQQQQYGSGGRGNR&amp;Dta=/var/www/html/dta/yong/23612.3368.2.dta&amp;Global_Mod=CS57.0215", "3368")</f>
        <v>3368</v>
      </c>
      <c r="M1962" s="1" t="str">
        <f>HYPERLINK("http://ms.phosphosite.org:5080/cgi-bin/plot-msms.cgi?MassType=1&amp;NumAxis=1&amp;Mod13=170&amp;Pep=EVYQQQQYGSGGRGNR&amp;Dta=/var/www/html/dta/yong/23613.3461.2.dta&amp;Global_Mod=CS57.0215", "3461")</f>
        <v>3461</v>
      </c>
      <c r="N1962" s="27">
        <v>19.53</v>
      </c>
      <c r="O1962" s="27">
        <v>19.71</v>
      </c>
      <c r="P1962" s="27">
        <v>3.448</v>
      </c>
      <c r="Q1962" s="27">
        <v>2.7949999999999999</v>
      </c>
      <c r="R1962" s="27">
        <v>0.89480000000000004</v>
      </c>
      <c r="S1962" s="27">
        <v>0.58909999999999996</v>
      </c>
      <c r="T1962" s="27">
        <v>0.34899999999999998</v>
      </c>
      <c r="U1962" s="27">
        <v>0.27029999999999998</v>
      </c>
      <c r="V1962" s="1">
        <v>1</v>
      </c>
      <c r="W1962" s="1">
        <v>1</v>
      </c>
      <c r="X1962" s="27">
        <v>2.44</v>
      </c>
      <c r="Y1962" s="27">
        <v>1.94</v>
      </c>
      <c r="Z1962" s="28">
        <v>1000</v>
      </c>
      <c r="AA1962" s="28">
        <v>1000</v>
      </c>
      <c r="AB1962" s="1" t="s">
        <v>13</v>
      </c>
    </row>
    <row r="1963" spans="1:28">
      <c r="A1963" t="s">
        <v>580</v>
      </c>
      <c r="B1963" s="29" t="s">
        <v>2847</v>
      </c>
      <c r="C1963" s="26" t="s">
        <v>2848</v>
      </c>
      <c r="D1963" s="1">
        <v>245</v>
      </c>
      <c r="E1963" t="s">
        <v>2849</v>
      </c>
      <c r="F1963" s="3" t="s">
        <v>2850</v>
      </c>
      <c r="G1963" s="1">
        <v>35.9</v>
      </c>
      <c r="H1963" t="s">
        <v>2855</v>
      </c>
      <c r="I1963" t="s">
        <v>2858</v>
      </c>
      <c r="J1963" s="1">
        <v>2</v>
      </c>
      <c r="K1963" s="1">
        <v>920.93790000000001</v>
      </c>
      <c r="L1963" s="1"/>
      <c r="M1963" s="1" t="str">
        <f>HYPERLINK("http://ms.phosphosite.org:5080/cgi-bin/plot-msms.cgi?MassType=1&amp;NumAxis=1&amp;Mod13=170&amp;Pep=EVYQQQQYGSGGRGNR&amp;Dta=/var/www/html/dta/yong/23613.3418.2.dta&amp;Global_Mod=CS57.0215", "3418")</f>
        <v>3418</v>
      </c>
      <c r="N1963" s="27"/>
      <c r="O1963" s="27">
        <v>19.54</v>
      </c>
      <c r="P1963" s="27"/>
      <c r="Q1963" s="27">
        <v>3.3340000000000001</v>
      </c>
      <c r="R1963" s="27"/>
      <c r="S1963" s="27">
        <v>0.58909999999999996</v>
      </c>
      <c r="T1963" s="27"/>
      <c r="U1963" s="27">
        <v>0.30220000000000002</v>
      </c>
      <c r="V1963" s="1"/>
      <c r="W1963" s="1">
        <v>1</v>
      </c>
      <c r="X1963" s="27"/>
      <c r="Y1963" s="27">
        <v>2.2000000000000002</v>
      </c>
      <c r="Z1963" s="28"/>
      <c r="AA1963" s="28">
        <v>1000</v>
      </c>
      <c r="AB1963" s="1" t="s">
        <v>13</v>
      </c>
    </row>
    <row r="1964" spans="1:28">
      <c r="A1964" t="s">
        <v>580</v>
      </c>
      <c r="B1964" s="29" t="s">
        <v>2847</v>
      </c>
      <c r="C1964" s="26" t="s">
        <v>2848</v>
      </c>
      <c r="D1964" s="1">
        <v>245</v>
      </c>
      <c r="E1964" t="s">
        <v>2849</v>
      </c>
      <c r="F1964" s="3" t="s">
        <v>2850</v>
      </c>
      <c r="G1964" s="1">
        <v>35.9</v>
      </c>
      <c r="H1964" t="s">
        <v>2855</v>
      </c>
      <c r="I1964" t="s">
        <v>2858</v>
      </c>
      <c r="J1964" s="1">
        <v>3</v>
      </c>
      <c r="K1964" s="1">
        <v>614.2944</v>
      </c>
      <c r="L1964" s="1" t="str">
        <f>HYPERLINK("http://ms.phosphosite.org:5080/cgi-bin/plot-msms.cgi?MassType=1&amp;NumAxis=1&amp;Mod13=170&amp;Pep=EVYQQQQYGSGGRGNR&amp;Dta=/var/www/html/dta/yong/23612.3359.3.dta&amp;Global_Mod=CS57.0215", "3359")</f>
        <v>3359</v>
      </c>
      <c r="M1964" s="1" t="str">
        <f>HYPERLINK("http://ms.phosphosite.org:5080/cgi-bin/plot-msms.cgi?MassType=1&amp;NumAxis=1&amp;Mod13=170&amp;Pep=EVYQQQQYGSGGRGNR&amp;Dta=/var/www/html/dta/yong/23613.3406.3.dta&amp;Global_Mod=CS57.0215", "3406")</f>
        <v>3406</v>
      </c>
      <c r="N1964" s="27">
        <v>19.5</v>
      </c>
      <c r="O1964" s="27">
        <v>19.510000000000002</v>
      </c>
      <c r="P1964" s="27">
        <v>2.1779999999999999</v>
      </c>
      <c r="Q1964" s="27">
        <v>2.2469999999999999</v>
      </c>
      <c r="R1964" s="27">
        <v>0.3967</v>
      </c>
      <c r="S1964" s="27">
        <v>0.2177</v>
      </c>
      <c r="T1964" s="27">
        <v>0.21759999999999999</v>
      </c>
      <c r="U1964" s="27">
        <v>0.20910000000000001</v>
      </c>
      <c r="V1964" s="1">
        <v>2</v>
      </c>
      <c r="W1964" s="1">
        <v>1</v>
      </c>
      <c r="X1964" s="27">
        <v>1.63</v>
      </c>
      <c r="Y1964" s="27">
        <v>1.56</v>
      </c>
      <c r="Z1964" s="28">
        <v>1000</v>
      </c>
      <c r="AA1964" s="28">
        <v>1000</v>
      </c>
      <c r="AB1964" s="1" t="s">
        <v>13</v>
      </c>
    </row>
    <row r="1965" spans="1:28">
      <c r="A1965" t="s">
        <v>580</v>
      </c>
      <c r="B1965" s="29" t="s">
        <v>2847</v>
      </c>
      <c r="C1965" s="26" t="s">
        <v>2848</v>
      </c>
      <c r="D1965" s="1">
        <v>245</v>
      </c>
      <c r="E1965" t="s">
        <v>2849</v>
      </c>
      <c r="F1965" s="3" t="s">
        <v>2850</v>
      </c>
      <c r="G1965" s="1">
        <v>35.9</v>
      </c>
      <c r="H1965" t="s">
        <v>2855</v>
      </c>
      <c r="I1965" t="s">
        <v>2859</v>
      </c>
      <c r="J1965" s="1">
        <v>2</v>
      </c>
      <c r="K1965" s="1">
        <v>806.88239999999996</v>
      </c>
      <c r="L1965" s="1" t="str">
        <f>HYPERLINK("http://ms.phosphosite.org:5080/cgi-bin/plot-msms.cgi?MassType=1&amp;NumAxis=1&amp;Mod11=170&amp;Pep=YQQQQYGSGGRGNR&amp;Dta=/var/www/html/dta/yong/23612.2008.2.dta&amp;Global_Mod=CS57.0215", "2008")</f>
        <v>2008</v>
      </c>
      <c r="M1965" s="1" t="str">
        <f>HYPERLINK("http://ms.phosphosite.org:5080/cgi-bin/plot-msms.cgi?MassType=1&amp;NumAxis=1&amp;Mod11=170&amp;Pep=YQQQQYGSGGRGNR&amp;Dta=/var/www/html/dta/yong/23613.2048.2.dta&amp;Global_Mod=CS57.0215", "2048")</f>
        <v>2048</v>
      </c>
      <c r="N1965" s="27">
        <v>14.4</v>
      </c>
      <c r="O1965" s="27">
        <v>14.39</v>
      </c>
      <c r="P1965" s="27">
        <v>2.4329999999999998</v>
      </c>
      <c r="Q1965" s="27">
        <v>2.0209999999999999</v>
      </c>
      <c r="R1965" s="27">
        <v>1.07</v>
      </c>
      <c r="S1965" s="27">
        <v>-0.2059</v>
      </c>
      <c r="T1965" s="27">
        <v>0.1328</v>
      </c>
      <c r="U1965" s="27">
        <v>8.2199999999999995E-2</v>
      </c>
      <c r="V1965" s="1">
        <v>21</v>
      </c>
      <c r="W1965" s="1">
        <v>39</v>
      </c>
      <c r="X1965" s="27">
        <v>1.17</v>
      </c>
      <c r="Y1965" s="27">
        <v>0.83</v>
      </c>
      <c r="Z1965" s="28">
        <v>1000</v>
      </c>
      <c r="AA1965" s="28">
        <v>1000</v>
      </c>
      <c r="AB1965" s="1" t="s">
        <v>13</v>
      </c>
    </row>
    <row r="1966" spans="1:28">
      <c r="A1966" t="s">
        <v>580</v>
      </c>
      <c r="B1966" s="29" t="s">
        <v>2847</v>
      </c>
      <c r="C1966" s="26" t="s">
        <v>2848</v>
      </c>
      <c r="D1966" s="1">
        <v>322</v>
      </c>
      <c r="E1966" t="s">
        <v>2849</v>
      </c>
      <c r="F1966" s="3" t="s">
        <v>2850</v>
      </c>
      <c r="G1966" s="1">
        <v>35.9</v>
      </c>
      <c r="H1966" t="s">
        <v>2860</v>
      </c>
      <c r="I1966" t="s">
        <v>2861</v>
      </c>
      <c r="J1966" s="1">
        <v>3</v>
      </c>
      <c r="K1966" s="1">
        <v>395.53550000000001</v>
      </c>
      <c r="L1966" s="1" t="str">
        <f>HYPERLINK("http://ms.phosphosite.org:5080/cgi-bin/plot-msms.cgi?MassType=1&amp;NumAxis=1&amp;Mod1=170&amp;Pep=RGGHQNNYKP&amp;Dta=/var/www/html/dta/yong/23612.1036.3.dta&amp;Global_Mod=CS57.0215", "1036")</f>
        <v>1036</v>
      </c>
      <c r="M1966" s="1" t="str">
        <f>HYPERLINK("http://ms.phosphosite.org:5080/cgi-bin/plot-msms.cgi?MassType=1&amp;NumAxis=1&amp;Mod1=170&amp;Pep=RGGHQNNYKP&amp;Dta=/var/www/html/dta/yong/23613.1064.3.dta&amp;Global_Mod=CS57.0215", "1064")</f>
        <v>1064</v>
      </c>
      <c r="N1966" s="27">
        <v>10.73</v>
      </c>
      <c r="O1966" s="27">
        <v>10.67</v>
      </c>
      <c r="P1966" s="27">
        <v>2.488</v>
      </c>
      <c r="Q1966" s="27">
        <v>2.569</v>
      </c>
      <c r="R1966" s="27">
        <v>-4.7999999999999996E-3</v>
      </c>
      <c r="S1966" s="27">
        <v>6.9199999999999998E-2</v>
      </c>
      <c r="T1966" s="27">
        <v>9.9599999999999994E-2</v>
      </c>
      <c r="U1966" s="27">
        <v>0.10979999999999999</v>
      </c>
      <c r="V1966" s="1">
        <v>2</v>
      </c>
      <c r="W1966" s="1">
        <v>9</v>
      </c>
      <c r="X1966" s="27">
        <v>1.1499999999999999</v>
      </c>
      <c r="Y1966" s="27">
        <v>1.2</v>
      </c>
      <c r="Z1966" s="28">
        <v>1000</v>
      </c>
      <c r="AA1966" s="28">
        <v>1000</v>
      </c>
      <c r="AB1966" s="1" t="s">
        <v>13</v>
      </c>
    </row>
    <row r="1967" spans="1:28">
      <c r="A1967" t="s">
        <v>580</v>
      </c>
      <c r="B1967" s="29" t="s">
        <v>2847</v>
      </c>
      <c r="C1967" s="26" t="s">
        <v>2848</v>
      </c>
      <c r="D1967" s="1">
        <v>322</v>
      </c>
      <c r="E1967" t="s">
        <v>2849</v>
      </c>
      <c r="F1967" s="3" t="s">
        <v>2850</v>
      </c>
      <c r="G1967" s="1">
        <v>35.9</v>
      </c>
      <c r="H1967" t="s">
        <v>2860</v>
      </c>
      <c r="I1967" t="s">
        <v>2862</v>
      </c>
      <c r="J1967" s="1">
        <v>2</v>
      </c>
      <c r="K1967" s="1">
        <v>674.33130000000006</v>
      </c>
      <c r="L1967" s="1" t="str">
        <f>HYPERLINK("http://ms.phosphosite.org:5080/cgi-bin/plot-msms.cgi?MassType=1&amp;NumAxis=1&amp;Mod1=170&amp;Pep=RGGHQNNYKPY&amp;Dta=/var/www/html/dta/yong/23612.2149.2.dta&amp;Global_Mod=CS57.0215", "2149")</f>
        <v>2149</v>
      </c>
      <c r="M1967" s="1" t="str">
        <f>HYPERLINK("http://ms.phosphosite.org:5080/cgi-bin/plot-msms.cgi?MassType=1&amp;NumAxis=1&amp;Mod1=170&amp;Pep=RGGHQNNYKPY&amp;Dta=/var/www/html/dta/yong/23613.2182.2.dta&amp;Global_Mod=CS57.0215", "2182")</f>
        <v>2182</v>
      </c>
      <c r="N1967" s="27">
        <v>14.95</v>
      </c>
      <c r="O1967" s="27">
        <v>14.92</v>
      </c>
      <c r="P1967" s="27">
        <v>2.4790000000000001</v>
      </c>
      <c r="Q1967" s="27">
        <v>2.4409999999999998</v>
      </c>
      <c r="R1967" s="27">
        <v>0.3866</v>
      </c>
      <c r="S1967" s="27">
        <v>0.53149999999999997</v>
      </c>
      <c r="T1967" s="27">
        <v>0.1724</v>
      </c>
      <c r="U1967" s="27">
        <v>0.18429999999999999</v>
      </c>
      <c r="V1967" s="1">
        <v>5</v>
      </c>
      <c r="W1967" s="1">
        <v>2</v>
      </c>
      <c r="X1967" s="27">
        <v>1.46</v>
      </c>
      <c r="Y1967" s="27">
        <v>1.51</v>
      </c>
      <c r="Z1967" s="28">
        <v>1000</v>
      </c>
      <c r="AA1967" s="28">
        <v>1000</v>
      </c>
      <c r="AB1967" s="1" t="s">
        <v>13</v>
      </c>
    </row>
    <row r="1968" spans="1:28">
      <c r="A1968" t="s">
        <v>580</v>
      </c>
      <c r="B1968" s="29" t="s">
        <v>2847</v>
      </c>
      <c r="C1968" s="26" t="s">
        <v>2848</v>
      </c>
      <c r="D1968" s="1">
        <v>322</v>
      </c>
      <c r="E1968" t="s">
        <v>2849</v>
      </c>
      <c r="F1968" s="3" t="s">
        <v>2850</v>
      </c>
      <c r="G1968" s="1">
        <v>35.9</v>
      </c>
      <c r="H1968" t="s">
        <v>2860</v>
      </c>
      <c r="I1968" t="s">
        <v>2862</v>
      </c>
      <c r="J1968" s="1">
        <v>3</v>
      </c>
      <c r="K1968" s="1">
        <v>449.88990000000001</v>
      </c>
      <c r="L1968" s="1" t="str">
        <f>HYPERLINK("http://ms.phosphosite.org:5080/cgi-bin/plot-msms.cgi?MassType=1&amp;NumAxis=1&amp;Mod1=170&amp;Pep=RGGHQNNYKPY&amp;Dta=/var/www/html/dta/yong/23612.2146.3.dta&amp;Global_Mod=CS57.0215", "2146")</f>
        <v>2146</v>
      </c>
      <c r="M1968" s="1" t="str">
        <f>HYPERLINK("http://ms.phosphosite.org:5080/cgi-bin/plot-msms.cgi?MassType=1&amp;NumAxis=1&amp;Mod1=170&amp;Pep=RGGHQNNYKPY&amp;Dta=/var/www/html/dta/yong/23613.2178.3.dta&amp;Global_Mod=CS57.0215", "2178")</f>
        <v>2178</v>
      </c>
      <c r="N1968" s="27">
        <v>14.94</v>
      </c>
      <c r="O1968" s="27">
        <v>14.91</v>
      </c>
      <c r="P1968" s="27">
        <v>2.8180000000000001</v>
      </c>
      <c r="Q1968" s="27">
        <v>3.1840000000000002</v>
      </c>
      <c r="R1968" s="27">
        <v>-0.24049999999999999</v>
      </c>
      <c r="S1968" s="27">
        <v>-0.14929999999999999</v>
      </c>
      <c r="T1968" s="27">
        <v>0.26850000000000002</v>
      </c>
      <c r="U1968" s="27">
        <v>0.27460000000000001</v>
      </c>
      <c r="V1968" s="1">
        <v>1</v>
      </c>
      <c r="W1968" s="1">
        <v>1</v>
      </c>
      <c r="X1968" s="27">
        <v>2.02</v>
      </c>
      <c r="Y1968" s="27">
        <v>2.12</v>
      </c>
      <c r="Z1968" s="28">
        <v>1000</v>
      </c>
      <c r="AA1968" s="28">
        <v>1000</v>
      </c>
      <c r="AB1968" s="1" t="s">
        <v>13</v>
      </c>
    </row>
    <row r="1969" spans="1:28">
      <c r="A1969" t="s">
        <v>580</v>
      </c>
      <c r="B1969" s="29" t="s">
        <v>2847</v>
      </c>
      <c r="C1969" s="26" t="s">
        <v>2848</v>
      </c>
      <c r="D1969" s="30" t="s">
        <v>2863</v>
      </c>
      <c r="E1969" t="s">
        <v>2849</v>
      </c>
      <c r="F1969" s="3" t="s">
        <v>2850</v>
      </c>
      <c r="G1969" s="1">
        <v>35.9</v>
      </c>
      <c r="H1969" t="s">
        <v>2864</v>
      </c>
      <c r="I1969" t="s">
        <v>2865</v>
      </c>
      <c r="J1969" s="1">
        <v>3</v>
      </c>
      <c r="K1969" s="1">
        <v>618.96619999999996</v>
      </c>
      <c r="L1969" s="1" t="str">
        <f>HYPERLINK("http://ms.phosphosite.org:5080/cgi-bin/plot-msms.cgi?MassType=1&amp;NumAxis=1&amp;Mod13=170&amp;Mod16=170&amp;Pep=EVYQQQQYGSGGRGNR&amp;Dta=/var/www/html/dta/yong/23612.3555.3.dta&amp;Global_Mod=CS57.0215", "3555")</f>
        <v>3555</v>
      </c>
      <c r="M1969" s="1" t="str">
        <f>HYPERLINK("http://ms.phosphosite.org:5080/cgi-bin/plot-msms.cgi?MassType=1&amp;NumAxis=1&amp;Mod13=170&amp;Mod16=170&amp;Pep=EVYQQQQYGSGGRGNR&amp;Dta=/var/www/html/dta/yong/23613.3609.3.dta&amp;Global_Mod=CS57.0215", "3609")</f>
        <v>3609</v>
      </c>
      <c r="N1969" s="27">
        <v>20.260000000000002</v>
      </c>
      <c r="O1969" s="27">
        <v>20.3</v>
      </c>
      <c r="P1969" s="27">
        <v>1.7529999999999999</v>
      </c>
      <c r="Q1969" s="27">
        <v>1.925</v>
      </c>
      <c r="R1969" s="27">
        <v>0.89949999999999997</v>
      </c>
      <c r="S1969" s="27">
        <v>0.90429999999999999</v>
      </c>
      <c r="T1969" s="27">
        <v>8.7099999999999997E-2</v>
      </c>
      <c r="U1969" s="27">
        <v>0.2271</v>
      </c>
      <c r="V1969" s="1">
        <v>1</v>
      </c>
      <c r="W1969" s="1">
        <v>1</v>
      </c>
      <c r="X1969" s="27">
        <v>0.87</v>
      </c>
      <c r="Y1969" s="27">
        <v>1.57</v>
      </c>
      <c r="Z1969" s="28" t="s">
        <v>1306</v>
      </c>
      <c r="AA1969" s="28" t="s">
        <v>1306</v>
      </c>
      <c r="AB1969" s="1" t="s">
        <v>13</v>
      </c>
    </row>
    <row r="1970" spans="1:28">
      <c r="A1970" t="s">
        <v>580</v>
      </c>
      <c r="B1970" s="29" t="s">
        <v>2847</v>
      </c>
      <c r="C1970" s="26" t="s">
        <v>2848</v>
      </c>
      <c r="D1970" s="1">
        <v>248</v>
      </c>
      <c r="E1970" t="s">
        <v>2849</v>
      </c>
      <c r="F1970" s="3" t="s">
        <v>2850</v>
      </c>
      <c r="G1970" s="1">
        <v>35.9</v>
      </c>
      <c r="H1970" t="s">
        <v>2855</v>
      </c>
      <c r="I1970" t="s">
        <v>2866</v>
      </c>
      <c r="J1970" s="1">
        <v>3</v>
      </c>
      <c r="K1970" s="1">
        <v>538.25739999999996</v>
      </c>
      <c r="L1970" s="1" t="str">
        <f>HYPERLINK("http://ms.phosphosite.org:5080/cgi-bin/plot-msms.cgi?MassType=1&amp;NumAxis=1&amp;Mod14=170&amp;Pep=YQQQQYGSGGRGNR&amp;Dta=/var/www/html/dta/yong/23612.1998.3.dta&amp;Global_Mod=CS57.0215", "1998")</f>
        <v>1998</v>
      </c>
      <c r="M1970" s="1" t="str">
        <f>HYPERLINK("http://ms.phosphosite.org:5080/cgi-bin/plot-msms.cgi?MassType=1&amp;NumAxis=1&amp;Mod14=170&amp;Pep=YQQQQYGSGGRGNR&amp;Dta=/var/www/html/dta/yong/23613.2025.3.dta&amp;Global_Mod=CS57.0215", "2025")</f>
        <v>2025</v>
      </c>
      <c r="N1970" s="27">
        <v>14.37</v>
      </c>
      <c r="O1970" s="27">
        <v>14.32</v>
      </c>
      <c r="P1970" s="27">
        <v>2.0190000000000001</v>
      </c>
      <c r="Q1970" s="27">
        <v>2.1379999999999999</v>
      </c>
      <c r="R1970" s="27">
        <v>0.99550000000000005</v>
      </c>
      <c r="S1970" s="27">
        <v>0.8589</v>
      </c>
      <c r="T1970" s="27">
        <v>0.1168</v>
      </c>
      <c r="U1970" s="27">
        <v>0.19639999999999999</v>
      </c>
      <c r="V1970" s="1">
        <v>8</v>
      </c>
      <c r="W1970" s="1">
        <v>2</v>
      </c>
      <c r="X1970" s="27">
        <v>1.08</v>
      </c>
      <c r="Y1970" s="27">
        <v>1.49</v>
      </c>
      <c r="Z1970" s="28">
        <v>1000</v>
      </c>
      <c r="AA1970" s="28">
        <v>1000</v>
      </c>
      <c r="AB1970" s="1" t="s">
        <v>13</v>
      </c>
    </row>
    <row r="1971" spans="1:28">
      <c r="A1971" t="s">
        <v>580</v>
      </c>
      <c r="B1971" s="29" t="s">
        <v>2867</v>
      </c>
      <c r="C1971" s="26" t="s">
        <v>2868</v>
      </c>
      <c r="D1971" s="1">
        <v>282</v>
      </c>
      <c r="E1971" t="s">
        <v>639</v>
      </c>
      <c r="F1971" s="3" t="s">
        <v>2869</v>
      </c>
      <c r="G1971" s="1">
        <v>32.799999999999997</v>
      </c>
      <c r="H1971" t="s">
        <v>2870</v>
      </c>
      <c r="I1971" t="s">
        <v>2871</v>
      </c>
      <c r="J1971" s="1">
        <v>3</v>
      </c>
      <c r="K1971" s="1">
        <v>408.53030000000001</v>
      </c>
      <c r="L1971" s="1" t="str">
        <f>HYPERLINK("http://ms.phosphosite.org:5080/cgi-bin/plot-msms.cgi?MassType=1&amp;NumAxis=1&amp;Mod2=170&amp;Pep=GRGGDQQSGYGK&amp;Dta=/var/www/html/dta/yong/23612.1006.3.dta&amp;Global_Mod=CS57.0215", "1006")</f>
        <v>1006</v>
      </c>
      <c r="M1971" s="1" t="str">
        <f>HYPERLINK("http://ms.phosphosite.org:5080/cgi-bin/plot-msms.cgi?MassType=1&amp;NumAxis=1&amp;Mod2=170&amp;Pep=GRGGDQQSGYGK&amp;Dta=/var/www/html/dta/yong/23613.1019.3.dta&amp;Global_Mod=CS57.0215", "1019")</f>
        <v>1019</v>
      </c>
      <c r="N1971" s="27">
        <v>10.62</v>
      </c>
      <c r="O1971" s="27">
        <v>10.49</v>
      </c>
      <c r="P1971" s="27">
        <v>3.1619999999999999</v>
      </c>
      <c r="Q1971" s="27">
        <v>2.7570000000000001</v>
      </c>
      <c r="R1971" s="27">
        <v>0.19670000000000001</v>
      </c>
      <c r="S1971" s="27">
        <v>0.28029999999999999</v>
      </c>
      <c r="T1971" s="27">
        <v>0.15029999999999999</v>
      </c>
      <c r="U1971" s="27">
        <v>0.18229999999999999</v>
      </c>
      <c r="V1971" s="1">
        <v>2</v>
      </c>
      <c r="W1971" s="1">
        <v>1</v>
      </c>
      <c r="X1971" s="27">
        <v>1.22</v>
      </c>
      <c r="Y1971" s="27">
        <v>1.28</v>
      </c>
      <c r="Z1971" s="28">
        <v>1000</v>
      </c>
      <c r="AA1971" s="28">
        <v>1000</v>
      </c>
      <c r="AB1971" s="1" t="s">
        <v>13</v>
      </c>
    </row>
    <row r="1972" spans="1:28">
      <c r="A1972" t="s">
        <v>580</v>
      </c>
      <c r="B1972" s="29" t="s">
        <v>2867</v>
      </c>
      <c r="C1972" s="26" t="s">
        <v>2868</v>
      </c>
      <c r="D1972" s="30" t="s">
        <v>2872</v>
      </c>
      <c r="E1972" t="s">
        <v>639</v>
      </c>
      <c r="F1972" s="3" t="s">
        <v>2869</v>
      </c>
      <c r="G1972" s="1">
        <v>32.799999999999997</v>
      </c>
      <c r="H1972" t="s">
        <v>2873</v>
      </c>
      <c r="I1972" t="s">
        <v>2874</v>
      </c>
      <c r="J1972" s="1">
        <v>2</v>
      </c>
      <c r="K1972" s="1">
        <v>732.86869999999999</v>
      </c>
      <c r="L1972" s="1" t="str">
        <f>HYPERLINK("http://ms.phosphosite.org:5080/cgi-bin/plot-msms.cgi?MassType=1&amp;NumAxis=1&amp;Mod2=170&amp;Mod4=170&amp;Pep=ARGRGGDQQSGYGK&amp;Dta=/var/www/html/dta/yong/23612.955.2.dta&amp;Global_Mod=CS57.0215", "955")</f>
        <v>955</v>
      </c>
      <c r="M1972" s="1"/>
      <c r="N1972" s="27">
        <v>10.41</v>
      </c>
      <c r="O1972" s="27"/>
      <c r="P1972" s="27">
        <v>2.7829999999999999</v>
      </c>
      <c r="Q1972" s="27"/>
      <c r="R1972" s="27">
        <v>0.6492</v>
      </c>
      <c r="S1972" s="27"/>
      <c r="T1972" s="27">
        <v>0.28889999999999999</v>
      </c>
      <c r="U1972" s="27"/>
      <c r="V1972" s="1">
        <v>1</v>
      </c>
      <c r="W1972" s="1"/>
      <c r="X1972" s="27">
        <v>1.56</v>
      </c>
      <c r="Y1972" s="27"/>
      <c r="Z1972" s="28" t="s">
        <v>1306</v>
      </c>
      <c r="AA1972" s="28"/>
      <c r="AB1972" s="1" t="s">
        <v>13</v>
      </c>
    </row>
    <row r="1973" spans="1:28">
      <c r="A1973" t="s">
        <v>580</v>
      </c>
      <c r="B1973" s="29" t="s">
        <v>2867</v>
      </c>
      <c r="C1973" s="26" t="s">
        <v>2868</v>
      </c>
      <c r="D1973" s="30" t="s">
        <v>2872</v>
      </c>
      <c r="E1973" t="s">
        <v>639</v>
      </c>
      <c r="F1973" s="3" t="s">
        <v>2869</v>
      </c>
      <c r="G1973" s="1">
        <v>32.799999999999997</v>
      </c>
      <c r="H1973" t="s">
        <v>2873</v>
      </c>
      <c r="I1973" t="s">
        <v>2874</v>
      </c>
      <c r="J1973" s="1">
        <v>3</v>
      </c>
      <c r="K1973" s="1">
        <v>488.91489999999999</v>
      </c>
      <c r="L1973" s="1" t="str">
        <f>HYPERLINK("http://ms.phosphosite.org:5080/cgi-bin/plot-msms.cgi?MassType=1&amp;NumAxis=1&amp;Mod2=170&amp;Mod4=170&amp;Pep=ARGRGGDQQSGYGK&amp;Dta=/var/www/html/dta/yong/23612.944.3.dta&amp;Global_Mod=CS57.0215", "944")</f>
        <v>944</v>
      </c>
      <c r="M1973" s="1" t="str">
        <f>HYPERLINK("http://ms.phosphosite.org:5080/cgi-bin/plot-msms.cgi?MassType=1&amp;NumAxis=1&amp;Mod2=170&amp;Mod4=170&amp;Pep=ARGRGGDQQSGYGK&amp;Dta=/var/www/html/dta/yong/23613.962.3.dta&amp;Global_Mod=CS57.0215", "962")</f>
        <v>962</v>
      </c>
      <c r="N1973" s="27">
        <v>10.37</v>
      </c>
      <c r="O1973" s="27">
        <v>10.26</v>
      </c>
      <c r="P1973" s="27">
        <v>2.1080000000000001</v>
      </c>
      <c r="Q1973" s="27">
        <v>2.6320000000000001</v>
      </c>
      <c r="R1973" s="27">
        <v>0.21029999999999999</v>
      </c>
      <c r="S1973" s="27">
        <v>0.2838</v>
      </c>
      <c r="T1973" s="27">
        <v>0.18229999999999999</v>
      </c>
      <c r="U1973" s="27">
        <v>0.26079999999999998</v>
      </c>
      <c r="V1973" s="1">
        <v>4</v>
      </c>
      <c r="W1973" s="1">
        <v>1</v>
      </c>
      <c r="X1973" s="27">
        <v>0.96</v>
      </c>
      <c r="Y1973" s="27">
        <v>1.43</v>
      </c>
      <c r="Z1973" s="28" t="s">
        <v>1306</v>
      </c>
      <c r="AA1973" s="28" t="s">
        <v>1306</v>
      </c>
      <c r="AB1973" s="1" t="s">
        <v>13</v>
      </c>
    </row>
    <row r="1974" spans="1:28">
      <c r="A1974" t="s">
        <v>580</v>
      </c>
      <c r="B1974" s="29" t="s">
        <v>2867</v>
      </c>
      <c r="C1974" s="26" t="s">
        <v>2875</v>
      </c>
      <c r="D1974" s="1">
        <v>253</v>
      </c>
      <c r="E1974" t="s">
        <v>639</v>
      </c>
      <c r="F1974" s="3" t="s">
        <v>2869</v>
      </c>
      <c r="G1974" s="1">
        <v>36.200000000000003</v>
      </c>
      <c r="H1974" t="s">
        <v>2876</v>
      </c>
      <c r="I1974" t="s">
        <v>2877</v>
      </c>
      <c r="J1974" s="1">
        <v>2</v>
      </c>
      <c r="K1974" s="1">
        <v>790.36599999999999</v>
      </c>
      <c r="L1974" s="1" t="str">
        <f>HYPERLINK("http://ms.phosphosite.org:5080/cgi-bin/plot-msms.cgi?MassType=1&amp;NumAxis=1&amp;Mod12=170&amp;Pep=EQYQQQQQWGSR&amp;Dta=/var/www/html/dta/yong/23612.5699.2.dta&amp;Global_Mod=CS57.0215", "5699")</f>
        <v>5699</v>
      </c>
      <c r="M1974" s="1" t="str">
        <f>HYPERLINK("http://ms.phosphosite.org:5080/cgi-bin/plot-msms.cgi?MassType=1&amp;NumAxis=1&amp;Mod12=170&amp;Pep=EQYQQQQQWGSR&amp;Dta=/var/www/html/dta/yong/23613.5746.2.dta&amp;Global_Mod=CS57.0215", "5746")</f>
        <v>5746</v>
      </c>
      <c r="N1974" s="27">
        <v>28.46</v>
      </c>
      <c r="O1974" s="27">
        <v>28.43</v>
      </c>
      <c r="P1974" s="27">
        <v>3.802</v>
      </c>
      <c r="Q1974" s="27">
        <v>3.7709999999999999</v>
      </c>
      <c r="R1974" s="27">
        <v>0.23830000000000001</v>
      </c>
      <c r="S1974" s="27">
        <v>0.36859999999999998</v>
      </c>
      <c r="T1974" s="27">
        <v>0.32940000000000003</v>
      </c>
      <c r="U1974" s="27">
        <v>0.29530000000000001</v>
      </c>
      <c r="V1974" s="1">
        <v>1</v>
      </c>
      <c r="W1974" s="1">
        <v>1</v>
      </c>
      <c r="X1974" s="27">
        <v>2.54</v>
      </c>
      <c r="Y1974" s="27">
        <v>2.36</v>
      </c>
      <c r="Z1974" s="28">
        <v>1000</v>
      </c>
      <c r="AA1974" s="28">
        <v>1000</v>
      </c>
      <c r="AB1974" s="1" t="s">
        <v>13</v>
      </c>
    </row>
    <row r="1975" spans="1:28">
      <c r="A1975" t="s">
        <v>580</v>
      </c>
      <c r="B1975" s="29" t="s">
        <v>2867</v>
      </c>
      <c r="C1975" s="26" t="s">
        <v>2875</v>
      </c>
      <c r="D1975" s="1">
        <v>253</v>
      </c>
      <c r="E1975" t="s">
        <v>639</v>
      </c>
      <c r="F1975" s="3" t="s">
        <v>2869</v>
      </c>
      <c r="G1975" s="1">
        <v>36.200000000000003</v>
      </c>
      <c r="H1975" t="s">
        <v>2876</v>
      </c>
      <c r="I1975" t="s">
        <v>2877</v>
      </c>
      <c r="J1975" s="1">
        <v>3</v>
      </c>
      <c r="K1975" s="1">
        <v>527.24649999999997</v>
      </c>
      <c r="L1975" s="1" t="str">
        <f>HYPERLINK("http://ms.phosphosite.org:5080/cgi-bin/plot-msms.cgi?MassType=1&amp;NumAxis=1&amp;Mod12=170&amp;Pep=EQYQQQQQWGSR&amp;Dta=/var/www/html/dta/yong/23612.5705.3.dta&amp;Global_Mod=CS57.0215", "5705")</f>
        <v>5705</v>
      </c>
      <c r="M1975" s="1" t="str">
        <f>HYPERLINK("http://ms.phosphosite.org:5080/cgi-bin/plot-msms.cgi?MassType=1&amp;NumAxis=1&amp;Mod12=170&amp;Pep=EQYQQQQQWGSR&amp;Dta=/var/www/html/dta/yong/23613.5764.3.dta&amp;Global_Mod=CS57.0215", "5764")</f>
        <v>5764</v>
      </c>
      <c r="N1975" s="27">
        <v>28.47</v>
      </c>
      <c r="O1975" s="27">
        <v>28.49</v>
      </c>
      <c r="P1975" s="27">
        <v>3.84</v>
      </c>
      <c r="Q1975" s="27">
        <v>4.24</v>
      </c>
      <c r="R1975" s="27">
        <v>-0.1019</v>
      </c>
      <c r="S1975" s="27">
        <v>1.7100000000000001E-2</v>
      </c>
      <c r="T1975" s="27">
        <v>0.12859999999999999</v>
      </c>
      <c r="U1975" s="27">
        <v>0.1565</v>
      </c>
      <c r="V1975" s="1">
        <v>1</v>
      </c>
      <c r="W1975" s="1">
        <v>1</v>
      </c>
      <c r="X1975" s="27">
        <v>1.6</v>
      </c>
      <c r="Y1975" s="27">
        <v>1.79</v>
      </c>
      <c r="Z1975" s="28">
        <v>1000</v>
      </c>
      <c r="AA1975" s="28">
        <v>1000</v>
      </c>
      <c r="AB1975" s="1" t="s">
        <v>13</v>
      </c>
    </row>
    <row r="1976" spans="1:28">
      <c r="A1976" t="s">
        <v>580</v>
      </c>
      <c r="B1976" s="29" t="s">
        <v>2867</v>
      </c>
      <c r="C1976" s="26" t="s">
        <v>2875</v>
      </c>
      <c r="D1976" s="1">
        <v>253</v>
      </c>
      <c r="E1976" t="s">
        <v>639</v>
      </c>
      <c r="F1976" s="3" t="s">
        <v>2869</v>
      </c>
      <c r="G1976" s="1">
        <v>36.200000000000003</v>
      </c>
      <c r="H1976" t="s">
        <v>2876</v>
      </c>
      <c r="I1976" t="s">
        <v>2878</v>
      </c>
      <c r="J1976" s="1">
        <v>2</v>
      </c>
      <c r="K1976" s="1">
        <v>920.92169999999999</v>
      </c>
      <c r="L1976" s="1" t="str">
        <f>HYPERLINK("http://ms.phosphosite.org:5080/cgi-bin/plot-msms.cgi?MassType=1&amp;NumAxis=1&amp;Mod12=170&amp;Pep=EQYQQQQQWGSRGGF&amp;Dta=/var/www/html/dta/yong/23612.9855.2.dta&amp;Global_Mod=CS57.0215", "9855")</f>
        <v>9855</v>
      </c>
      <c r="M1976" s="1" t="str">
        <f>HYPERLINK("http://ms.phosphosite.org:5080/cgi-bin/plot-msms.cgi?MassType=1&amp;NumAxis=1&amp;Mod12=170&amp;Pep=EQYQQQQQWGSRGGF&amp;Dta=/var/www/html/dta/yong/23613.9917.2.dta&amp;Global_Mod=CS57.0215", "9917")</f>
        <v>9917</v>
      </c>
      <c r="N1976" s="27">
        <v>43.46</v>
      </c>
      <c r="O1976" s="27">
        <v>43.5</v>
      </c>
      <c r="P1976" s="27">
        <v>3.7650000000000001</v>
      </c>
      <c r="Q1976" s="27">
        <v>4.13</v>
      </c>
      <c r="R1976" s="27">
        <v>0.24099999999999999</v>
      </c>
      <c r="S1976" s="27">
        <v>0.46529999999999999</v>
      </c>
      <c r="T1976" s="27">
        <v>0.48060000000000003</v>
      </c>
      <c r="U1976" s="27">
        <v>0.42709999999999998</v>
      </c>
      <c r="V1976" s="1">
        <v>1</v>
      </c>
      <c r="W1976" s="1">
        <v>1</v>
      </c>
      <c r="X1976" s="27">
        <v>3.06</v>
      </c>
      <c r="Y1976" s="27">
        <v>2.86</v>
      </c>
      <c r="Z1976" s="28">
        <v>1000</v>
      </c>
      <c r="AA1976" s="28">
        <v>1000</v>
      </c>
      <c r="AB1976" s="1" t="s">
        <v>13</v>
      </c>
    </row>
    <row r="1977" spans="1:28">
      <c r="A1977" t="s">
        <v>580</v>
      </c>
      <c r="B1977" s="29" t="s">
        <v>2867</v>
      </c>
      <c r="C1977" s="26" t="s">
        <v>2875</v>
      </c>
      <c r="D1977" s="1">
        <v>253</v>
      </c>
      <c r="E1977" t="s">
        <v>639</v>
      </c>
      <c r="F1977" s="3" t="s">
        <v>2869</v>
      </c>
      <c r="G1977" s="1">
        <v>36.200000000000003</v>
      </c>
      <c r="H1977" t="s">
        <v>2876</v>
      </c>
      <c r="I1977" t="s">
        <v>2878</v>
      </c>
      <c r="J1977" s="1">
        <v>3</v>
      </c>
      <c r="K1977" s="1">
        <v>614.28359999999998</v>
      </c>
      <c r="L1977" s="1" t="str">
        <f>HYPERLINK("http://ms.phosphosite.org:5080/cgi-bin/plot-msms.cgi?MassType=1&amp;NumAxis=1&amp;Mod12=170&amp;Pep=EQYQQQQQWGSRGGF&amp;Dta=/var/www/html/dta/yong/23612.9858.3.dta&amp;Global_Mod=CS57.0215", "9858")</f>
        <v>9858</v>
      </c>
      <c r="M1977" s="1" t="str">
        <f>HYPERLINK("http://ms.phosphosite.org:5080/cgi-bin/plot-msms.cgi?MassType=1&amp;NumAxis=1&amp;Mod12=170&amp;Pep=EQYQQQQQWGSRGGF&amp;Dta=/var/www/html/dta/yong/23613.9922.3.dta&amp;Global_Mod=CS57.0215", "9922")</f>
        <v>9922</v>
      </c>
      <c r="N1977" s="27">
        <v>43.46</v>
      </c>
      <c r="O1977" s="27">
        <v>43.52</v>
      </c>
      <c r="P1977" s="27">
        <v>3.3450000000000002</v>
      </c>
      <c r="Q1977" s="27">
        <v>3.5219999999999998</v>
      </c>
      <c r="R1977" s="27">
        <v>1.09E-2</v>
      </c>
      <c r="S1977" s="27">
        <v>-3.6499999999999998E-2</v>
      </c>
      <c r="T1977" s="27">
        <v>0.33839999999999998</v>
      </c>
      <c r="U1977" s="27">
        <v>0.35849999999999999</v>
      </c>
      <c r="V1977" s="1">
        <v>2</v>
      </c>
      <c r="W1977" s="1">
        <v>1</v>
      </c>
      <c r="X1977" s="27">
        <v>2.3199999999999998</v>
      </c>
      <c r="Y1977" s="27">
        <v>2.42</v>
      </c>
      <c r="Z1977" s="28">
        <v>1000</v>
      </c>
      <c r="AA1977" s="28">
        <v>1000</v>
      </c>
      <c r="AB1977" s="1" t="s">
        <v>13</v>
      </c>
    </row>
    <row r="1978" spans="1:28">
      <c r="A1978" t="s">
        <v>580</v>
      </c>
      <c r="B1978" s="29" t="s">
        <v>2867</v>
      </c>
      <c r="C1978" s="26" t="s">
        <v>2875</v>
      </c>
      <c r="D1978" s="1">
        <v>253</v>
      </c>
      <c r="E1978" t="s">
        <v>639</v>
      </c>
      <c r="F1978" s="3" t="s">
        <v>2869</v>
      </c>
      <c r="G1978" s="1">
        <v>36.200000000000003</v>
      </c>
      <c r="H1978" t="s">
        <v>2876</v>
      </c>
      <c r="I1978" t="s">
        <v>2879</v>
      </c>
      <c r="J1978" s="1">
        <v>3</v>
      </c>
      <c r="K1978" s="1">
        <v>709.00350000000003</v>
      </c>
      <c r="L1978" s="1" t="str">
        <f>HYPERLINK("http://ms.phosphosite.org:5080/cgi-bin/plot-msms.cgi?MassType=1&amp;NumAxis=1&amp;Mod12=170&amp;Pep=EQYQQQQQWGSRGGFAGR&amp;Dta=/var/www/html/dta/yong/23612.7500.3.dta&amp;Global_Mod=CS57.0215", "7500")</f>
        <v>7500</v>
      </c>
      <c r="M1978" s="1" t="str">
        <f>HYPERLINK("http://ms.phosphosite.org:5080/cgi-bin/plot-msms.cgi?MassType=1&amp;NumAxis=1&amp;Mod12=170&amp;Pep=EQYQQQQQWGSRGGFAGR&amp;Dta=/var/www/html/dta/yong/23613.7619.3.dta&amp;Global_Mod=CS57.0215", "7619")</f>
        <v>7619</v>
      </c>
      <c r="N1978" s="27">
        <v>35.06</v>
      </c>
      <c r="O1978" s="27">
        <v>35.340000000000003</v>
      </c>
      <c r="P1978" s="27">
        <v>2.7280000000000002</v>
      </c>
      <c r="Q1978" s="27">
        <v>3.399</v>
      </c>
      <c r="R1978" s="27">
        <v>0.17829999999999999</v>
      </c>
      <c r="S1978" s="27">
        <v>0.47699999999999998</v>
      </c>
      <c r="T1978" s="27">
        <v>0.3614</v>
      </c>
      <c r="U1978" s="27">
        <v>0.34499999999999997</v>
      </c>
      <c r="V1978" s="1">
        <v>1</v>
      </c>
      <c r="W1978" s="1">
        <v>1</v>
      </c>
      <c r="X1978" s="27">
        <v>2.29</v>
      </c>
      <c r="Y1978" s="27">
        <v>2.31</v>
      </c>
      <c r="Z1978" s="28">
        <v>1000</v>
      </c>
      <c r="AA1978" s="28">
        <v>1000</v>
      </c>
      <c r="AB1978" s="1" t="s">
        <v>13</v>
      </c>
    </row>
    <row r="1979" spans="1:28">
      <c r="A1979" t="s">
        <v>580</v>
      </c>
      <c r="B1979" s="29" t="s">
        <v>2867</v>
      </c>
      <c r="C1979" s="26" t="s">
        <v>2875</v>
      </c>
      <c r="D1979" s="1">
        <v>253</v>
      </c>
      <c r="E1979" t="s">
        <v>639</v>
      </c>
      <c r="F1979" s="3" t="s">
        <v>2869</v>
      </c>
      <c r="G1979" s="1">
        <v>36.200000000000003</v>
      </c>
      <c r="H1979" t="s">
        <v>2876</v>
      </c>
      <c r="I1979" t="s">
        <v>2879</v>
      </c>
      <c r="J1979" s="1">
        <v>3</v>
      </c>
      <c r="K1979" s="1">
        <v>709.00350000000003</v>
      </c>
      <c r="L1979" s="1"/>
      <c r="M1979" s="1" t="str">
        <f>HYPERLINK("http://ms.phosphosite.org:5080/cgi-bin/plot-msms.cgi?MassType=1&amp;NumAxis=1&amp;Mod12=170&amp;Pep=EQYQQQQQWGSRGGFAGR&amp;Dta=/var/www/html/dta/yong/23613.7554.3.dta&amp;Global_Mod=CS57.0215", "7554")</f>
        <v>7554</v>
      </c>
      <c r="N1979" s="27"/>
      <c r="O1979" s="27">
        <v>35.1</v>
      </c>
      <c r="P1979" s="27"/>
      <c r="Q1979" s="27">
        <v>2.7490000000000001</v>
      </c>
      <c r="R1979" s="27"/>
      <c r="S1979" s="27">
        <v>0.50319999999999998</v>
      </c>
      <c r="T1979" s="27"/>
      <c r="U1979" s="27">
        <v>0.36480000000000001</v>
      </c>
      <c r="V1979" s="1"/>
      <c r="W1979" s="1">
        <v>1</v>
      </c>
      <c r="X1979" s="27"/>
      <c r="Y1979" s="27">
        <v>2.27</v>
      </c>
      <c r="Z1979" s="28"/>
      <c r="AA1979" s="28">
        <v>1000</v>
      </c>
      <c r="AB1979" s="1" t="s">
        <v>13</v>
      </c>
    </row>
    <row r="1980" spans="1:28">
      <c r="A1980" t="s">
        <v>580</v>
      </c>
      <c r="B1980" s="29" t="s">
        <v>2867</v>
      </c>
      <c r="C1980" s="26" t="s">
        <v>2875</v>
      </c>
      <c r="D1980" s="1">
        <v>253</v>
      </c>
      <c r="E1980" t="s">
        <v>639</v>
      </c>
      <c r="F1980" s="3" t="s">
        <v>2869</v>
      </c>
      <c r="G1980" s="1">
        <v>36.200000000000003</v>
      </c>
      <c r="H1980" t="s">
        <v>2876</v>
      </c>
      <c r="I1980" t="s">
        <v>2880</v>
      </c>
      <c r="J1980" s="1">
        <v>2</v>
      </c>
      <c r="K1980" s="1">
        <v>580.28380000000004</v>
      </c>
      <c r="L1980" s="1" t="str">
        <f>HYPERLINK("http://ms.phosphosite.org:5080/cgi-bin/plot-msms.cgi?MassType=1&amp;NumAxis=1&amp;Mod9=170&amp;Pep=QQQQQWGSR&amp;Dta=/var/www/html/dta/yong/23612.3607.2.dta&amp;Global_Mod=CS57.0215", "3607")</f>
        <v>3607</v>
      </c>
      <c r="M1980" s="1" t="str">
        <f>HYPERLINK("http://ms.phosphosite.org:5080/cgi-bin/plot-msms.cgi?MassType=1&amp;NumAxis=1&amp;Mod9=170&amp;Pep=QQQQQWGSR&amp;Dta=/var/www/html/dta/yong/23613.3656.2.dta&amp;Global_Mod=CS57.0215", "3656")</f>
        <v>3656</v>
      </c>
      <c r="N1980" s="27">
        <v>20.47</v>
      </c>
      <c r="O1980" s="27">
        <v>20.47</v>
      </c>
      <c r="P1980" s="27">
        <v>1.899</v>
      </c>
      <c r="Q1980" s="27">
        <v>1.754</v>
      </c>
      <c r="R1980" s="27">
        <v>0.68310000000000004</v>
      </c>
      <c r="S1980" s="27">
        <v>0.61150000000000004</v>
      </c>
      <c r="T1980" s="27">
        <v>0.27410000000000001</v>
      </c>
      <c r="U1980" s="27">
        <v>0.27510000000000001</v>
      </c>
      <c r="V1980" s="1">
        <v>1</v>
      </c>
      <c r="W1980" s="1">
        <v>1</v>
      </c>
      <c r="X1980" s="27">
        <v>1.93</v>
      </c>
      <c r="Y1980" s="27">
        <v>1.88</v>
      </c>
      <c r="Z1980" s="28">
        <v>1000</v>
      </c>
      <c r="AA1980" s="28">
        <v>1000</v>
      </c>
      <c r="AB1980" s="1" t="s">
        <v>13</v>
      </c>
    </row>
    <row r="1981" spans="1:28">
      <c r="A1981" t="s">
        <v>580</v>
      </c>
      <c r="B1981" s="29" t="s">
        <v>2867</v>
      </c>
      <c r="C1981" s="26" t="s">
        <v>2875</v>
      </c>
      <c r="D1981" s="1">
        <v>253</v>
      </c>
      <c r="E1981" t="s">
        <v>639</v>
      </c>
      <c r="F1981" s="3" t="s">
        <v>2869</v>
      </c>
      <c r="G1981" s="1">
        <v>36.200000000000003</v>
      </c>
      <c r="H1981" t="s">
        <v>2881</v>
      </c>
      <c r="I1981" t="s">
        <v>2882</v>
      </c>
      <c r="J1981" s="1">
        <v>3</v>
      </c>
      <c r="K1981" s="1">
        <v>713.67529999999999</v>
      </c>
      <c r="L1981" s="1" t="str">
        <f>HYPERLINK("http://ms.phosphosite.org:5080/cgi-bin/plot-msms.cgi?MassType=1&amp;NumAxis=1&amp;Mod12=170&amp;Mod18=170&amp;Pep=EQYQQQQQWGSRGGFAGR&amp;Dta=/var/www/html/dta/yong/23612.7723.3.dta&amp;Global_Mod=CS57.0215", "7723")</f>
        <v>7723</v>
      </c>
      <c r="M1981" s="1" t="str">
        <f>HYPERLINK("http://ms.phosphosite.org:5080/cgi-bin/plot-msms.cgi?MassType=1&amp;NumAxis=1&amp;Mod12=170&amp;Mod18=170&amp;Pep=EQYQQQQQWGSRGGFAGR&amp;Dta=/var/www/html/dta/yong/23613.7784.3.dta&amp;Global_Mod=CS57.0215", "7784")</f>
        <v>7784</v>
      </c>
      <c r="N1981" s="27">
        <v>35.86</v>
      </c>
      <c r="O1981" s="27">
        <v>35.96</v>
      </c>
      <c r="P1981" s="27">
        <v>2.351</v>
      </c>
      <c r="Q1981" s="27">
        <v>2.93</v>
      </c>
      <c r="R1981" s="27">
        <v>0.42670000000000002</v>
      </c>
      <c r="S1981" s="27">
        <v>0.20880000000000001</v>
      </c>
      <c r="T1981" s="27">
        <v>0.1341</v>
      </c>
      <c r="U1981" s="27">
        <v>0.1244</v>
      </c>
      <c r="V1981" s="1">
        <v>1</v>
      </c>
      <c r="W1981" s="1">
        <v>2</v>
      </c>
      <c r="X1981" s="27">
        <v>1.1000000000000001</v>
      </c>
      <c r="Y1981" s="27">
        <v>1.1200000000000001</v>
      </c>
      <c r="Z1981" s="28" t="s">
        <v>1306</v>
      </c>
      <c r="AA1981" s="28" t="s">
        <v>1306</v>
      </c>
      <c r="AB1981" s="1" t="s">
        <v>13</v>
      </c>
    </row>
    <row r="1982" spans="1:28">
      <c r="A1982" t="s">
        <v>580</v>
      </c>
      <c r="B1982" s="29" t="s">
        <v>2867</v>
      </c>
      <c r="C1982" s="26" t="s">
        <v>2875</v>
      </c>
      <c r="D1982" s="1">
        <v>253</v>
      </c>
      <c r="E1982" t="s">
        <v>639</v>
      </c>
      <c r="F1982" s="3" t="s">
        <v>2869</v>
      </c>
      <c r="G1982" s="1">
        <v>36.200000000000003</v>
      </c>
      <c r="H1982" t="s">
        <v>2881</v>
      </c>
      <c r="I1982" t="s">
        <v>2882</v>
      </c>
      <c r="J1982" s="1">
        <v>3</v>
      </c>
      <c r="K1982" s="1">
        <v>713.67529999999999</v>
      </c>
      <c r="L1982" s="1"/>
      <c r="M1982" s="1" t="str">
        <f>HYPERLINK("http://ms.phosphosite.org:5080/cgi-bin/plot-msms.cgi?MassType=1&amp;NumAxis=1&amp;Mod12=170&amp;Mod18=170&amp;Pep=EQYQQQQQWGSRGGFAGR&amp;Dta=/var/www/html/dta/yong/23613.7775.3.dta&amp;Global_Mod=CS57.0215", "7775")</f>
        <v>7775</v>
      </c>
      <c r="N1982" s="27"/>
      <c r="O1982" s="27">
        <v>35.93</v>
      </c>
      <c r="P1982" s="27"/>
      <c r="Q1982" s="27">
        <v>2.5169999999999999</v>
      </c>
      <c r="R1982" s="27"/>
      <c r="S1982" s="27">
        <v>0.20979999999999999</v>
      </c>
      <c r="T1982" s="27"/>
      <c r="U1982" s="27">
        <v>0.15959999999999999</v>
      </c>
      <c r="V1982" s="1"/>
      <c r="W1982" s="1">
        <v>6</v>
      </c>
      <c r="X1982" s="27"/>
      <c r="Y1982" s="27">
        <v>1.2</v>
      </c>
      <c r="Z1982" s="28"/>
      <c r="AA1982" s="28" t="s">
        <v>1306</v>
      </c>
      <c r="AB1982" s="1" t="s">
        <v>13</v>
      </c>
    </row>
    <row r="1983" spans="1:28">
      <c r="A1983" t="s">
        <v>580</v>
      </c>
      <c r="B1983" s="29" t="s">
        <v>2867</v>
      </c>
      <c r="C1983" s="26" t="s">
        <v>2875</v>
      </c>
      <c r="D1983" s="1">
        <v>326</v>
      </c>
      <c r="E1983" t="s">
        <v>639</v>
      </c>
      <c r="F1983" s="3" t="s">
        <v>2869</v>
      </c>
      <c r="G1983" s="1">
        <v>36.200000000000003</v>
      </c>
      <c r="H1983" t="s">
        <v>640</v>
      </c>
      <c r="I1983" t="s">
        <v>2883</v>
      </c>
      <c r="J1983" s="1">
        <v>2</v>
      </c>
      <c r="K1983" s="1">
        <v>660.82579999999996</v>
      </c>
      <c r="L1983" s="1" t="str">
        <f>HYPERLINK("http://ms.phosphosite.org:5080/cgi-bin/plot-msms.cgi?MassType=1&amp;NumAxis=1&amp;Mod1=170&amp;Pep=RGGHQNSYKPY&amp;Dta=/var/www/html/dta/yong/23612.2245.2.dta&amp;Global_Mod=CS57.0215", "2245")</f>
        <v>2245</v>
      </c>
      <c r="M1983" s="1" t="str">
        <f>HYPERLINK("http://ms.phosphosite.org:5080/cgi-bin/plot-msms.cgi?MassType=1&amp;NumAxis=1&amp;Mod1=170&amp;Pep=RGGHQNSYKPY&amp;Dta=/var/www/html/dta/yong/23613.2271.2.dta&amp;Global_Mod=CS57.0215", "2271")</f>
        <v>2271</v>
      </c>
      <c r="N1983" s="27">
        <v>15.32</v>
      </c>
      <c r="O1983" s="27">
        <v>15.25</v>
      </c>
      <c r="P1983" s="27">
        <v>1.93</v>
      </c>
      <c r="Q1983" s="27">
        <v>1.923</v>
      </c>
      <c r="R1983" s="27">
        <v>0.89939999999999998</v>
      </c>
      <c r="S1983" s="27">
        <v>0.81340000000000001</v>
      </c>
      <c r="T1983" s="27">
        <v>0.16639999999999999</v>
      </c>
      <c r="U1983" s="27">
        <v>0.1454</v>
      </c>
      <c r="V1983" s="1">
        <v>1</v>
      </c>
      <c r="W1983" s="1">
        <v>5</v>
      </c>
      <c r="X1983" s="27">
        <v>1.18</v>
      </c>
      <c r="Y1983" s="27">
        <v>1.05</v>
      </c>
      <c r="Z1983" s="28">
        <v>1000</v>
      </c>
      <c r="AA1983" s="28">
        <v>1000</v>
      </c>
      <c r="AB1983" s="1" t="s">
        <v>13</v>
      </c>
    </row>
    <row r="1984" spans="1:28">
      <c r="A1984" t="s">
        <v>580</v>
      </c>
      <c r="B1984" s="29" t="s">
        <v>2867</v>
      </c>
      <c r="C1984" s="26" t="s">
        <v>2875</v>
      </c>
      <c r="D1984" s="1">
        <v>326</v>
      </c>
      <c r="E1984" t="s">
        <v>639</v>
      </c>
      <c r="F1984" s="3" t="s">
        <v>2869</v>
      </c>
      <c r="G1984" s="1">
        <v>36.200000000000003</v>
      </c>
      <c r="H1984" t="s">
        <v>640</v>
      </c>
      <c r="I1984" t="s">
        <v>2883</v>
      </c>
      <c r="J1984" s="1">
        <v>3</v>
      </c>
      <c r="K1984" s="1">
        <v>440.88630000000001</v>
      </c>
      <c r="L1984" s="1" t="str">
        <f>HYPERLINK("http://ms.phosphosite.org:5080/cgi-bin/plot-msms.cgi?MassType=1&amp;NumAxis=1&amp;Mod1=170&amp;Pep=RGGHQNSYKPY&amp;Dta=/var/www/html/dta/yong/23612.2240.3.dta&amp;Global_Mod=CS57.0215", "2240")</f>
        <v>2240</v>
      </c>
      <c r="M1984" s="1" t="str">
        <f>HYPERLINK("http://ms.phosphosite.org:5080/cgi-bin/plot-msms.cgi?MassType=1&amp;NumAxis=1&amp;Mod1=170&amp;Pep=RGGHQNSYKPY&amp;Dta=/var/www/html/dta/yong/23613.2260.3.dta&amp;Global_Mod=CS57.0215", "2260")</f>
        <v>2260</v>
      </c>
      <c r="N1984" s="27">
        <v>15.31</v>
      </c>
      <c r="O1984" s="27">
        <v>15.22</v>
      </c>
      <c r="P1984" s="27">
        <v>3.0630000000000002</v>
      </c>
      <c r="Q1984" s="27">
        <v>2.84</v>
      </c>
      <c r="R1984" s="27">
        <v>9.2200000000000004E-2</v>
      </c>
      <c r="S1984" s="27">
        <v>6.1199999999999997E-2</v>
      </c>
      <c r="T1984" s="27">
        <v>0.249</v>
      </c>
      <c r="U1984" s="27">
        <v>0.2465</v>
      </c>
      <c r="V1984" s="1">
        <v>1</v>
      </c>
      <c r="W1984" s="1">
        <v>1</v>
      </c>
      <c r="X1984" s="27">
        <v>1.87</v>
      </c>
      <c r="Y1984" s="27">
        <v>1.78</v>
      </c>
      <c r="Z1984" s="28">
        <v>1000</v>
      </c>
      <c r="AA1984" s="28">
        <v>1000</v>
      </c>
      <c r="AB1984" s="1" t="s">
        <v>13</v>
      </c>
    </row>
    <row r="1985" spans="1:28">
      <c r="A1985" t="s">
        <v>580</v>
      </c>
      <c r="B1985" s="2" t="s">
        <v>2884</v>
      </c>
      <c r="C1985" t="s">
        <v>2885</v>
      </c>
      <c r="D1985" s="1">
        <v>233</v>
      </c>
      <c r="E1985" t="s">
        <v>2886</v>
      </c>
      <c r="F1985" s="3" t="s">
        <v>2887</v>
      </c>
      <c r="G1985" s="1">
        <v>49.2</v>
      </c>
      <c r="H1985" t="s">
        <v>2888</v>
      </c>
      <c r="I1985" t="s">
        <v>2889</v>
      </c>
      <c r="J1985" s="1">
        <v>3</v>
      </c>
      <c r="K1985" s="1">
        <v>963.05870000000004</v>
      </c>
      <c r="L1985" s="1" t="str">
        <f>HYPERLINK("http://ms.phosphosite.org:5080/cgi-bin/plot-msms.cgi?MassType=1&amp;NumAxis=1&amp;Mod1=170&amp;Pep=RGAYGGGYGGYDDYNGYNDGYGFGSDR&amp;Dta=/var/www/html/dta/yong/23612.11573.3.dta&amp;Global_Mod=CS57.0215", "11573")</f>
        <v>11573</v>
      </c>
      <c r="M1985" s="1" t="str">
        <f>HYPERLINK("http://ms.phosphosite.org:5080/cgi-bin/plot-msms.cgi?MassType=1&amp;NumAxis=1&amp;Mod1=170&amp;Pep=RGAYGGGYGGYDDYNGYNDGYGFGSDR&amp;Dta=/var/www/html/dta/yong/23613.11475.3.dta&amp;Global_Mod=CS57.0215", "11475")</f>
        <v>11475</v>
      </c>
      <c r="N1985" s="27">
        <v>49.4</v>
      </c>
      <c r="O1985" s="27">
        <v>48.78</v>
      </c>
      <c r="P1985" s="27">
        <v>5.306</v>
      </c>
      <c r="Q1985" s="27">
        <v>7.1289999999999996</v>
      </c>
      <c r="R1985" s="27">
        <v>-9.4169</v>
      </c>
      <c r="S1985" s="27">
        <v>1.0814999999999999</v>
      </c>
      <c r="T1985" s="27">
        <v>0.56759999999999999</v>
      </c>
      <c r="U1985" s="27">
        <v>0.61670000000000003</v>
      </c>
      <c r="V1985" s="1">
        <v>1</v>
      </c>
      <c r="W1985" s="1">
        <v>1</v>
      </c>
      <c r="X1985" s="27">
        <v>3.07</v>
      </c>
      <c r="Y1985" s="27">
        <v>4.16</v>
      </c>
      <c r="Z1985" s="28">
        <v>1000</v>
      </c>
      <c r="AA1985" s="28">
        <v>1000</v>
      </c>
      <c r="AB1985" s="1" t="s">
        <v>13</v>
      </c>
    </row>
    <row r="1986" spans="1:28">
      <c r="A1986" t="s">
        <v>580</v>
      </c>
      <c r="B1986" s="2" t="s">
        <v>2884</v>
      </c>
      <c r="C1986" t="s">
        <v>2885</v>
      </c>
      <c r="D1986" s="1">
        <v>233</v>
      </c>
      <c r="E1986" t="s">
        <v>2886</v>
      </c>
      <c r="F1986" s="3" t="s">
        <v>2887</v>
      </c>
      <c r="G1986" s="1">
        <v>49.2</v>
      </c>
      <c r="H1986" t="s">
        <v>2888</v>
      </c>
      <c r="I1986" t="s">
        <v>2889</v>
      </c>
      <c r="J1986" s="1">
        <v>3</v>
      </c>
      <c r="K1986" s="1">
        <v>963.05870000000004</v>
      </c>
      <c r="L1986" s="1" t="str">
        <f>HYPERLINK("http://ms.phosphosite.org:5080/cgi-bin/plot-msms.cgi?MassType=1&amp;NumAxis=1&amp;Mod1=170&amp;Pep=RGAYGGGYGGYDDYNGYNDGYGFGSDR&amp;Dta=/var/www/html/dta/yong/23612.11414.3.dta&amp;Global_Mod=CS57.0215", "11414")</f>
        <v>11414</v>
      </c>
      <c r="M1986" s="1"/>
      <c r="N1986" s="27">
        <v>48.87</v>
      </c>
      <c r="O1986" s="27"/>
      <c r="P1986" s="27">
        <v>7.1790000000000003</v>
      </c>
      <c r="Q1986" s="27"/>
      <c r="R1986" s="27">
        <v>1.3079000000000001</v>
      </c>
      <c r="S1986" s="27"/>
      <c r="T1986" s="27">
        <v>0.56889999999999996</v>
      </c>
      <c r="U1986" s="27"/>
      <c r="V1986" s="1">
        <v>1</v>
      </c>
      <c r="W1986" s="1"/>
      <c r="X1986" s="27">
        <v>3.9</v>
      </c>
      <c r="Y1986" s="27"/>
      <c r="Z1986" s="28">
        <v>1000</v>
      </c>
      <c r="AA1986" s="28"/>
      <c r="AB1986" s="1" t="s">
        <v>13</v>
      </c>
    </row>
    <row r="1987" spans="1:28">
      <c r="A1987" t="s">
        <v>580</v>
      </c>
      <c r="B1987" s="2" t="s">
        <v>2884</v>
      </c>
      <c r="C1987" t="s">
        <v>2885</v>
      </c>
      <c r="D1987" s="1" t="s">
        <v>2890</v>
      </c>
      <c r="E1987" t="s">
        <v>2886</v>
      </c>
      <c r="F1987" s="3" t="s">
        <v>2887</v>
      </c>
      <c r="G1987" s="1">
        <v>49.2</v>
      </c>
      <c r="H1987" t="s">
        <v>2891</v>
      </c>
      <c r="I1987" t="s">
        <v>2892</v>
      </c>
      <c r="J1987" s="1">
        <v>4</v>
      </c>
      <c r="K1987" s="1">
        <v>816.09749999999997</v>
      </c>
      <c r="L1987" s="1"/>
      <c r="M1987" s="1" t="str">
        <f>HYPERLINK("http://ms.phosphosite.org:5080/cgi-bin/plot-msms.cgi?MassType=1&amp;NumAxis=1&amp;Mod1=170&amp;Mod30=170&amp;Pep=RGAYGGGYGGYDDYNGYNDGYGFGSDRFGR&amp;Dta=/var/www/html/dta/yong/23613.12302.4.dta&amp;Global_Mod=CS57.0215", "12302")</f>
        <v>12302</v>
      </c>
      <c r="N1987" s="27"/>
      <c r="O1987" s="27">
        <v>51.47</v>
      </c>
      <c r="P1987" s="27"/>
      <c r="Q1987" s="27">
        <v>3.5790000000000002</v>
      </c>
      <c r="R1987" s="27"/>
      <c r="S1987" s="27">
        <v>1.4549000000000001</v>
      </c>
      <c r="T1987" s="27"/>
      <c r="U1987" s="27">
        <v>0.24940000000000001</v>
      </c>
      <c r="V1987" s="1"/>
      <c r="W1987" s="1">
        <v>1</v>
      </c>
      <c r="X1987" s="27"/>
      <c r="Y1987" s="27">
        <v>1.43</v>
      </c>
      <c r="Z1987" s="28"/>
      <c r="AA1987" s="28" t="s">
        <v>1306</v>
      </c>
      <c r="AB1987" s="1" t="s">
        <v>13</v>
      </c>
    </row>
    <row r="1988" spans="1:28">
      <c r="A1988" t="s">
        <v>580</v>
      </c>
      <c r="B1988" s="2" t="s">
        <v>2884</v>
      </c>
      <c r="C1988" t="s">
        <v>2885</v>
      </c>
      <c r="D1988" s="1" t="s">
        <v>2890</v>
      </c>
      <c r="E1988" t="s">
        <v>2886</v>
      </c>
      <c r="F1988" s="3" t="s">
        <v>2887</v>
      </c>
      <c r="G1988" s="1">
        <v>49.2</v>
      </c>
      <c r="H1988" t="s">
        <v>2891</v>
      </c>
      <c r="I1988" t="s">
        <v>2892</v>
      </c>
      <c r="J1988" s="1">
        <v>4</v>
      </c>
      <c r="K1988" s="1">
        <v>816.09749999999997</v>
      </c>
      <c r="L1988" s="1"/>
      <c r="M1988" s="1" t="str">
        <f>HYPERLINK("http://ms.phosphosite.org:5080/cgi-bin/plot-msms.cgi?MassType=1&amp;NumAxis=1&amp;Mod1=170&amp;Mod30=170&amp;Pep=RGAYGGGYGGYDDYNGYNDGYGFGSDRFGR&amp;Dta=/var/www/html/dta/yong/23613.12317.4.dta&amp;Global_Mod=CS57.0215", "12317")</f>
        <v>12317</v>
      </c>
      <c r="N1988" s="27"/>
      <c r="O1988" s="27">
        <v>51.52</v>
      </c>
      <c r="P1988" s="27"/>
      <c r="Q1988" s="27">
        <v>3.3220000000000001</v>
      </c>
      <c r="R1988" s="27"/>
      <c r="S1988" s="27">
        <v>1.4549000000000001</v>
      </c>
      <c r="T1988" s="27"/>
      <c r="U1988" s="27">
        <v>0.21049999999999999</v>
      </c>
      <c r="V1988" s="1"/>
      <c r="W1988" s="1">
        <v>1</v>
      </c>
      <c r="X1988" s="27"/>
      <c r="Y1988" s="27">
        <v>1.18</v>
      </c>
      <c r="Z1988" s="28"/>
      <c r="AA1988" s="28" t="s">
        <v>1306</v>
      </c>
      <c r="AB1988" s="1" t="s">
        <v>13</v>
      </c>
    </row>
    <row r="1989" spans="1:28">
      <c r="A1989" t="s">
        <v>580</v>
      </c>
      <c r="B1989" s="2" t="s">
        <v>2893</v>
      </c>
      <c r="C1989" t="s">
        <v>2894</v>
      </c>
      <c r="D1989" s="1">
        <v>233</v>
      </c>
      <c r="E1989" t="s">
        <v>2895</v>
      </c>
      <c r="F1989" s="3" t="s">
        <v>2896</v>
      </c>
      <c r="G1989" s="1">
        <v>49.2</v>
      </c>
      <c r="H1989" t="s">
        <v>2888</v>
      </c>
      <c r="I1989" t="s">
        <v>2897</v>
      </c>
      <c r="J1989" s="1">
        <v>3</v>
      </c>
      <c r="K1989" s="1">
        <v>944.05150000000003</v>
      </c>
      <c r="L1989" s="1" t="str">
        <f>HYPERLINK("http://ms.phosphosite.org:5080/cgi-bin/plot-msms.cgi?MassType=1&amp;NumAxis=1&amp;Mod1=170&amp;Pep=RGAYGGGYGGYDDYGGYNDGYGFGSDR&amp;Dta=/var/www/html/dta/yong/23612.11661.3.dta&amp;Global_Mod=CS57.0215", "11661")</f>
        <v>11661</v>
      </c>
      <c r="M1989" s="1" t="str">
        <f>HYPERLINK("http://ms.phosphosite.org:5080/cgi-bin/plot-msms.cgi?MassType=1&amp;NumAxis=1&amp;Mod1=170&amp;Pep=RGAYGGGYGGYDDYGGYNDGYGFGSDR&amp;Dta=/var/www/html/dta/yong/23613.11740.3.dta&amp;Global_Mod=CS57.0215", "11740")</f>
        <v>11740</v>
      </c>
      <c r="N1989" s="27">
        <v>49.69</v>
      </c>
      <c r="O1989" s="27">
        <v>49.67</v>
      </c>
      <c r="P1989" s="27">
        <v>7.2140000000000004</v>
      </c>
      <c r="Q1989" s="27">
        <v>6.306</v>
      </c>
      <c r="R1989" s="27">
        <v>1.4274</v>
      </c>
      <c r="S1989" s="27">
        <v>1.2635000000000001</v>
      </c>
      <c r="T1989" s="27">
        <v>0.56950000000000001</v>
      </c>
      <c r="U1989" s="27">
        <v>0.53920000000000001</v>
      </c>
      <c r="V1989" s="1">
        <v>1</v>
      </c>
      <c r="W1989" s="1">
        <v>1</v>
      </c>
      <c r="X1989" s="27">
        <v>3.85</v>
      </c>
      <c r="Y1989" s="27">
        <v>3.52</v>
      </c>
      <c r="Z1989" s="28">
        <v>1000</v>
      </c>
      <c r="AA1989" s="28">
        <v>1000</v>
      </c>
      <c r="AB1989" s="1" t="s">
        <v>13</v>
      </c>
    </row>
    <row r="1990" spans="1:28">
      <c r="A1990" t="s">
        <v>580</v>
      </c>
      <c r="B1990" s="2" t="s">
        <v>2893</v>
      </c>
      <c r="C1990" t="s">
        <v>2894</v>
      </c>
      <c r="D1990" s="1">
        <v>233</v>
      </c>
      <c r="E1990" t="s">
        <v>2895</v>
      </c>
      <c r="F1990" s="3" t="s">
        <v>2896</v>
      </c>
      <c r="G1990" s="1">
        <v>49.2</v>
      </c>
      <c r="H1990" t="s">
        <v>2888</v>
      </c>
      <c r="I1990" t="s">
        <v>2897</v>
      </c>
      <c r="J1990" s="1">
        <v>3</v>
      </c>
      <c r="K1990" s="1">
        <v>944.05150000000003</v>
      </c>
      <c r="L1990" s="1" t="str">
        <f>HYPERLINK("http://ms.phosphosite.org:5080/cgi-bin/plot-msms.cgi?MassType=1&amp;NumAxis=1&amp;Mod1=170&amp;Pep=RGAYGGGYGGYDDYGGYNDGYGFGSDR&amp;Dta=/var/www/html/dta/yong/23612.11667.3.dta&amp;Global_Mod=CS57.0215", "11667")</f>
        <v>11667</v>
      </c>
      <c r="M1990" s="1"/>
      <c r="N1990" s="27">
        <v>49.72</v>
      </c>
      <c r="O1990" s="27"/>
      <c r="P1990" s="27">
        <v>6.4710000000000001</v>
      </c>
      <c r="Q1990" s="27"/>
      <c r="R1990" s="27">
        <v>1.7285999999999999</v>
      </c>
      <c r="S1990" s="27"/>
      <c r="T1990" s="27">
        <v>0.52539999999999998</v>
      </c>
      <c r="U1990" s="27"/>
      <c r="V1990" s="1">
        <v>1</v>
      </c>
      <c r="W1990" s="1"/>
      <c r="X1990" s="27">
        <v>3.48</v>
      </c>
      <c r="Y1990" s="27"/>
      <c r="Z1990" s="28">
        <v>1000</v>
      </c>
      <c r="AA1990" s="28"/>
      <c r="AB1990" s="1" t="s">
        <v>13</v>
      </c>
    </row>
    <row r="1991" spans="1:28">
      <c r="A1991" t="s">
        <v>580</v>
      </c>
      <c r="B1991" s="2" t="s">
        <v>2898</v>
      </c>
      <c r="C1991" t="s">
        <v>2899</v>
      </c>
      <c r="D1991" s="1" t="s">
        <v>2900</v>
      </c>
      <c r="E1991" t="s">
        <v>642</v>
      </c>
      <c r="F1991" s="3" t="s">
        <v>2901</v>
      </c>
      <c r="G1991" s="1">
        <v>35.200000000000003</v>
      </c>
      <c r="H1991" t="s">
        <v>2902</v>
      </c>
      <c r="I1991" t="s">
        <v>2903</v>
      </c>
      <c r="J1991" s="1">
        <v>5</v>
      </c>
      <c r="K1991" s="1">
        <v>947.61310000000003</v>
      </c>
      <c r="L1991" s="1" t="str">
        <f>HYPERLINK("http://ms.phosphosite.org:5080/cgi-bin/plot-msms.cgi?MassType=1&amp;NumAxis=1&amp;Mod6=170&amp;Mod11=170&amp;Mod19=170&amp;Pep=PGPYDRPIGGRGGYYGAGRGSYGGFDDYGGYNNYGYGNDGFDDR&amp;Dta=/var/www/html/dta/yong/23612.12773.5.dta&amp;Global_Mod=CS57.0215", "12773")</f>
        <v>12773</v>
      </c>
      <c r="M1991" s="1" t="str">
        <f>HYPERLINK("http://ms.phosphosite.org:5080/cgi-bin/plot-msms.cgi?MassType=1&amp;NumAxis=1&amp;Mod6=170&amp;Mod11=170&amp;Mod19=170&amp;Pep=PGPYDRPIGGRGGYYGAGRGSYGGFDDYGGYNNYGYGNDGFDDR&amp;Dta=/var/www/html/dta/yong/23613.12836.5.dta&amp;Global_Mod=CS57.0215", "12836")</f>
        <v>12836</v>
      </c>
      <c r="N1991" s="27">
        <v>53.46</v>
      </c>
      <c r="O1991" s="27">
        <v>53.36</v>
      </c>
      <c r="P1991" s="27">
        <v>3.754</v>
      </c>
      <c r="Q1991" s="27">
        <v>3.3039999999999998</v>
      </c>
      <c r="R1991" s="27">
        <v>0.60070000000000001</v>
      </c>
      <c r="S1991" s="27">
        <v>0.84379999999999999</v>
      </c>
      <c r="T1991" s="27">
        <v>0.2104</v>
      </c>
      <c r="U1991" s="27">
        <v>0.1431</v>
      </c>
      <c r="V1991" s="1">
        <v>1</v>
      </c>
      <c r="W1991" s="1">
        <v>1</v>
      </c>
      <c r="X1991" s="27">
        <v>1.26</v>
      </c>
      <c r="Y1991" s="27">
        <v>0.76</v>
      </c>
      <c r="Z1991" s="28" t="s">
        <v>1307</v>
      </c>
      <c r="AA1991" s="28" t="s">
        <v>1307</v>
      </c>
      <c r="AB1991" s="1" t="s">
        <v>13</v>
      </c>
    </row>
    <row r="1992" spans="1:28">
      <c r="A1992" t="s">
        <v>580</v>
      </c>
      <c r="B1992" s="2" t="s">
        <v>2898</v>
      </c>
      <c r="C1992" t="s">
        <v>2899</v>
      </c>
      <c r="D1992" s="1">
        <v>129</v>
      </c>
      <c r="E1992" t="s">
        <v>642</v>
      </c>
      <c r="F1992" s="3" t="s">
        <v>2901</v>
      </c>
      <c r="G1992" s="1">
        <v>35.200000000000003</v>
      </c>
      <c r="H1992" t="s">
        <v>2904</v>
      </c>
      <c r="I1992" t="s">
        <v>2905</v>
      </c>
      <c r="J1992" s="1">
        <v>3</v>
      </c>
      <c r="K1992" s="1">
        <v>1034.0836999999999</v>
      </c>
      <c r="L1992" s="1" t="str">
        <f>HYPERLINK("http://ms.phosphosite.org:5080/cgi-bin/plot-msms.cgi?MassType=1&amp;NumAxis=1&amp;Mod4=170&amp;Pep=GAGRGSYGGFDDYGGYNNYGYGNDGFDDR&amp;Dta=/var/www/html/dta/yong/23612.12500.3.dta&amp;Global_Mod=CS57.0215", "12500")</f>
        <v>12500</v>
      </c>
      <c r="M1992" s="1" t="str">
        <f>HYPERLINK("http://ms.phosphosite.org:5080/cgi-bin/plot-msms.cgi?MassType=1&amp;NumAxis=1&amp;Mod4=170&amp;Pep=GAGRGSYGGFDDYGGYNNYGYGNDGFDDR&amp;Dta=/var/www/html/dta/yong/23613.12591.3.dta&amp;Global_Mod=CS57.0215", "12591")</f>
        <v>12591</v>
      </c>
      <c r="N1992" s="27">
        <v>52.53</v>
      </c>
      <c r="O1992" s="27">
        <v>52.51</v>
      </c>
      <c r="P1992" s="27">
        <v>5.8559999999999999</v>
      </c>
      <c r="Q1992" s="27">
        <v>6.2060000000000004</v>
      </c>
      <c r="R1992" s="27">
        <v>2.0874999999999999</v>
      </c>
      <c r="S1992" s="27">
        <v>0.41310000000000002</v>
      </c>
      <c r="T1992" s="27">
        <v>0.58309999999999995</v>
      </c>
      <c r="U1992" s="27">
        <v>0.51870000000000005</v>
      </c>
      <c r="V1992" s="1">
        <v>1</v>
      </c>
      <c r="W1992" s="1">
        <v>1</v>
      </c>
      <c r="X1992" s="27">
        <v>3.68</v>
      </c>
      <c r="Y1992" s="27">
        <v>3.51</v>
      </c>
      <c r="Z1992" s="28">
        <v>1000</v>
      </c>
      <c r="AA1992" s="28">
        <v>1000</v>
      </c>
      <c r="AB1992" s="1" t="s">
        <v>13</v>
      </c>
    </row>
    <row r="1993" spans="1:28">
      <c r="A1993" t="s">
        <v>580</v>
      </c>
      <c r="B1993" s="2" t="s">
        <v>2898</v>
      </c>
      <c r="C1993" t="s">
        <v>2899</v>
      </c>
      <c r="D1993" s="1">
        <v>129</v>
      </c>
      <c r="E1993" t="s">
        <v>642</v>
      </c>
      <c r="F1993" s="3" t="s">
        <v>2901</v>
      </c>
      <c r="G1993" s="1">
        <v>35.200000000000003</v>
      </c>
      <c r="H1993" t="s">
        <v>2904</v>
      </c>
      <c r="I1993" t="s">
        <v>2906</v>
      </c>
      <c r="J1993" s="1">
        <v>3</v>
      </c>
      <c r="K1993" s="1">
        <v>1180.8069</v>
      </c>
      <c r="L1993" s="1" t="str">
        <f>HYPERLINK("http://ms.phosphosite.org:5080/cgi-bin/plot-msms.cgi?MassType=1&amp;NumAxis=1&amp;Mod8=170&amp;Pep=GGYYGAGRGSYGGFDDYGGYNNYGYGNDGFDDR&amp;Dta=/var/www/html/dta/yong/23612.13481.3.dta&amp;Global_Mod=CS57.0215", "13481")</f>
        <v>13481</v>
      </c>
      <c r="M1993" s="1" t="str">
        <f>HYPERLINK("http://ms.phosphosite.org:5080/cgi-bin/plot-msms.cgi?MassType=1&amp;NumAxis=1&amp;Mod8=170&amp;Pep=GGYYGAGRGSYGGFDDYGGYNNYGYGNDGFDDR&amp;Dta=/var/www/html/dta/yong/23613.13588.3.dta&amp;Global_Mod=CS57.0215", "13588")</f>
        <v>13588</v>
      </c>
      <c r="N1993" s="27">
        <v>56</v>
      </c>
      <c r="O1993" s="27">
        <v>56.05</v>
      </c>
      <c r="P1993" s="27">
        <v>6.7309999999999999</v>
      </c>
      <c r="Q1993" s="27">
        <v>6.4320000000000004</v>
      </c>
      <c r="R1993" s="27">
        <v>1.2325999999999999</v>
      </c>
      <c r="S1993" s="27">
        <v>1.0456000000000001</v>
      </c>
      <c r="T1993" s="27">
        <v>0.5524</v>
      </c>
      <c r="U1993" s="27">
        <v>0.5363</v>
      </c>
      <c r="V1993" s="1">
        <v>1</v>
      </c>
      <c r="W1993" s="1">
        <v>1</v>
      </c>
      <c r="X1993" s="27">
        <v>3.7</v>
      </c>
      <c r="Y1993" s="27">
        <v>3.56</v>
      </c>
      <c r="Z1993" s="28">
        <v>1000</v>
      </c>
      <c r="AA1993" s="28">
        <v>1000</v>
      </c>
      <c r="AB1993" s="1" t="s">
        <v>13</v>
      </c>
    </row>
    <row r="1994" spans="1:28">
      <c r="A1994" t="s">
        <v>580</v>
      </c>
      <c r="B1994" s="2" t="s">
        <v>2898</v>
      </c>
      <c r="C1994" t="s">
        <v>2899</v>
      </c>
      <c r="D1994" s="1">
        <v>129</v>
      </c>
      <c r="E1994" t="s">
        <v>642</v>
      </c>
      <c r="F1994" s="3" t="s">
        <v>2901</v>
      </c>
      <c r="G1994" s="1">
        <v>35.200000000000003</v>
      </c>
      <c r="H1994" t="s">
        <v>2904</v>
      </c>
      <c r="I1994" t="s">
        <v>2906</v>
      </c>
      <c r="J1994" s="1">
        <v>3</v>
      </c>
      <c r="K1994" s="1">
        <v>1180.8069</v>
      </c>
      <c r="L1994" s="1" t="str">
        <f>HYPERLINK("http://ms.phosphosite.org:5080/cgi-bin/plot-msms.cgi?MassType=1&amp;NumAxis=1&amp;Mod8=170&amp;Pep=GGYYGAGRGSYGGFDDYGGYNNYGYGNDGFDDR&amp;Dta=/var/www/html/dta/yong/23612.13493.3.dta&amp;Global_Mod=CS57.0215", "13493")</f>
        <v>13493</v>
      </c>
      <c r="M1994" s="1"/>
      <c r="N1994" s="27">
        <v>56.04</v>
      </c>
      <c r="O1994" s="27"/>
      <c r="P1994" s="27">
        <v>6.2949999999999999</v>
      </c>
      <c r="Q1994" s="27"/>
      <c r="R1994" s="27">
        <v>1.1979</v>
      </c>
      <c r="S1994" s="27"/>
      <c r="T1994" s="27">
        <v>0.62150000000000005</v>
      </c>
      <c r="U1994" s="27"/>
      <c r="V1994" s="1">
        <v>1</v>
      </c>
      <c r="W1994" s="1"/>
      <c r="X1994" s="27">
        <v>3.95</v>
      </c>
      <c r="Y1994" s="27"/>
      <c r="Z1994" s="28">
        <v>1000</v>
      </c>
      <c r="AA1994" s="28"/>
      <c r="AB1994" s="1" t="s">
        <v>13</v>
      </c>
    </row>
    <row r="1995" spans="1:28">
      <c r="A1995" t="s">
        <v>580</v>
      </c>
      <c r="B1995" s="2" t="s">
        <v>2898</v>
      </c>
      <c r="C1995" t="s">
        <v>2899</v>
      </c>
      <c r="D1995" s="1">
        <v>129</v>
      </c>
      <c r="E1995" t="s">
        <v>642</v>
      </c>
      <c r="F1995" s="3" t="s">
        <v>2901</v>
      </c>
      <c r="G1995" s="1">
        <v>35.200000000000003</v>
      </c>
      <c r="H1995" t="s">
        <v>2904</v>
      </c>
      <c r="I1995" t="s">
        <v>2906</v>
      </c>
      <c r="J1995" s="1">
        <v>4</v>
      </c>
      <c r="K1995" s="1">
        <v>885.85699999999997</v>
      </c>
      <c r="L1995" s="1" t="str">
        <f>HYPERLINK("http://ms.phosphosite.org:5080/cgi-bin/plot-msms.cgi?MassType=1&amp;NumAxis=1&amp;Mod8=170&amp;Pep=GGYYGAGRGSYGGFDDYGGYNNYGYGNDGFDDR&amp;Dta=/var/www/html/dta/yong/23612.13503.4.dta&amp;Global_Mod=CS57.0215", "13503")</f>
        <v>13503</v>
      </c>
      <c r="M1995" s="1" t="str">
        <f>HYPERLINK("http://ms.phosphosite.org:5080/cgi-bin/plot-msms.cgi?MassType=1&amp;NumAxis=1&amp;Mod8=170&amp;Pep=GGYYGAGRGSYGGFDDYGGYNNYGYGNDGFDDR&amp;Dta=/var/www/html/dta/yong/23613.13599.4.dta&amp;Global_Mod=CS57.0215", "13599")</f>
        <v>13599</v>
      </c>
      <c r="N1995" s="27">
        <v>56.06</v>
      </c>
      <c r="O1995" s="27">
        <v>56.08</v>
      </c>
      <c r="P1995" s="27">
        <v>4.03</v>
      </c>
      <c r="Q1995" s="27">
        <v>4.4189999999999996</v>
      </c>
      <c r="R1995" s="27">
        <v>-1.9</v>
      </c>
      <c r="S1995" s="27">
        <v>0.66349999999999998</v>
      </c>
      <c r="T1995" s="27">
        <v>0.38769999999999999</v>
      </c>
      <c r="U1995" s="27">
        <v>0.44929999999999998</v>
      </c>
      <c r="V1995" s="1">
        <v>1</v>
      </c>
      <c r="W1995" s="1">
        <v>1</v>
      </c>
      <c r="X1995" s="27">
        <v>2.34</v>
      </c>
      <c r="Y1995" s="27">
        <v>2.78</v>
      </c>
      <c r="Z1995" s="28">
        <v>1000</v>
      </c>
      <c r="AA1995" s="28">
        <v>1000</v>
      </c>
      <c r="AB1995" s="1" t="s">
        <v>13</v>
      </c>
    </row>
    <row r="1996" spans="1:28">
      <c r="A1996" t="s">
        <v>580</v>
      </c>
      <c r="B1996" s="2" t="s">
        <v>2898</v>
      </c>
      <c r="C1996" t="s">
        <v>2899</v>
      </c>
      <c r="D1996" s="1">
        <v>129</v>
      </c>
      <c r="E1996" t="s">
        <v>642</v>
      </c>
      <c r="F1996" s="3" t="s">
        <v>2901</v>
      </c>
      <c r="G1996" s="1">
        <v>35.200000000000003</v>
      </c>
      <c r="H1996" t="s">
        <v>2904</v>
      </c>
      <c r="I1996" t="s">
        <v>2907</v>
      </c>
      <c r="J1996" s="1">
        <v>3</v>
      </c>
      <c r="K1996" s="1">
        <v>1088.4381000000001</v>
      </c>
      <c r="L1996" s="1" t="str">
        <f>HYPERLINK("http://ms.phosphosite.org:5080/cgi-bin/plot-msms.cgi?MassType=1&amp;NumAxis=1&amp;Mod5=170&amp;Pep=YGAGRGSYGGFDDYGGYNNYGYGNDGFDDR&amp;Dta=/var/www/html/dta/yong/23612.12930.3.dta&amp;Global_Mod=CS57.0215", "12930")</f>
        <v>12930</v>
      </c>
      <c r="M1996" s="1" t="str">
        <f>HYPERLINK("http://ms.phosphosite.org:5080/cgi-bin/plot-msms.cgi?MassType=1&amp;NumAxis=1&amp;Mod5=170&amp;Pep=YGAGRGSYGGFDDYGGYNNYGYGNDGFDDR&amp;Dta=/var/www/html/dta/yong/23613.13038.3.dta&amp;Global_Mod=CS57.0215", "13038")</f>
        <v>13038</v>
      </c>
      <c r="N1996" s="27">
        <v>53.98</v>
      </c>
      <c r="O1996" s="27">
        <v>54.06</v>
      </c>
      <c r="P1996" s="27">
        <v>6.5570000000000004</v>
      </c>
      <c r="Q1996" s="27">
        <v>6.2069999999999999</v>
      </c>
      <c r="R1996" s="27">
        <v>1.5125</v>
      </c>
      <c r="S1996" s="27">
        <v>1.0443</v>
      </c>
      <c r="T1996" s="27">
        <v>0.61170000000000002</v>
      </c>
      <c r="U1996" s="27">
        <v>0.54920000000000002</v>
      </c>
      <c r="V1996" s="1">
        <v>1</v>
      </c>
      <c r="W1996" s="1">
        <v>1</v>
      </c>
      <c r="X1996" s="27">
        <v>3.97</v>
      </c>
      <c r="Y1996" s="27">
        <v>3.61</v>
      </c>
      <c r="Z1996" s="28">
        <v>1000</v>
      </c>
      <c r="AA1996" s="28">
        <v>1000</v>
      </c>
      <c r="AB1996" s="1" t="s">
        <v>13</v>
      </c>
    </row>
    <row r="1997" spans="1:28">
      <c r="A1997" t="s">
        <v>580</v>
      </c>
      <c r="B1997" s="2" t="s">
        <v>2898</v>
      </c>
      <c r="C1997" t="s">
        <v>2899</v>
      </c>
      <c r="D1997" s="1">
        <v>129</v>
      </c>
      <c r="E1997" t="s">
        <v>642</v>
      </c>
      <c r="F1997" s="3" t="s">
        <v>2901</v>
      </c>
      <c r="G1997" s="1">
        <v>35.200000000000003</v>
      </c>
      <c r="H1997" t="s">
        <v>2904</v>
      </c>
      <c r="I1997" t="s">
        <v>2907</v>
      </c>
      <c r="J1997" s="1">
        <v>3</v>
      </c>
      <c r="K1997" s="1">
        <v>1088.4381000000001</v>
      </c>
      <c r="L1997" s="1" t="str">
        <f>HYPERLINK("http://ms.phosphosite.org:5080/cgi-bin/plot-msms.cgi?MassType=1&amp;NumAxis=1&amp;Mod5=170&amp;Pep=YGAGRGSYGGFDDYGGYNNYGYGNDGFDDR&amp;Dta=/var/www/html/dta/yong/23612.12925.3.dta&amp;Global_Mod=CS57.0215", "12925")</f>
        <v>12925</v>
      </c>
      <c r="M1997" s="1"/>
      <c r="N1997" s="27">
        <v>53.96</v>
      </c>
      <c r="O1997" s="27"/>
      <c r="P1997" s="27">
        <v>6.7789999999999999</v>
      </c>
      <c r="Q1997" s="27"/>
      <c r="R1997" s="27">
        <v>1.5125</v>
      </c>
      <c r="S1997" s="27"/>
      <c r="T1997" s="27">
        <v>0.59840000000000004</v>
      </c>
      <c r="U1997" s="27"/>
      <c r="V1997" s="1">
        <v>1</v>
      </c>
      <c r="W1997" s="1"/>
      <c r="X1997" s="27">
        <v>3.95</v>
      </c>
      <c r="Y1997" s="27"/>
      <c r="Z1997" s="28">
        <v>1000</v>
      </c>
      <c r="AA1997" s="28"/>
      <c r="AB1997" s="1" t="s">
        <v>13</v>
      </c>
    </row>
    <row r="1998" spans="1:28">
      <c r="A1998" t="s">
        <v>580</v>
      </c>
      <c r="B1998" s="29" t="s">
        <v>2908</v>
      </c>
      <c r="C1998" s="26" t="s">
        <v>2909</v>
      </c>
      <c r="D1998" s="1">
        <v>129</v>
      </c>
      <c r="E1998" t="s">
        <v>642</v>
      </c>
      <c r="F1998" s="3" t="s">
        <v>2901</v>
      </c>
      <c r="G1998" s="1">
        <v>36.9</v>
      </c>
      <c r="H1998" t="s">
        <v>2910</v>
      </c>
      <c r="I1998" t="s">
        <v>2911</v>
      </c>
      <c r="J1998" s="1">
        <v>3</v>
      </c>
      <c r="K1998" s="1">
        <v>508.56139999999999</v>
      </c>
      <c r="L1998" s="1" t="str">
        <f>HYPERLINK("http://ms.phosphosite.org:5080/cgi-bin/plot-msms.cgi?MassType=1&amp;NumAxis=1&amp;Mod8=170&amp;Pep=GGYYGAGRGSMYDR&amp;Dta=/var/www/html/dta/yong/23612.5794.3.dta&amp;Global_Mod=CS57.0215", "5794")</f>
        <v>5794</v>
      </c>
      <c r="M1998" s="1" t="str">
        <f>HYPERLINK("http://ms.phosphosite.org:5080/cgi-bin/plot-msms.cgi?MassType=1&amp;NumAxis=1&amp;Mod8=170&amp;Pep=GGYYGAGRGSMYDR&amp;Dta=/var/www/html/dta/yong/23613.5835.3.dta&amp;Global_Mod=CS57.0215", "5835")</f>
        <v>5835</v>
      </c>
      <c r="N1998" s="27">
        <v>28.79</v>
      </c>
      <c r="O1998" s="27">
        <v>28.74</v>
      </c>
      <c r="P1998" s="27">
        <v>1.7450000000000001</v>
      </c>
      <c r="Q1998" s="27">
        <v>1.8740000000000001</v>
      </c>
      <c r="R1998" s="27">
        <v>0.45650000000000002</v>
      </c>
      <c r="S1998" s="27">
        <v>-5.2400000000000002E-2</v>
      </c>
      <c r="T1998" s="27">
        <v>0.1368</v>
      </c>
      <c r="U1998" s="27">
        <v>0.155</v>
      </c>
      <c r="V1998" s="1">
        <v>11</v>
      </c>
      <c r="W1998" s="1">
        <v>28</v>
      </c>
      <c r="X1998" s="27">
        <v>2.04</v>
      </c>
      <c r="Y1998" s="27">
        <v>2.16</v>
      </c>
      <c r="Z1998" s="28">
        <v>1000</v>
      </c>
      <c r="AA1998" s="28">
        <v>1000</v>
      </c>
      <c r="AB1998" s="1" t="s">
        <v>13</v>
      </c>
    </row>
    <row r="1999" spans="1:28">
      <c r="A1999" t="s">
        <v>580</v>
      </c>
      <c r="B1999" s="29" t="s">
        <v>2908</v>
      </c>
      <c r="C1999" s="26" t="s">
        <v>2909</v>
      </c>
      <c r="D1999" s="30" t="s">
        <v>2912</v>
      </c>
      <c r="E1999" t="s">
        <v>642</v>
      </c>
      <c r="F1999" s="3" t="s">
        <v>2901</v>
      </c>
      <c r="G1999" s="1">
        <v>36.9</v>
      </c>
      <c r="H1999" t="s">
        <v>2913</v>
      </c>
      <c r="I1999" t="s">
        <v>2914</v>
      </c>
      <c r="J1999" s="1">
        <v>4</v>
      </c>
      <c r="K1999" s="1">
        <v>641.09259999999995</v>
      </c>
      <c r="L1999" s="1"/>
      <c r="M1999" s="1" t="str">
        <f>HYPERLINK("http://ms.phosphosite.org:5080/cgi-bin/plot-msms.cgi?MassType=1&amp;NumAxis=1&amp;Mod16=170&amp;Mod24=170&amp;Pep=LLGQRPGPYDRPIGGRGGYYGAGR&amp;Dta=/var/www/html/dta/yong/23613.7967.4.dta&amp;Global_Mod=CS57.0215", "7967")</f>
        <v>7967</v>
      </c>
      <c r="N1999" s="27"/>
      <c r="O1999" s="27">
        <v>36.64</v>
      </c>
      <c r="P1999" s="27"/>
      <c r="Q1999" s="27">
        <v>2.9319999999999999</v>
      </c>
      <c r="R1999" s="27"/>
      <c r="S1999" s="27">
        <v>0.14680000000000001</v>
      </c>
      <c r="T1999" s="27"/>
      <c r="U1999" s="27">
        <v>6.5600000000000006E-2</v>
      </c>
      <c r="V1999" s="1"/>
      <c r="W1999" s="1">
        <v>1</v>
      </c>
      <c r="X1999" s="27"/>
      <c r="Y1999" s="27">
        <v>1.88</v>
      </c>
      <c r="Z1999" s="28"/>
      <c r="AA1999" s="28" t="s">
        <v>2915</v>
      </c>
      <c r="AB1999" s="1" t="s">
        <v>13</v>
      </c>
    </row>
    <row r="2000" spans="1:28">
      <c r="A2000" t="s">
        <v>580</v>
      </c>
      <c r="B2000" s="29" t="s">
        <v>2908</v>
      </c>
      <c r="C2000" s="26" t="s">
        <v>2909</v>
      </c>
      <c r="D2000" s="30" t="s">
        <v>2912</v>
      </c>
      <c r="E2000" t="s">
        <v>642</v>
      </c>
      <c r="F2000" s="3" t="s">
        <v>2901</v>
      </c>
      <c r="G2000" s="1">
        <v>36.9</v>
      </c>
      <c r="H2000" t="s">
        <v>2916</v>
      </c>
      <c r="I2000" t="s">
        <v>2917</v>
      </c>
      <c r="J2000" s="1">
        <v>3</v>
      </c>
      <c r="K2000" s="1">
        <v>436.89839999999998</v>
      </c>
      <c r="L2000" s="1"/>
      <c r="M2000" s="1" t="str">
        <f>HYPERLINK("http://ms.phosphosite.org:5080/cgi-bin/plot-msms.cgi?MassType=1&amp;NumAxis=1&amp;Mod5=170&amp;Mod13=170&amp;Pep=PIGGRGGYYGAGR&amp;Dta=/var/www/html/dta/yong/23613.4958.3.dta&amp;Global_Mod=CS57.0215", "4958")</f>
        <v>4958</v>
      </c>
      <c r="N2000" s="27"/>
      <c r="O2000" s="27">
        <v>25.44</v>
      </c>
      <c r="P2000" s="27"/>
      <c r="Q2000" s="27">
        <v>2.0139999999999998</v>
      </c>
      <c r="R2000" s="27"/>
      <c r="S2000" s="27">
        <v>0.34389999999999998</v>
      </c>
      <c r="T2000" s="27"/>
      <c r="U2000" s="27">
        <v>0.22689999999999999</v>
      </c>
      <c r="V2000" s="1"/>
      <c r="W2000" s="1">
        <v>1</v>
      </c>
      <c r="X2000" s="27"/>
      <c r="Y2000" s="27">
        <v>2.59</v>
      </c>
      <c r="Z2000" s="28"/>
      <c r="AA2000" s="28" t="s">
        <v>1306</v>
      </c>
      <c r="AB2000" s="1" t="s">
        <v>13</v>
      </c>
    </row>
    <row r="2001" spans="1:28">
      <c r="A2001" t="s">
        <v>580</v>
      </c>
      <c r="B2001" s="29" t="s">
        <v>2908</v>
      </c>
      <c r="C2001" s="26" t="s">
        <v>2909</v>
      </c>
      <c r="D2001" s="1">
        <v>129</v>
      </c>
      <c r="E2001" t="s">
        <v>642</v>
      </c>
      <c r="F2001" s="3" t="s">
        <v>2901</v>
      </c>
      <c r="G2001" s="1">
        <v>36.9</v>
      </c>
      <c r="H2001" t="s">
        <v>2910</v>
      </c>
      <c r="I2001" t="s">
        <v>2918</v>
      </c>
      <c r="J2001" s="1">
        <v>2</v>
      </c>
      <c r="K2001" s="1">
        <v>407.69580000000002</v>
      </c>
      <c r="L2001" s="1" t="str">
        <f>HYPERLINK("http://ms.phosphosite.org:5080/cgi-bin/plot-msms.cgi?MassType=1&amp;NumAxis=1&amp;Mod8=170&amp;Pep=GGYYGAGR&amp;Dta=/var/www/html/dta/yong/23612.3518.2.dta&amp;Global_Mod=CS57.0215", "3518")</f>
        <v>3518</v>
      </c>
      <c r="M2001" s="1" t="str">
        <f>HYPERLINK("http://ms.phosphosite.org:5080/cgi-bin/plot-msms.cgi?MassType=1&amp;NumAxis=1&amp;Mod8=170&amp;Pep=GGYYGAGR&amp;Dta=/var/www/html/dta/yong/23613.3575.2.dta&amp;Global_Mod=CS57.0215", "3575")</f>
        <v>3575</v>
      </c>
      <c r="N2001" s="27">
        <v>20.11</v>
      </c>
      <c r="O2001" s="27">
        <v>20.149999999999999</v>
      </c>
      <c r="P2001" s="27">
        <v>2.399</v>
      </c>
      <c r="Q2001" s="27">
        <v>2.0019999999999998</v>
      </c>
      <c r="R2001" s="27">
        <v>0.25700000000000001</v>
      </c>
      <c r="S2001" s="27">
        <v>0.27260000000000001</v>
      </c>
      <c r="T2001" s="27">
        <v>6.3600000000000004E-2</v>
      </c>
      <c r="U2001" s="27">
        <v>0.13070000000000001</v>
      </c>
      <c r="V2001" s="1">
        <v>5</v>
      </c>
      <c r="W2001" s="1">
        <v>1</v>
      </c>
      <c r="X2001" s="27">
        <v>2.0099999999999998</v>
      </c>
      <c r="Y2001" s="27">
        <v>2.31</v>
      </c>
      <c r="Z2001" s="28">
        <v>1000</v>
      </c>
      <c r="AA2001" s="28">
        <v>1000</v>
      </c>
      <c r="AB2001" s="1" t="s">
        <v>13</v>
      </c>
    </row>
    <row r="2002" spans="1:28">
      <c r="A2002" t="s">
        <v>580</v>
      </c>
      <c r="B2002" s="29" t="s">
        <v>2908</v>
      </c>
      <c r="C2002" s="26" t="s">
        <v>2909</v>
      </c>
      <c r="D2002" s="1">
        <v>116</v>
      </c>
      <c r="E2002" t="s">
        <v>642</v>
      </c>
      <c r="F2002" s="3" t="s">
        <v>2901</v>
      </c>
      <c r="G2002" s="1">
        <v>36.9</v>
      </c>
      <c r="H2002" t="s">
        <v>2919</v>
      </c>
      <c r="I2002" t="s">
        <v>2920</v>
      </c>
      <c r="J2002" s="1">
        <v>4</v>
      </c>
      <c r="K2002" s="1">
        <v>495.75130000000001</v>
      </c>
      <c r="L2002" s="1" t="str">
        <f>HYPERLINK("http://ms.phosphosite.org:5080/cgi-bin/plot-msms.cgi?MassType=1&amp;NumAxis=1&amp;Mod6=170&amp;Pep=PGPYDRPIGGRGGYYGAGR&amp;Dta=/var/www/html/dta/yong/23612.6575.4.dta&amp;Global_Mod=CS57.0215", "6575")</f>
        <v>6575</v>
      </c>
      <c r="M2002" s="1"/>
      <c r="N2002" s="27">
        <v>31.68</v>
      </c>
      <c r="O2002" s="27"/>
      <c r="P2002" s="27">
        <v>1.7190000000000001</v>
      </c>
      <c r="Q2002" s="27"/>
      <c r="R2002" s="27">
        <v>2.53E-2</v>
      </c>
      <c r="S2002" s="27"/>
      <c r="T2002" s="27">
        <v>5.1000000000000004E-3</v>
      </c>
      <c r="U2002" s="27"/>
      <c r="V2002" s="1">
        <v>5</v>
      </c>
      <c r="W2002" s="1"/>
      <c r="X2002" s="27">
        <v>1.38</v>
      </c>
      <c r="Y2002" s="27"/>
      <c r="Z2002" s="28">
        <v>10</v>
      </c>
      <c r="AA2002" s="28"/>
      <c r="AB2002" s="1" t="s">
        <v>13</v>
      </c>
    </row>
    <row r="2003" spans="1:28">
      <c r="A2003" t="s">
        <v>580</v>
      </c>
      <c r="B2003" s="29" t="s">
        <v>2908</v>
      </c>
      <c r="C2003" s="26" t="s">
        <v>2909</v>
      </c>
      <c r="D2003" s="1">
        <v>121</v>
      </c>
      <c r="E2003" t="s">
        <v>642</v>
      </c>
      <c r="F2003" s="3" t="s">
        <v>2901</v>
      </c>
      <c r="G2003" s="1">
        <v>36.9</v>
      </c>
      <c r="H2003" t="s">
        <v>2919</v>
      </c>
      <c r="I2003" t="s">
        <v>2921</v>
      </c>
      <c r="J2003" s="1">
        <v>3</v>
      </c>
      <c r="K2003" s="1">
        <v>400.2158</v>
      </c>
      <c r="L2003" s="1" t="str">
        <f>HYPERLINK("http://ms.phosphosite.org:5080/cgi-bin/plot-msms.cgi?MassType=1&amp;NumAxis=1&amp;Mod11=170&amp;Pep=PGPYDRPIGGR&amp;Dta=/var/www/html/dta/yong/23612.4806.3.dta&amp;Global_Mod=CS57.0215", "4806")</f>
        <v>4806</v>
      </c>
      <c r="M2003" s="1" t="str">
        <f>HYPERLINK("http://ms.phosphosite.org:5080/cgi-bin/plot-msms.cgi?MassType=1&amp;NumAxis=1&amp;Mod11=170&amp;Pep=PGPYDRPIGGR&amp;Dta=/var/www/html/dta/yong/23613.4881.3.dta&amp;Global_Mod=CS57.0215", "4881")</f>
        <v>4881</v>
      </c>
      <c r="N2003" s="27">
        <v>25.1</v>
      </c>
      <c r="O2003" s="27">
        <v>25.17</v>
      </c>
      <c r="P2003" s="27">
        <v>2.0030000000000001</v>
      </c>
      <c r="Q2003" s="27">
        <v>2.0550000000000002</v>
      </c>
      <c r="R2003" s="27">
        <v>-4.1300000000000003E-2</v>
      </c>
      <c r="S2003" s="27">
        <v>-5.28E-2</v>
      </c>
      <c r="T2003" s="27">
        <v>0.20019999999999999</v>
      </c>
      <c r="U2003" s="27">
        <v>0.2092</v>
      </c>
      <c r="V2003" s="1">
        <v>1</v>
      </c>
      <c r="W2003" s="1">
        <v>1</v>
      </c>
      <c r="X2003" s="27">
        <v>2.62</v>
      </c>
      <c r="Y2003" s="27">
        <v>2.7</v>
      </c>
      <c r="Z2003" s="28">
        <v>1000</v>
      </c>
      <c r="AA2003" s="28">
        <v>1000</v>
      </c>
      <c r="AB2003" s="1" t="s">
        <v>13</v>
      </c>
    </row>
    <row r="2004" spans="1:28">
      <c r="A2004" t="s">
        <v>580</v>
      </c>
      <c r="B2004" s="29" t="s">
        <v>2908</v>
      </c>
      <c r="C2004" s="26" t="s">
        <v>2909</v>
      </c>
      <c r="D2004" s="30" t="s">
        <v>2922</v>
      </c>
      <c r="E2004" t="s">
        <v>642</v>
      </c>
      <c r="F2004" s="3" t="s">
        <v>2901</v>
      </c>
      <c r="G2004" s="1">
        <v>36.9</v>
      </c>
      <c r="H2004" t="s">
        <v>2923</v>
      </c>
      <c r="I2004" t="s">
        <v>2924</v>
      </c>
      <c r="J2004" s="1">
        <v>4</v>
      </c>
      <c r="K2004" s="1">
        <v>1007.4208</v>
      </c>
      <c r="L2004" s="1" t="str">
        <f>HYPERLINK("http://ms.phosphosite.org:5080/cgi-bin/plot-msms.cgi?MassType=1&amp;NumAxis=1&amp;Mod1=147&amp;Mod3=147&amp;Mod22=170&amp;Mod42=170&amp;Pep=MGMGNNYSGGYGTPDGLGGYGRGGGGSGGYYGQGGMSGGGWR&amp;Dta=/var/www/html/dta/yong/23612.9297.4.dta&amp;Global_Mod=CS57.0215", "9297")</f>
        <v>9297</v>
      </c>
      <c r="M2004" s="1"/>
      <c r="N2004" s="27">
        <v>41.55</v>
      </c>
      <c r="O2004" s="27"/>
      <c r="P2004" s="27">
        <v>3.605</v>
      </c>
      <c r="Q2004" s="27"/>
      <c r="R2004" s="27">
        <v>-6.8582000000000001</v>
      </c>
      <c r="S2004" s="27"/>
      <c r="T2004" s="27">
        <v>4.9500000000000002E-2</v>
      </c>
      <c r="U2004" s="27"/>
      <c r="V2004" s="1">
        <v>1</v>
      </c>
      <c r="W2004" s="1"/>
      <c r="X2004" s="27">
        <v>1.35</v>
      </c>
      <c r="Y2004" s="27"/>
      <c r="Z2004" s="28" t="s">
        <v>1306</v>
      </c>
      <c r="AA2004" s="28"/>
      <c r="AB2004" s="1" t="s">
        <v>13</v>
      </c>
    </row>
    <row r="2005" spans="1:28">
      <c r="A2005" t="s">
        <v>580</v>
      </c>
      <c r="B2005" s="29" t="s">
        <v>2908</v>
      </c>
      <c r="C2005" s="26" t="s">
        <v>2909</v>
      </c>
      <c r="D2005" s="30" t="s">
        <v>2922</v>
      </c>
      <c r="E2005" t="s">
        <v>642</v>
      </c>
      <c r="F2005" s="3" t="s">
        <v>2901</v>
      </c>
      <c r="G2005" s="1">
        <v>36.9</v>
      </c>
      <c r="H2005" t="s">
        <v>2923</v>
      </c>
      <c r="I2005" t="s">
        <v>2924</v>
      </c>
      <c r="J2005" s="1">
        <v>4</v>
      </c>
      <c r="K2005" s="1">
        <v>1007.4208</v>
      </c>
      <c r="L2005" s="1" t="str">
        <f>HYPERLINK("http://ms.phosphosite.org:5080/cgi-bin/plot-msms.cgi?MassType=1&amp;NumAxis=1&amp;Mod1=147&amp;Mod3=147&amp;Mod22=170&amp;Mod42=170&amp;Pep=MGMGNNYSGGYGTPDGLGGYGRGGGGSGGYYGQGGMSGGGWR&amp;Dta=/var/www/html/dta/yong/23612.9339.4.dta&amp;Global_Mod=CS57.0215", "9339")</f>
        <v>9339</v>
      </c>
      <c r="M2005" s="1"/>
      <c r="N2005" s="27">
        <v>41.69</v>
      </c>
      <c r="O2005" s="27"/>
      <c r="P2005" s="27">
        <v>3.3039999999999998</v>
      </c>
      <c r="Q2005" s="27"/>
      <c r="R2005" s="27">
        <v>-8.7103000000000002</v>
      </c>
      <c r="S2005" s="27"/>
      <c r="T2005" s="27">
        <v>0.2382</v>
      </c>
      <c r="U2005" s="27"/>
      <c r="V2005" s="1">
        <v>1</v>
      </c>
      <c r="W2005" s="1"/>
      <c r="X2005" s="27">
        <v>2.13</v>
      </c>
      <c r="Y2005" s="27"/>
      <c r="Z2005" s="28" t="s">
        <v>1306</v>
      </c>
      <c r="AA2005" s="28"/>
      <c r="AB2005" s="1" t="s">
        <v>13</v>
      </c>
    </row>
    <row r="2006" spans="1:28">
      <c r="A2006" t="s">
        <v>580</v>
      </c>
      <c r="B2006" s="29" t="s">
        <v>2908</v>
      </c>
      <c r="C2006" s="26" t="s">
        <v>2909</v>
      </c>
      <c r="D2006" s="30" t="s">
        <v>2922</v>
      </c>
      <c r="E2006" t="s">
        <v>642</v>
      </c>
      <c r="F2006" s="3" t="s">
        <v>2901</v>
      </c>
      <c r="G2006" s="1">
        <v>36.9</v>
      </c>
      <c r="H2006" t="s">
        <v>2923</v>
      </c>
      <c r="I2006" t="s">
        <v>2925</v>
      </c>
      <c r="J2006" s="1">
        <v>4</v>
      </c>
      <c r="K2006" s="1">
        <v>1003.4221</v>
      </c>
      <c r="L2006" s="1" t="str">
        <f>HYPERLINK("http://ms.phosphosite.org:5080/cgi-bin/plot-msms.cgi?MassType=1&amp;NumAxis=1&amp;Mod3=147&amp;Mod22=170&amp;Mod42=170&amp;Pep=MGMGNNYSGGYGTPDGLGGYGRGGGGSGGYYGQGGMSGGGWR&amp;Dta=/var/www/html/dta/yong/23612.11133.4.dta&amp;Global_Mod=CS57.0215", "11133")</f>
        <v>11133</v>
      </c>
      <c r="M2006" s="1"/>
      <c r="N2006" s="27">
        <v>47.91</v>
      </c>
      <c r="O2006" s="27"/>
      <c r="P2006" s="27">
        <v>3.4279999999999999</v>
      </c>
      <c r="Q2006" s="27"/>
      <c r="R2006" s="27">
        <v>-7.2196999999999996</v>
      </c>
      <c r="S2006" s="27"/>
      <c r="T2006" s="27">
        <v>0.13550000000000001</v>
      </c>
      <c r="U2006" s="27"/>
      <c r="V2006" s="1">
        <v>2</v>
      </c>
      <c r="W2006" s="1"/>
      <c r="X2006" s="27">
        <v>1.72</v>
      </c>
      <c r="Y2006" s="27"/>
      <c r="Z2006" s="28" t="s">
        <v>1306</v>
      </c>
      <c r="AA2006" s="28"/>
      <c r="AB2006" s="1" t="s">
        <v>13</v>
      </c>
    </row>
    <row r="2007" spans="1:28">
      <c r="A2007" t="s">
        <v>580</v>
      </c>
      <c r="B2007" s="29" t="s">
        <v>2908</v>
      </c>
      <c r="C2007" s="26" t="s">
        <v>2909</v>
      </c>
      <c r="D2007" s="1">
        <v>343</v>
      </c>
      <c r="E2007" t="s">
        <v>642</v>
      </c>
      <c r="F2007" s="3" t="s">
        <v>2901</v>
      </c>
      <c r="G2007" s="1">
        <v>36.9</v>
      </c>
      <c r="H2007" t="s">
        <v>2926</v>
      </c>
      <c r="I2007" t="s">
        <v>2927</v>
      </c>
      <c r="J2007" s="1">
        <v>2</v>
      </c>
      <c r="K2007" s="1">
        <v>917.88170000000002</v>
      </c>
      <c r="L2007" s="1" t="str">
        <f>HYPERLINK("http://ms.phosphosite.org:5080/cgi-bin/plot-msms.cgi?MassType=1&amp;NumAxis=1&amp;Mod14=147&amp;Mod20=170&amp;Pep=GGGGSGGYYGQGGMSGGGWR&amp;Dta=/var/www/html/dta/yong/23612.7348.2.dta&amp;Global_Mod=CS57.0215", "7348")</f>
        <v>7348</v>
      </c>
      <c r="M2007" s="1" t="str">
        <f>HYPERLINK("http://ms.phosphosite.org:5080/cgi-bin/plot-msms.cgi?MassType=1&amp;NumAxis=1&amp;Mod14=147&amp;Mod20=170&amp;Pep=GGGGSGGYYGQGGMSGGGWR&amp;Dta=/var/www/html/dta/yong/23613.7404.2.dta&amp;Global_Mod=CS57.0215", "7404")</f>
        <v>7404</v>
      </c>
      <c r="N2007" s="27">
        <v>34.520000000000003</v>
      </c>
      <c r="O2007" s="27">
        <v>34.58</v>
      </c>
      <c r="P2007" s="27">
        <v>4.9580000000000002</v>
      </c>
      <c r="Q2007" s="27">
        <v>4.3079999999999998</v>
      </c>
      <c r="R2007" s="27">
        <v>0.91</v>
      </c>
      <c r="S2007" s="27">
        <v>0.95930000000000004</v>
      </c>
      <c r="T2007" s="27">
        <v>0.62119999999999997</v>
      </c>
      <c r="U2007" s="27">
        <v>0.57440000000000002</v>
      </c>
      <c r="V2007" s="1">
        <v>1</v>
      </c>
      <c r="W2007" s="1">
        <v>1</v>
      </c>
      <c r="X2007" s="27">
        <v>5.1100000000000003</v>
      </c>
      <c r="Y2007" s="27">
        <v>4.8</v>
      </c>
      <c r="Z2007" s="28">
        <v>1000</v>
      </c>
      <c r="AA2007" s="28">
        <v>1000</v>
      </c>
      <c r="AB2007" s="1" t="s">
        <v>13</v>
      </c>
    </row>
    <row r="2008" spans="1:28">
      <c r="A2008" t="s">
        <v>580</v>
      </c>
      <c r="B2008" s="29" t="s">
        <v>2908</v>
      </c>
      <c r="C2008" s="26" t="s">
        <v>2909</v>
      </c>
      <c r="D2008" s="1">
        <v>343</v>
      </c>
      <c r="E2008" t="s">
        <v>642</v>
      </c>
      <c r="F2008" s="3" t="s">
        <v>2901</v>
      </c>
      <c r="G2008" s="1">
        <v>36.9</v>
      </c>
      <c r="H2008" t="s">
        <v>2926</v>
      </c>
      <c r="I2008" t="s">
        <v>2927</v>
      </c>
      <c r="J2008" s="1">
        <v>3</v>
      </c>
      <c r="K2008" s="1">
        <v>612.25689999999997</v>
      </c>
      <c r="L2008" s="1" t="str">
        <f>HYPERLINK("http://ms.phosphosite.org:5080/cgi-bin/plot-msms.cgi?MassType=1&amp;NumAxis=1&amp;Mod14=147&amp;Mod20=170&amp;Pep=GGGGSGGYYGQGGMSGGGWR&amp;Dta=/var/www/html/dta/yong/23612.7354.3.dta&amp;Global_Mod=CS57.0215", "7354")</f>
        <v>7354</v>
      </c>
      <c r="M2008" s="1" t="str">
        <f>HYPERLINK("http://ms.phosphosite.org:5080/cgi-bin/plot-msms.cgi?MassType=1&amp;NumAxis=1&amp;Mod14=147&amp;Mod20=170&amp;Pep=GGGGSGGYYGQGGMSGGGWR&amp;Dta=/var/www/html/dta/yong/23613.7415.3.dta&amp;Global_Mod=CS57.0215", "7415")</f>
        <v>7415</v>
      </c>
      <c r="N2008" s="27">
        <v>34.54</v>
      </c>
      <c r="O2008" s="27">
        <v>34.619999999999997</v>
      </c>
      <c r="P2008" s="27">
        <v>4.4939999999999998</v>
      </c>
      <c r="Q2008" s="27">
        <v>4.3540000000000001</v>
      </c>
      <c r="R2008" s="27">
        <v>0.85699999999999998</v>
      </c>
      <c r="S2008" s="27">
        <v>0.50339999999999996</v>
      </c>
      <c r="T2008" s="27">
        <v>0.52139999999999997</v>
      </c>
      <c r="U2008" s="27">
        <v>0.49249999999999999</v>
      </c>
      <c r="V2008" s="1">
        <v>1</v>
      </c>
      <c r="W2008" s="1">
        <v>1</v>
      </c>
      <c r="X2008" s="27">
        <v>4.59</v>
      </c>
      <c r="Y2008" s="27">
        <v>4.4800000000000004</v>
      </c>
      <c r="Z2008" s="28">
        <v>1000</v>
      </c>
      <c r="AA2008" s="28">
        <v>1000</v>
      </c>
      <c r="AB2008" s="1" t="s">
        <v>13</v>
      </c>
    </row>
    <row r="2009" spans="1:28">
      <c r="A2009" t="s">
        <v>580</v>
      </c>
      <c r="B2009" s="29" t="s">
        <v>2908</v>
      </c>
      <c r="C2009" s="26" t="s">
        <v>2909</v>
      </c>
      <c r="D2009" s="1">
        <v>343</v>
      </c>
      <c r="E2009" t="s">
        <v>642</v>
      </c>
      <c r="F2009" s="3" t="s">
        <v>2901</v>
      </c>
      <c r="G2009" s="1">
        <v>36.9</v>
      </c>
      <c r="H2009" t="s">
        <v>2926</v>
      </c>
      <c r="I2009" t="s">
        <v>2927</v>
      </c>
      <c r="J2009" s="1">
        <v>3</v>
      </c>
      <c r="K2009" s="1">
        <v>612.25689999999997</v>
      </c>
      <c r="L2009" s="1"/>
      <c r="M2009" s="1" t="str">
        <f>HYPERLINK("http://ms.phosphosite.org:5080/cgi-bin/plot-msms.cgi?MassType=1&amp;NumAxis=1&amp;Mod14=147&amp;Mod20=170&amp;Pep=GGGGSGGYYGQGGMSGGGWR&amp;Dta=/var/www/html/dta/yong/23613.2454.3.dta&amp;Global_Mod=CS57.0215", "2454")</f>
        <v>2454</v>
      </c>
      <c r="N2009" s="27"/>
      <c r="O2009" s="27">
        <v>15.96</v>
      </c>
      <c r="P2009" s="27"/>
      <c r="Q2009" s="27">
        <v>2.0390000000000001</v>
      </c>
      <c r="R2009" s="27"/>
      <c r="S2009" s="27">
        <v>-18.8093</v>
      </c>
      <c r="T2009" s="27"/>
      <c r="U2009" s="27">
        <v>0.2349</v>
      </c>
      <c r="V2009" s="1"/>
      <c r="W2009" s="1">
        <v>1</v>
      </c>
      <c r="X2009" s="27"/>
      <c r="Y2009" s="27">
        <v>1.73</v>
      </c>
      <c r="Z2009" s="28"/>
      <c r="AA2009" s="28">
        <v>1000</v>
      </c>
      <c r="AB2009" s="1" t="s">
        <v>13</v>
      </c>
    </row>
    <row r="2010" spans="1:28">
      <c r="A2010" t="s">
        <v>580</v>
      </c>
      <c r="B2010" s="29" t="s">
        <v>2908</v>
      </c>
      <c r="C2010" s="26" t="s">
        <v>2909</v>
      </c>
      <c r="D2010" s="1">
        <v>343</v>
      </c>
      <c r="E2010" t="s">
        <v>642</v>
      </c>
      <c r="F2010" s="3" t="s">
        <v>2901</v>
      </c>
      <c r="G2010" s="1">
        <v>36.9</v>
      </c>
      <c r="H2010" t="s">
        <v>2926</v>
      </c>
      <c r="I2010" t="s">
        <v>2928</v>
      </c>
      <c r="J2010" s="1">
        <v>2</v>
      </c>
      <c r="K2010" s="1">
        <v>1101.4418000000001</v>
      </c>
      <c r="L2010" s="1" t="str">
        <f>HYPERLINK("http://ms.phosphosite.org:5080/cgi-bin/plot-msms.cgi?MassType=1&amp;NumAxis=1&amp;Mod14=147&amp;Mod20=170&amp;Mod22=147&amp;Pep=GGGGSGGYYGQGGMSGGGWRGMY&amp;Dta=/var/www/html/dta/yong/23612.9281.2.dta&amp;Global_Mod=CS57.0215", "9281")</f>
        <v>9281</v>
      </c>
      <c r="M2010" s="1" t="str">
        <f>HYPERLINK("http://ms.phosphosite.org:5080/cgi-bin/plot-msms.cgi?MassType=1&amp;NumAxis=1&amp;Mod14=147&amp;Mod20=170&amp;Mod22=147&amp;Pep=GGGGSGGYYGQGGMSGGGWRGMY&amp;Dta=/var/www/html/dta/yong/23613.9334.2.dta&amp;Global_Mod=CS57.0215", "9334")</f>
        <v>9334</v>
      </c>
      <c r="N2010" s="27">
        <v>41.49</v>
      </c>
      <c r="O2010" s="27">
        <v>41.53</v>
      </c>
      <c r="P2010" s="27">
        <v>4.5759999999999996</v>
      </c>
      <c r="Q2010" s="27">
        <v>4.7249999999999996</v>
      </c>
      <c r="R2010" s="27">
        <v>1.2625</v>
      </c>
      <c r="S2010" s="27">
        <v>1.6297999999999999</v>
      </c>
      <c r="T2010" s="27">
        <v>0.67200000000000004</v>
      </c>
      <c r="U2010" s="27">
        <v>0.61890000000000001</v>
      </c>
      <c r="V2010" s="1">
        <v>1</v>
      </c>
      <c r="W2010" s="1">
        <v>1</v>
      </c>
      <c r="X2010" s="27">
        <v>5.04</v>
      </c>
      <c r="Y2010" s="27">
        <v>4.8499999999999996</v>
      </c>
      <c r="Z2010" s="28">
        <v>1000</v>
      </c>
      <c r="AA2010" s="28">
        <v>1000</v>
      </c>
      <c r="AB2010" s="1" t="s">
        <v>13</v>
      </c>
    </row>
    <row r="2011" spans="1:28">
      <c r="A2011" t="s">
        <v>580</v>
      </c>
      <c r="B2011" s="29" t="s">
        <v>2908</v>
      </c>
      <c r="C2011" s="26" t="s">
        <v>2909</v>
      </c>
      <c r="D2011" s="1">
        <v>343</v>
      </c>
      <c r="E2011" t="s">
        <v>642</v>
      </c>
      <c r="F2011" s="3" t="s">
        <v>2901</v>
      </c>
      <c r="G2011" s="1">
        <v>36.9</v>
      </c>
      <c r="H2011" t="s">
        <v>2926</v>
      </c>
      <c r="I2011" t="s">
        <v>2928</v>
      </c>
      <c r="J2011" s="1">
        <v>3</v>
      </c>
      <c r="K2011" s="1">
        <v>734.63030000000003</v>
      </c>
      <c r="L2011" s="1" t="str">
        <f>HYPERLINK("http://ms.phosphosite.org:5080/cgi-bin/plot-msms.cgi?MassType=1&amp;NumAxis=1&amp;Mod14=147&amp;Mod20=170&amp;Mod22=147&amp;Pep=GGGGSGGYYGQGGMSGGGWRGMY&amp;Dta=/var/www/html/dta/yong/23612.9409.3.dta&amp;Global_Mod=CS57.0215", "9409")</f>
        <v>9409</v>
      </c>
      <c r="M2011" s="1" t="str">
        <f>HYPERLINK("http://ms.phosphosite.org:5080/cgi-bin/plot-msms.cgi?MassType=1&amp;NumAxis=1&amp;Mod14=147&amp;Mod20=170&amp;Mod22=147&amp;Pep=GGGGSGGYYGQGGMSGGGWRGMY&amp;Dta=/var/www/html/dta/yong/23613.9332.3.dta&amp;Global_Mod=CS57.0215", "9332")</f>
        <v>9332</v>
      </c>
      <c r="N2011" s="27">
        <v>41.92</v>
      </c>
      <c r="O2011" s="27">
        <v>41.52</v>
      </c>
      <c r="P2011" s="27">
        <v>2.641</v>
      </c>
      <c r="Q2011" s="27">
        <v>4.859</v>
      </c>
      <c r="R2011" s="27">
        <v>0.80959999999999999</v>
      </c>
      <c r="S2011" s="27">
        <v>0.81489999999999996</v>
      </c>
      <c r="T2011" s="27">
        <v>0.29680000000000001</v>
      </c>
      <c r="U2011" s="27">
        <v>0.44159999999999999</v>
      </c>
      <c r="V2011" s="1">
        <v>12</v>
      </c>
      <c r="W2011" s="1">
        <v>1</v>
      </c>
      <c r="X2011" s="27">
        <v>2.89</v>
      </c>
      <c r="Y2011" s="27">
        <v>4.09</v>
      </c>
      <c r="Z2011" s="28">
        <v>1000</v>
      </c>
      <c r="AA2011" s="28">
        <v>1000</v>
      </c>
      <c r="AB2011" s="1" t="s">
        <v>13</v>
      </c>
    </row>
    <row r="2012" spans="1:28">
      <c r="A2012" t="s">
        <v>580</v>
      </c>
      <c r="B2012" s="29" t="s">
        <v>2908</v>
      </c>
      <c r="C2012" s="26" t="s">
        <v>2909</v>
      </c>
      <c r="D2012" s="1">
        <v>343</v>
      </c>
      <c r="E2012" t="s">
        <v>642</v>
      </c>
      <c r="F2012" s="3" t="s">
        <v>2901</v>
      </c>
      <c r="G2012" s="1">
        <v>36.9</v>
      </c>
      <c r="H2012" t="s">
        <v>2926</v>
      </c>
      <c r="I2012" t="s">
        <v>2928</v>
      </c>
      <c r="J2012" s="1">
        <v>3</v>
      </c>
      <c r="K2012" s="1">
        <v>734.63030000000003</v>
      </c>
      <c r="L2012" s="1" t="str">
        <f>HYPERLINK("http://ms.phosphosite.org:5080/cgi-bin/plot-msms.cgi?MassType=1&amp;NumAxis=1&amp;Mod14=147&amp;Mod20=170&amp;Mod22=147&amp;Pep=GGGGSGGYYGQGGMSGGGWRGMY&amp;Dta=/var/www/html/dta/yong/23612.9270.3.dta&amp;Global_Mod=CS57.0215", "9270")</f>
        <v>9270</v>
      </c>
      <c r="M2012" s="1"/>
      <c r="N2012" s="27">
        <v>41.45</v>
      </c>
      <c r="O2012" s="27"/>
      <c r="P2012" s="27">
        <v>4.5970000000000004</v>
      </c>
      <c r="Q2012" s="27"/>
      <c r="R2012" s="27">
        <v>0.82920000000000005</v>
      </c>
      <c r="S2012" s="27"/>
      <c r="T2012" s="27">
        <v>0.5645</v>
      </c>
      <c r="U2012" s="27"/>
      <c r="V2012" s="1">
        <v>1</v>
      </c>
      <c r="W2012" s="1"/>
      <c r="X2012" s="27">
        <v>4.5999999999999996</v>
      </c>
      <c r="Y2012" s="27"/>
      <c r="Z2012" s="28">
        <v>1000</v>
      </c>
      <c r="AA2012" s="28"/>
      <c r="AB2012" s="1" t="s">
        <v>13</v>
      </c>
    </row>
    <row r="2013" spans="1:28">
      <c r="A2013" t="s">
        <v>580</v>
      </c>
      <c r="B2013" s="29" t="s">
        <v>2908</v>
      </c>
      <c r="C2013" s="26" t="s">
        <v>2909</v>
      </c>
      <c r="D2013" s="1">
        <v>343</v>
      </c>
      <c r="E2013" t="s">
        <v>642</v>
      </c>
      <c r="F2013" s="3" t="s">
        <v>2901</v>
      </c>
      <c r="G2013" s="1">
        <v>36.9</v>
      </c>
      <c r="H2013" t="s">
        <v>2926</v>
      </c>
      <c r="I2013" t="s">
        <v>2929</v>
      </c>
      <c r="J2013" s="1">
        <v>2</v>
      </c>
      <c r="K2013" s="1">
        <v>1093.4444000000001</v>
      </c>
      <c r="L2013" s="1" t="str">
        <f>HYPERLINK("http://ms.phosphosite.org:5080/cgi-bin/plot-msms.cgi?MassType=1&amp;NumAxis=1&amp;Mod14=147&amp;Mod20=170&amp;Pep=GGGGSGGYYGQGGMSGGGWRGMY&amp;Dta=/var/www/html/dta/yong/23612.11471.2.dta&amp;Global_Mod=CS57.0215", "11471")</f>
        <v>11471</v>
      </c>
      <c r="M2013" s="1" t="str">
        <f>HYPERLINK("http://ms.phosphosite.org:5080/cgi-bin/plot-msms.cgi?MassType=1&amp;NumAxis=1&amp;Mod14=147&amp;Mod20=170&amp;Pep=GGGGSGGYYGQGGMSGGGWRGMY&amp;Dta=/var/www/html/dta/yong/23613.11544.2.dta&amp;Global_Mod=CS57.0215", "11544")</f>
        <v>11544</v>
      </c>
      <c r="N2013" s="27">
        <v>49.06</v>
      </c>
      <c r="O2013" s="27">
        <v>49.01</v>
      </c>
      <c r="P2013" s="27">
        <v>4.1180000000000003</v>
      </c>
      <c r="Q2013" s="27">
        <v>4.2229999999999999</v>
      </c>
      <c r="R2013" s="27">
        <v>1.6888000000000001</v>
      </c>
      <c r="S2013" s="27">
        <v>1.4173</v>
      </c>
      <c r="T2013" s="27">
        <v>0.56769999999999998</v>
      </c>
      <c r="U2013" s="27">
        <v>0.59030000000000005</v>
      </c>
      <c r="V2013" s="1">
        <v>1</v>
      </c>
      <c r="W2013" s="1">
        <v>1</v>
      </c>
      <c r="X2013" s="27">
        <v>4.42</v>
      </c>
      <c r="Y2013" s="27">
        <v>4.62</v>
      </c>
      <c r="Z2013" s="28">
        <v>1000</v>
      </c>
      <c r="AA2013" s="28">
        <v>1000</v>
      </c>
      <c r="AB2013" s="1" t="s">
        <v>13</v>
      </c>
    </row>
    <row r="2014" spans="1:28">
      <c r="A2014" t="s">
        <v>580</v>
      </c>
      <c r="B2014" s="29" t="s">
        <v>2908</v>
      </c>
      <c r="C2014" s="26" t="s">
        <v>2909</v>
      </c>
      <c r="D2014" s="1">
        <v>343</v>
      </c>
      <c r="E2014" t="s">
        <v>642</v>
      </c>
      <c r="F2014" s="3" t="s">
        <v>2901</v>
      </c>
      <c r="G2014" s="1">
        <v>36.9</v>
      </c>
      <c r="H2014" t="s">
        <v>2926</v>
      </c>
      <c r="I2014" t="s">
        <v>2929</v>
      </c>
      <c r="J2014" s="1">
        <v>2</v>
      </c>
      <c r="K2014" s="1">
        <v>1093.4444000000001</v>
      </c>
      <c r="L2014" s="1" t="str">
        <f>HYPERLINK("http://ms.phosphosite.org:5080/cgi-bin/plot-msms.cgi?MassType=1&amp;NumAxis=1&amp;Mod14=147&amp;Mod20=170&amp;Pep=GGGGSGGYYGQGGMSGGGWRGMY&amp;Dta=/var/www/html/dta/yong/23612.11494.2.dta&amp;Global_Mod=CS57.0215", "11494")</f>
        <v>11494</v>
      </c>
      <c r="M2014" s="1"/>
      <c r="N2014" s="27">
        <v>49.14</v>
      </c>
      <c r="O2014" s="27"/>
      <c r="P2014" s="27">
        <v>3.9329999999999998</v>
      </c>
      <c r="Q2014" s="27"/>
      <c r="R2014" s="27">
        <v>1.6888000000000001</v>
      </c>
      <c r="S2014" s="27"/>
      <c r="T2014" s="27">
        <v>0.60570000000000002</v>
      </c>
      <c r="U2014" s="27"/>
      <c r="V2014" s="1">
        <v>1</v>
      </c>
      <c r="W2014" s="1"/>
      <c r="X2014" s="27">
        <v>4.57</v>
      </c>
      <c r="Y2014" s="27"/>
      <c r="Z2014" s="28">
        <v>1000</v>
      </c>
      <c r="AA2014" s="28"/>
      <c r="AB2014" s="1" t="s">
        <v>13</v>
      </c>
    </row>
    <row r="2015" spans="1:28">
      <c r="A2015" t="s">
        <v>580</v>
      </c>
      <c r="B2015" s="29" t="s">
        <v>2908</v>
      </c>
      <c r="C2015" s="26" t="s">
        <v>2909</v>
      </c>
      <c r="D2015" s="1">
        <v>343</v>
      </c>
      <c r="E2015" t="s">
        <v>642</v>
      </c>
      <c r="F2015" s="3" t="s">
        <v>2901</v>
      </c>
      <c r="G2015" s="1">
        <v>36.9</v>
      </c>
      <c r="H2015" t="s">
        <v>2926</v>
      </c>
      <c r="I2015" t="s">
        <v>2930</v>
      </c>
      <c r="J2015" s="1">
        <v>2</v>
      </c>
      <c r="K2015" s="1">
        <v>909.88430000000005</v>
      </c>
      <c r="L2015" s="1" t="str">
        <f>HYPERLINK("http://ms.phosphosite.org:5080/cgi-bin/plot-msms.cgi?MassType=1&amp;NumAxis=1&amp;Mod20=170&amp;Pep=GGGGSGGYYGQGGMSGGGWR&amp;Dta=/var/www/html/dta/yong/23612.9275.2.dta&amp;Global_Mod=CS57.0215", "9275")</f>
        <v>9275</v>
      </c>
      <c r="M2015" s="1" t="str">
        <f>HYPERLINK("http://ms.phosphosite.org:5080/cgi-bin/plot-msms.cgi?MassType=1&amp;NumAxis=1&amp;Mod20=170&amp;Pep=GGGGSGGYYGQGGMSGGGWR&amp;Dta=/var/www/html/dta/yong/23613.9369.2.dta&amp;Global_Mod=CS57.0215", "9369")</f>
        <v>9369</v>
      </c>
      <c r="N2015" s="27">
        <v>41.47</v>
      </c>
      <c r="O2015" s="27">
        <v>41.64</v>
      </c>
      <c r="P2015" s="27">
        <v>4.7930000000000001</v>
      </c>
      <c r="Q2015" s="27">
        <v>3.835</v>
      </c>
      <c r="R2015" s="27">
        <v>0.57740000000000002</v>
      </c>
      <c r="S2015" s="27">
        <v>1.4902</v>
      </c>
      <c r="T2015" s="27">
        <v>0.5827</v>
      </c>
      <c r="U2015" s="27">
        <v>0.46810000000000002</v>
      </c>
      <c r="V2015" s="1">
        <v>1</v>
      </c>
      <c r="W2015" s="1">
        <v>1</v>
      </c>
      <c r="X2015" s="27">
        <v>4.9000000000000004</v>
      </c>
      <c r="Y2015" s="27">
        <v>4.1500000000000004</v>
      </c>
      <c r="Z2015" s="28">
        <v>1000</v>
      </c>
      <c r="AA2015" s="28">
        <v>1000</v>
      </c>
      <c r="AB2015" s="1" t="s">
        <v>13</v>
      </c>
    </row>
    <row r="2016" spans="1:28">
      <c r="A2016" t="s">
        <v>580</v>
      </c>
      <c r="B2016" s="29" t="s">
        <v>2908</v>
      </c>
      <c r="C2016" s="26" t="s">
        <v>2909</v>
      </c>
      <c r="D2016" s="1">
        <v>343</v>
      </c>
      <c r="E2016" t="s">
        <v>642</v>
      </c>
      <c r="F2016" s="3" t="s">
        <v>2901</v>
      </c>
      <c r="G2016" s="1">
        <v>36.9</v>
      </c>
      <c r="H2016" t="s">
        <v>2926</v>
      </c>
      <c r="I2016" t="s">
        <v>2930</v>
      </c>
      <c r="J2016" s="1">
        <v>2</v>
      </c>
      <c r="K2016" s="1">
        <v>909.88430000000005</v>
      </c>
      <c r="L2016" s="1"/>
      <c r="M2016" s="1" t="str">
        <f>HYPERLINK("http://ms.phosphosite.org:5080/cgi-bin/plot-msms.cgi?MassType=1&amp;NumAxis=1&amp;Mod20=170&amp;Pep=GGGGSGGYYGQGGMSGGGWR&amp;Dta=/var/www/html/dta/yong/23613.9338.2.dta&amp;Global_Mod=CS57.0215", "9338")</f>
        <v>9338</v>
      </c>
      <c r="N2016" s="27"/>
      <c r="O2016" s="27">
        <v>41.54</v>
      </c>
      <c r="P2016" s="27"/>
      <c r="Q2016" s="27">
        <v>4.8639999999999999</v>
      </c>
      <c r="R2016" s="27"/>
      <c r="S2016" s="27">
        <v>1.4902</v>
      </c>
      <c r="T2016" s="27"/>
      <c r="U2016" s="27">
        <v>0.57709999999999995</v>
      </c>
      <c r="V2016" s="1"/>
      <c r="W2016" s="1">
        <v>1</v>
      </c>
      <c r="X2016" s="27"/>
      <c r="Y2016" s="27">
        <v>4.9000000000000004</v>
      </c>
      <c r="Z2016" s="28"/>
      <c r="AA2016" s="28">
        <v>1000</v>
      </c>
      <c r="AB2016" s="1" t="s">
        <v>13</v>
      </c>
    </row>
    <row r="2017" spans="1:28">
      <c r="A2017" t="s">
        <v>580</v>
      </c>
      <c r="B2017" s="29" t="s">
        <v>2908</v>
      </c>
      <c r="C2017" s="26" t="s">
        <v>2909</v>
      </c>
      <c r="D2017" s="1">
        <v>343</v>
      </c>
      <c r="E2017" t="s">
        <v>642</v>
      </c>
      <c r="F2017" s="3" t="s">
        <v>2901</v>
      </c>
      <c r="G2017" s="1">
        <v>36.9</v>
      </c>
      <c r="H2017" t="s">
        <v>2926</v>
      </c>
      <c r="I2017" t="s">
        <v>2930</v>
      </c>
      <c r="J2017" s="1">
        <v>3</v>
      </c>
      <c r="K2017" s="1">
        <v>606.92529999999999</v>
      </c>
      <c r="L2017" s="1" t="str">
        <f>HYPERLINK("http://ms.phosphosite.org:5080/cgi-bin/plot-msms.cgi?MassType=1&amp;NumAxis=1&amp;Mod20=170&amp;Pep=GGGGSGGYYGQGGMSGGGWR&amp;Dta=/var/www/html/dta/yong/23612.5811.3.dta&amp;Global_Mod=CS57.0215", "5811")</f>
        <v>5811</v>
      </c>
      <c r="M2017" s="1"/>
      <c r="N2017" s="27">
        <v>28.85</v>
      </c>
      <c r="O2017" s="27"/>
      <c r="P2017" s="27">
        <v>2.1480000000000001</v>
      </c>
      <c r="Q2017" s="27"/>
      <c r="R2017" s="27">
        <v>-19.299499999999998</v>
      </c>
      <c r="S2017" s="27"/>
      <c r="T2017" s="27">
        <v>5.6800000000000003E-2</v>
      </c>
      <c r="U2017" s="27"/>
      <c r="V2017" s="1">
        <v>1</v>
      </c>
      <c r="W2017" s="1"/>
      <c r="X2017" s="27">
        <v>0.84</v>
      </c>
      <c r="Y2017" s="27"/>
      <c r="Z2017" s="28">
        <v>1000</v>
      </c>
      <c r="AA2017" s="28"/>
      <c r="AB2017" s="1" t="s">
        <v>13</v>
      </c>
    </row>
    <row r="2018" spans="1:28">
      <c r="A2018" t="s">
        <v>580</v>
      </c>
      <c r="B2018" s="29" t="s">
        <v>2908</v>
      </c>
      <c r="C2018" s="26" t="s">
        <v>2909</v>
      </c>
      <c r="D2018" s="1">
        <v>343</v>
      </c>
      <c r="E2018" t="s">
        <v>642</v>
      </c>
      <c r="F2018" s="3" t="s">
        <v>2901</v>
      </c>
      <c r="G2018" s="1">
        <v>36.9</v>
      </c>
      <c r="H2018" t="s">
        <v>2926</v>
      </c>
      <c r="I2018" t="s">
        <v>2931</v>
      </c>
      <c r="J2018" s="1">
        <v>2</v>
      </c>
      <c r="K2018" s="1">
        <v>1093.4444000000001</v>
      </c>
      <c r="L2018" s="1" t="str">
        <f>HYPERLINK("http://ms.phosphosite.org:5080/cgi-bin/plot-msms.cgi?MassType=1&amp;NumAxis=1&amp;Mod20=170&amp;Mod22=147&amp;Pep=GGGGSGGYYGQGGMSGGGWRGMY&amp;Dta=/var/www/html/dta/yong/23612.10907.2.dta&amp;Global_Mod=CS57.0215", "10907")</f>
        <v>10907</v>
      </c>
      <c r="M2018" s="1" t="str">
        <f>HYPERLINK("http://ms.phosphosite.org:5080/cgi-bin/plot-msms.cgi?MassType=1&amp;NumAxis=1&amp;Mod20=170&amp;Mod22=147&amp;Pep=GGGGSGGYYGQGGMSGGGWRGMY&amp;Dta=/var/www/html/dta/yong/23613.10995.2.dta&amp;Global_Mod=CS57.0215", "10995")</f>
        <v>10995</v>
      </c>
      <c r="N2018" s="27">
        <v>47.12</v>
      </c>
      <c r="O2018" s="27">
        <v>47.18</v>
      </c>
      <c r="P2018" s="27">
        <v>4.7480000000000002</v>
      </c>
      <c r="Q2018" s="27">
        <v>4.3579999999999997</v>
      </c>
      <c r="R2018" s="27">
        <v>1.3786</v>
      </c>
      <c r="S2018" s="27">
        <v>1.218</v>
      </c>
      <c r="T2018" s="27">
        <v>0.61539999999999995</v>
      </c>
      <c r="U2018" s="27">
        <v>0.63759999999999994</v>
      </c>
      <c r="V2018" s="1">
        <v>1</v>
      </c>
      <c r="W2018" s="1">
        <v>1</v>
      </c>
      <c r="X2018" s="27">
        <v>4.79</v>
      </c>
      <c r="Y2018" s="27">
        <v>4.8899999999999997</v>
      </c>
      <c r="Z2018" s="28">
        <v>1000</v>
      </c>
      <c r="AA2018" s="28">
        <v>1000</v>
      </c>
      <c r="AB2018" s="1" t="s">
        <v>13</v>
      </c>
    </row>
    <row r="2019" spans="1:28">
      <c r="A2019" t="s">
        <v>580</v>
      </c>
      <c r="B2019" s="29" t="s">
        <v>2908</v>
      </c>
      <c r="C2019" s="26" t="s">
        <v>2909</v>
      </c>
      <c r="D2019" s="1">
        <v>343</v>
      </c>
      <c r="E2019" t="s">
        <v>642</v>
      </c>
      <c r="F2019" s="3" t="s">
        <v>2901</v>
      </c>
      <c r="G2019" s="1">
        <v>36.9</v>
      </c>
      <c r="H2019" t="s">
        <v>2926</v>
      </c>
      <c r="I2019" t="s">
        <v>2931</v>
      </c>
      <c r="J2019" s="1">
        <v>2</v>
      </c>
      <c r="K2019" s="1">
        <v>1093.4444000000001</v>
      </c>
      <c r="L2019" s="1" t="str">
        <f>HYPERLINK("http://ms.phosphosite.org:5080/cgi-bin/plot-msms.cgi?MassType=1&amp;NumAxis=1&amp;Mod20=170&amp;Mod22=147&amp;Pep=GGGGSGGYYGQGGMSGGGWRGMY&amp;Dta=/var/www/html/dta/yong/23612.10925.2.dta&amp;Global_Mod=CS57.0215", "10925")</f>
        <v>10925</v>
      </c>
      <c r="M2019" s="1"/>
      <c r="N2019" s="27">
        <v>47.19</v>
      </c>
      <c r="O2019" s="27"/>
      <c r="P2019" s="27">
        <v>4.9249999999999998</v>
      </c>
      <c r="Q2019" s="27"/>
      <c r="R2019" s="27">
        <v>1.3786</v>
      </c>
      <c r="S2019" s="27"/>
      <c r="T2019" s="27">
        <v>0.63680000000000003</v>
      </c>
      <c r="U2019" s="27"/>
      <c r="V2019" s="1">
        <v>1</v>
      </c>
      <c r="W2019" s="1"/>
      <c r="X2019" s="27">
        <v>4.93</v>
      </c>
      <c r="Y2019" s="27"/>
      <c r="Z2019" s="28">
        <v>1000</v>
      </c>
      <c r="AA2019" s="28"/>
      <c r="AB2019" s="1" t="s">
        <v>13</v>
      </c>
    </row>
    <row r="2020" spans="1:28">
      <c r="A2020" t="s">
        <v>580</v>
      </c>
      <c r="B2020" s="29" t="s">
        <v>2908</v>
      </c>
      <c r="C2020" s="26" t="s">
        <v>2909</v>
      </c>
      <c r="D2020" s="1">
        <v>343</v>
      </c>
      <c r="E2020" t="s">
        <v>642</v>
      </c>
      <c r="F2020" s="3" t="s">
        <v>2901</v>
      </c>
      <c r="G2020" s="1">
        <v>36.9</v>
      </c>
      <c r="H2020" t="s">
        <v>2926</v>
      </c>
      <c r="I2020" t="s">
        <v>2931</v>
      </c>
      <c r="J2020" s="1">
        <v>3</v>
      </c>
      <c r="K2020" s="1">
        <v>729.29870000000005</v>
      </c>
      <c r="L2020" s="1" t="str">
        <f>HYPERLINK("http://ms.phosphosite.org:5080/cgi-bin/plot-msms.cgi?MassType=1&amp;NumAxis=1&amp;Mod20=170&amp;Mod22=147&amp;Pep=GGGGSGGYYGQGGMSGGGWRGMY&amp;Dta=/var/www/html/dta/yong/23612.10895.3.dta&amp;Global_Mod=CS57.0215", "10895")</f>
        <v>10895</v>
      </c>
      <c r="M2020" s="1" t="str">
        <f>HYPERLINK("http://ms.phosphosite.org:5080/cgi-bin/plot-msms.cgi?MassType=1&amp;NumAxis=1&amp;Mod20=170&amp;Mod22=147&amp;Pep=GGGGSGGYYGQGGMSGGGWRGMY&amp;Dta=/var/www/html/dta/yong/23613.10990.3.dta&amp;Global_Mod=CS57.0215", "10990")</f>
        <v>10990</v>
      </c>
      <c r="N2020" s="27">
        <v>47.07</v>
      </c>
      <c r="O2020" s="27">
        <v>47.16</v>
      </c>
      <c r="P2020" s="27">
        <v>5.1909999999999998</v>
      </c>
      <c r="Q2020" s="27">
        <v>5.2229999999999999</v>
      </c>
      <c r="R2020" s="27">
        <v>0.75800000000000001</v>
      </c>
      <c r="S2020" s="27">
        <v>0.24390000000000001</v>
      </c>
      <c r="T2020" s="27">
        <v>0.35439999999999999</v>
      </c>
      <c r="U2020" s="27">
        <v>0.33389999999999997</v>
      </c>
      <c r="V2020" s="1">
        <v>1</v>
      </c>
      <c r="W2020" s="1">
        <v>1</v>
      </c>
      <c r="X2020" s="27">
        <v>3.67</v>
      </c>
      <c r="Y2020" s="27">
        <v>3.64</v>
      </c>
      <c r="Z2020" s="28">
        <v>1000</v>
      </c>
      <c r="AA2020" s="28">
        <v>1000</v>
      </c>
      <c r="AB2020" s="1" t="s">
        <v>13</v>
      </c>
    </row>
    <row r="2021" spans="1:28">
      <c r="A2021" t="s">
        <v>580</v>
      </c>
      <c r="B2021" s="29" t="s">
        <v>2908</v>
      </c>
      <c r="C2021" s="26" t="s">
        <v>2909</v>
      </c>
      <c r="D2021" s="1">
        <v>343</v>
      </c>
      <c r="E2021" t="s">
        <v>642</v>
      </c>
      <c r="F2021" s="3" t="s">
        <v>2901</v>
      </c>
      <c r="G2021" s="1">
        <v>36.9</v>
      </c>
      <c r="H2021" t="s">
        <v>2932</v>
      </c>
      <c r="I2021" t="s">
        <v>2933</v>
      </c>
      <c r="J2021" s="1">
        <v>3</v>
      </c>
      <c r="K2021" s="1">
        <v>1343.5517</v>
      </c>
      <c r="L2021" s="1" t="str">
        <f>HYPERLINK("http://ms.phosphosite.org:5080/cgi-bin/plot-msms.cgi?MassType=1&amp;NumAxis=1&amp;Mod1=147&amp;Mod3=147&amp;Mod36=147&amp;Mod42=170&amp;Pep=MGMGNNYSGGYGTPDGLGGYGRGGGGSGGYYGQGGMSGGGWR&amp;Dta=/var/www/html/dta/yong/23612.11010.3.dta&amp;Global_Mod=CS57.0215", "11010")</f>
        <v>11010</v>
      </c>
      <c r="M2021" s="1" t="str">
        <f>HYPERLINK("http://ms.phosphosite.org:5080/cgi-bin/plot-msms.cgi?MassType=1&amp;NumAxis=1&amp;Mod1=147&amp;Mod3=147&amp;Mod36=147&amp;Mod42=170&amp;Pep=MGMGNNYSGGYGTPDGLGGYGRGGGGSGGYYGQGGMSGGGWR&amp;Dta=/var/www/html/dta/yong/23613.11019.3.dta&amp;Global_Mod=CS57.0215", "11019")</f>
        <v>11019</v>
      </c>
      <c r="N2021" s="27">
        <v>47.49</v>
      </c>
      <c r="O2021" s="27">
        <v>47.26</v>
      </c>
      <c r="P2021" s="27">
        <v>2.8919999999999999</v>
      </c>
      <c r="Q2021" s="27">
        <v>3.6669999999999998</v>
      </c>
      <c r="R2021" s="27">
        <v>0.27310000000000001</v>
      </c>
      <c r="S2021" s="27">
        <v>0.32069999999999999</v>
      </c>
      <c r="T2021" s="27">
        <v>0.16259999999999999</v>
      </c>
      <c r="U2021" s="27">
        <v>0.223</v>
      </c>
      <c r="V2021" s="1">
        <v>4</v>
      </c>
      <c r="W2021" s="1">
        <v>2</v>
      </c>
      <c r="X2021" s="27">
        <v>2.08</v>
      </c>
      <c r="Y2021" s="27">
        <v>2.5499999999999998</v>
      </c>
      <c r="Z2021" s="28">
        <v>1000</v>
      </c>
      <c r="AA2021" s="28">
        <v>1000</v>
      </c>
      <c r="AB2021" s="1" t="s">
        <v>13</v>
      </c>
    </row>
    <row r="2022" spans="1:28">
      <c r="A2022" t="s">
        <v>580</v>
      </c>
      <c r="B2022" s="29" t="s">
        <v>2908</v>
      </c>
      <c r="C2022" s="26" t="s">
        <v>2909</v>
      </c>
      <c r="D2022" s="1">
        <v>343</v>
      </c>
      <c r="E2022" t="s">
        <v>642</v>
      </c>
      <c r="F2022" s="3" t="s">
        <v>2901</v>
      </c>
      <c r="G2022" s="1">
        <v>36.9</v>
      </c>
      <c r="H2022" t="s">
        <v>2932</v>
      </c>
      <c r="I2022" t="s">
        <v>2933</v>
      </c>
      <c r="J2022" s="1">
        <v>3</v>
      </c>
      <c r="K2022" s="1">
        <v>1343.5517</v>
      </c>
      <c r="L2022" s="1" t="str">
        <f>HYPERLINK("http://ms.phosphosite.org:5080/cgi-bin/plot-msms.cgi?MassType=1&amp;NumAxis=1&amp;Mod1=147&amp;Mod3=147&amp;Mod36=147&amp;Mod42=170&amp;Pep=MGMGNNYSGGYGTPDGLGGYGRGGGGSGGYYGQGGMSGGGWR&amp;Dta=/var/www/html/dta/yong/23612.10401.3.dta&amp;Global_Mod=CS57.0215", "10401")</f>
        <v>10401</v>
      </c>
      <c r="M2022" s="1" t="str">
        <f>HYPERLINK("http://ms.phosphosite.org:5080/cgi-bin/plot-msms.cgi?MassType=1&amp;NumAxis=1&amp;Mod1=147&amp;Mod3=147&amp;Mod36=147&amp;Mod42=170&amp;Pep=MGMGNNYSGGYGTPDGLGGYGRGGGGSGGYYGQGGMSGGGWR&amp;Dta=/var/www/html/dta/yong/23613.11079.3.dta&amp;Global_Mod=CS57.0215", "11079")</f>
        <v>11079</v>
      </c>
      <c r="N2022" s="27">
        <v>45.36</v>
      </c>
      <c r="O2022" s="27">
        <v>47.46</v>
      </c>
      <c r="P2022" s="27">
        <v>2.8980000000000001</v>
      </c>
      <c r="Q2022" s="27">
        <v>2.9980000000000002</v>
      </c>
      <c r="R2022" s="27">
        <v>-0.35360000000000003</v>
      </c>
      <c r="S2022" s="27">
        <v>1.0758000000000001</v>
      </c>
      <c r="T2022" s="27">
        <v>3.2099999999999997E-2</v>
      </c>
      <c r="U2022" s="27">
        <v>0.1636</v>
      </c>
      <c r="V2022" s="1">
        <v>1</v>
      </c>
      <c r="W2022" s="1">
        <v>88</v>
      </c>
      <c r="X2022" s="27">
        <v>1.41</v>
      </c>
      <c r="Y2022" s="27">
        <v>2.04</v>
      </c>
      <c r="Z2022" s="28">
        <v>1000</v>
      </c>
      <c r="AA2022" s="28">
        <v>1000</v>
      </c>
      <c r="AB2022" s="1" t="s">
        <v>13</v>
      </c>
    </row>
    <row r="2023" spans="1:28">
      <c r="A2023" t="s">
        <v>580</v>
      </c>
      <c r="B2023" s="29" t="s">
        <v>2908</v>
      </c>
      <c r="C2023" s="26" t="s">
        <v>2909</v>
      </c>
      <c r="D2023" s="1">
        <v>343</v>
      </c>
      <c r="E2023" t="s">
        <v>642</v>
      </c>
      <c r="F2023" s="3" t="s">
        <v>2901</v>
      </c>
      <c r="G2023" s="1">
        <v>36.9</v>
      </c>
      <c r="H2023" t="s">
        <v>2932</v>
      </c>
      <c r="I2023" t="s">
        <v>2933</v>
      </c>
      <c r="J2023" s="1">
        <v>3</v>
      </c>
      <c r="K2023" s="1">
        <v>1343.5517</v>
      </c>
      <c r="L2023" s="1" t="str">
        <f>HYPERLINK("http://ms.phosphosite.org:5080/cgi-bin/plot-msms.cgi?MassType=1&amp;NumAxis=1&amp;Mod1=147&amp;Mod3=147&amp;Mod36=147&amp;Mod42=170&amp;Pep=MGMGNNYSGGYGTPDGLGGYGRGGGGSGGYYGQGGMSGGGWR&amp;Dta=/var/www/html/dta/yong/23612.10965.3.dta&amp;Global_Mod=CS57.0215", "10965")</f>
        <v>10965</v>
      </c>
      <c r="M2023" s="1" t="str">
        <f>HYPERLINK("http://ms.phosphosite.org:5080/cgi-bin/plot-msms.cgi?MassType=1&amp;NumAxis=1&amp;Mod1=147&amp;Mod3=147&amp;Mod36=147&amp;Mod42=170&amp;Pep=MGMGNNYSGGYGTPDGLGGYGRGGGGSGGYYGQGGMSGGGWR&amp;Dta=/var/www/html/dta/yong/23613.10770.3.dta&amp;Global_Mod=CS57.0215", "10770")</f>
        <v>10770</v>
      </c>
      <c r="N2023" s="27">
        <v>47.33</v>
      </c>
      <c r="O2023" s="27">
        <v>46.44</v>
      </c>
      <c r="P2023" s="27">
        <v>2.8860000000000001</v>
      </c>
      <c r="Q2023" s="27">
        <v>2.8929999999999998</v>
      </c>
      <c r="R2023" s="27">
        <v>0.66039999999999999</v>
      </c>
      <c r="S2023" s="27">
        <v>0.66220000000000001</v>
      </c>
      <c r="T2023" s="27">
        <v>0.28499999999999998</v>
      </c>
      <c r="U2023" s="27">
        <v>0.1681</v>
      </c>
      <c r="V2023" s="1">
        <v>2</v>
      </c>
      <c r="W2023" s="1">
        <v>9</v>
      </c>
      <c r="X2023" s="27">
        <v>2.68</v>
      </c>
      <c r="Y2023" s="27">
        <v>2.11</v>
      </c>
      <c r="Z2023" s="28">
        <v>1000</v>
      </c>
      <c r="AA2023" s="28">
        <v>1000</v>
      </c>
      <c r="AB2023" s="1" t="s">
        <v>13</v>
      </c>
    </row>
    <row r="2024" spans="1:28">
      <c r="A2024" t="s">
        <v>580</v>
      </c>
      <c r="B2024" s="29" t="s">
        <v>2908</v>
      </c>
      <c r="C2024" s="26" t="s">
        <v>2909</v>
      </c>
      <c r="D2024" s="1">
        <v>343</v>
      </c>
      <c r="E2024" t="s">
        <v>642</v>
      </c>
      <c r="F2024" s="3" t="s">
        <v>2901</v>
      </c>
      <c r="G2024" s="1">
        <v>36.9</v>
      </c>
      <c r="H2024" t="s">
        <v>2932</v>
      </c>
      <c r="I2024" t="s">
        <v>2933</v>
      </c>
      <c r="J2024" s="1">
        <v>3</v>
      </c>
      <c r="K2024" s="1">
        <v>1343.5517</v>
      </c>
      <c r="L2024" s="1" t="str">
        <f>HYPERLINK("http://ms.phosphosite.org:5080/cgi-bin/plot-msms.cgi?MassType=1&amp;NumAxis=1&amp;Mod1=147&amp;Mod3=147&amp;Mod36=147&amp;Mod42=170&amp;Pep=MGMGNNYSGGYGTPDGLGGYGRGGGGSGGYYGQGGMSGGGWR&amp;Dta=/var/www/html/dta/yong/23612.11375.3.dta&amp;Global_Mod=CS57.0215", "11375")</f>
        <v>11375</v>
      </c>
      <c r="M2024" s="1" t="str">
        <f>HYPERLINK("http://ms.phosphosite.org:5080/cgi-bin/plot-msms.cgi?MassType=1&amp;NumAxis=1&amp;Mod1=147&amp;Mod3=147&amp;Mod36=147&amp;Mod42=170&amp;Pep=MGMGNNYSGGYGTPDGLGGYGRGGGGSGGYYGQGGMSGGGWR&amp;Dta=/var/www/html/dta/yong/23613.11604.3.dta&amp;Global_Mod=CS57.0215", "11604")</f>
        <v>11604</v>
      </c>
      <c r="N2024" s="27">
        <v>48.73</v>
      </c>
      <c r="O2024" s="27">
        <v>49.2</v>
      </c>
      <c r="P2024" s="27">
        <v>3.9630000000000001</v>
      </c>
      <c r="Q2024" s="27">
        <v>3.956</v>
      </c>
      <c r="R2024" s="27">
        <v>0.83579999999999999</v>
      </c>
      <c r="S2024" s="27">
        <v>0.91479999999999995</v>
      </c>
      <c r="T2024" s="27">
        <v>0.4027</v>
      </c>
      <c r="U2024" s="27">
        <v>0.3054</v>
      </c>
      <c r="V2024" s="1">
        <v>2</v>
      </c>
      <c r="W2024" s="1">
        <v>2</v>
      </c>
      <c r="X2024" s="27">
        <v>3.46</v>
      </c>
      <c r="Y2024" s="27">
        <v>2.99</v>
      </c>
      <c r="Z2024" s="28">
        <v>1000</v>
      </c>
      <c r="AA2024" s="28">
        <v>1000</v>
      </c>
      <c r="AB2024" s="1" t="s">
        <v>13</v>
      </c>
    </row>
    <row r="2025" spans="1:28">
      <c r="A2025" t="s">
        <v>580</v>
      </c>
      <c r="B2025" s="29" t="s">
        <v>2908</v>
      </c>
      <c r="C2025" s="26" t="s">
        <v>2909</v>
      </c>
      <c r="D2025" s="1">
        <v>343</v>
      </c>
      <c r="E2025" t="s">
        <v>642</v>
      </c>
      <c r="F2025" s="3" t="s">
        <v>2901</v>
      </c>
      <c r="G2025" s="1">
        <v>36.9</v>
      </c>
      <c r="H2025" t="s">
        <v>2932</v>
      </c>
      <c r="I2025" t="s">
        <v>2933</v>
      </c>
      <c r="J2025" s="1">
        <v>4</v>
      </c>
      <c r="K2025" s="1">
        <v>1007.9156</v>
      </c>
      <c r="L2025" s="1" t="str">
        <f>HYPERLINK("http://ms.phosphosite.org:5080/cgi-bin/plot-msms.cgi?MassType=1&amp;NumAxis=1&amp;Mod1=147&amp;Mod3=147&amp;Mod36=147&amp;Mod42=170&amp;Pep=MGMGNNYSGGYGTPDGLGGYGRGGGGSGGYYGQGGMSGGGWR&amp;Dta=/var/www/html/dta/yong/23612.10409.4.dta&amp;Global_Mod=CS57.0215", "10409")</f>
        <v>10409</v>
      </c>
      <c r="M2025" s="1" t="str">
        <f>HYPERLINK("http://ms.phosphosite.org:5080/cgi-bin/plot-msms.cgi?MassType=1&amp;NumAxis=1&amp;Mod1=147&amp;Mod3=147&amp;Mod36=147&amp;Mod42=170&amp;Pep=MGMGNNYSGGYGTPDGLGGYGRGGGGSGGYYGQGGMSGGGWR&amp;Dta=/var/www/html/dta/yong/23613.10786.4.dta&amp;Global_Mod=CS57.0215", "10786")</f>
        <v>10786</v>
      </c>
      <c r="N2025" s="27">
        <v>45.39</v>
      </c>
      <c r="O2025" s="27">
        <v>46.48</v>
      </c>
      <c r="P2025" s="27">
        <v>3.992</v>
      </c>
      <c r="Q2025" s="27">
        <v>3.7519999999999998</v>
      </c>
      <c r="R2025" s="27">
        <v>0.60440000000000005</v>
      </c>
      <c r="S2025" s="27">
        <v>0.89870000000000005</v>
      </c>
      <c r="T2025" s="27">
        <v>0.2581</v>
      </c>
      <c r="U2025" s="27">
        <v>0.12989999999999999</v>
      </c>
      <c r="V2025" s="1">
        <v>1</v>
      </c>
      <c r="W2025" s="1">
        <v>1</v>
      </c>
      <c r="X2025" s="27">
        <v>2.82</v>
      </c>
      <c r="Y2025" s="27">
        <v>2.13</v>
      </c>
      <c r="Z2025" s="28">
        <v>1000</v>
      </c>
      <c r="AA2025" s="28">
        <v>1000</v>
      </c>
      <c r="AB2025" s="1" t="s">
        <v>13</v>
      </c>
    </row>
    <row r="2026" spans="1:28">
      <c r="A2026" t="s">
        <v>580</v>
      </c>
      <c r="B2026" s="29" t="s">
        <v>2908</v>
      </c>
      <c r="C2026" s="26" t="s">
        <v>2909</v>
      </c>
      <c r="D2026" s="1">
        <v>343</v>
      </c>
      <c r="E2026" t="s">
        <v>642</v>
      </c>
      <c r="F2026" s="3" t="s">
        <v>2901</v>
      </c>
      <c r="G2026" s="1">
        <v>36.9</v>
      </c>
      <c r="H2026" t="s">
        <v>2932</v>
      </c>
      <c r="I2026" t="s">
        <v>2933</v>
      </c>
      <c r="J2026" s="1">
        <v>4</v>
      </c>
      <c r="K2026" s="1">
        <v>1007.9156</v>
      </c>
      <c r="L2026" s="1" t="str">
        <f>HYPERLINK("http://ms.phosphosite.org:5080/cgi-bin/plot-msms.cgi?MassType=1&amp;NumAxis=1&amp;Mod1=147&amp;Mod3=147&amp;Mod36=147&amp;Mod42=170&amp;Pep=MGMGNNYSGGYGTPDGLGGYGRGGGGSGGYYGQGGMSGGGWR&amp;Dta=/var/www/html/dta/yong/23612.10713.4.dta&amp;Global_Mod=CS57.0215", "10713")</f>
        <v>10713</v>
      </c>
      <c r="M2026" s="1" t="str">
        <f>HYPERLINK("http://ms.phosphosite.org:5080/cgi-bin/plot-msms.cgi?MassType=1&amp;NumAxis=1&amp;Mod1=147&amp;Mod3=147&amp;Mod36=147&amp;Mod42=170&amp;Pep=MGMGNNYSGGYGTPDGLGGYGRGGGGSGGYYGQGGMSGGGWR&amp;Dta=/var/www/html/dta/yong/23613.10479.4.dta&amp;Global_Mod=CS57.0215", "10479")</f>
        <v>10479</v>
      </c>
      <c r="N2026" s="27">
        <v>46.48</v>
      </c>
      <c r="O2026" s="27">
        <v>45.41</v>
      </c>
      <c r="P2026" s="27">
        <v>4.1849999999999996</v>
      </c>
      <c r="Q2026" s="27">
        <v>3.5649999999999999</v>
      </c>
      <c r="R2026" s="27">
        <v>0.88290000000000002</v>
      </c>
      <c r="S2026" s="27">
        <v>0.74119999999999997</v>
      </c>
      <c r="T2026" s="27">
        <v>0.22270000000000001</v>
      </c>
      <c r="U2026" s="27">
        <v>0.2646</v>
      </c>
      <c r="V2026" s="1">
        <v>6</v>
      </c>
      <c r="W2026" s="1">
        <v>1</v>
      </c>
      <c r="X2026" s="27">
        <v>2.67</v>
      </c>
      <c r="Y2026" s="27">
        <v>2.76</v>
      </c>
      <c r="Z2026" s="28">
        <v>1000</v>
      </c>
      <c r="AA2026" s="28">
        <v>1000</v>
      </c>
      <c r="AB2026" s="1" t="s">
        <v>13</v>
      </c>
    </row>
    <row r="2027" spans="1:28">
      <c r="A2027" t="s">
        <v>580</v>
      </c>
      <c r="B2027" s="29" t="s">
        <v>2908</v>
      </c>
      <c r="C2027" s="26" t="s">
        <v>2909</v>
      </c>
      <c r="D2027" s="1">
        <v>343</v>
      </c>
      <c r="E2027" t="s">
        <v>642</v>
      </c>
      <c r="F2027" s="3" t="s">
        <v>2901</v>
      </c>
      <c r="G2027" s="1">
        <v>36.9</v>
      </c>
      <c r="H2027" t="s">
        <v>2932</v>
      </c>
      <c r="I2027" t="s">
        <v>2933</v>
      </c>
      <c r="J2027" s="1">
        <v>4</v>
      </c>
      <c r="K2027" s="1">
        <v>1007.9156</v>
      </c>
      <c r="L2027" s="1" t="str">
        <f>HYPERLINK("http://ms.phosphosite.org:5080/cgi-bin/plot-msms.cgi?MassType=1&amp;NumAxis=1&amp;Mod1=147&amp;Mod3=147&amp;Mod36=147&amp;Mod42=170&amp;Pep=MGMGNNYSGGYGTPDGLGGYGRGGGGSGGYYGQGGMSGGGWR&amp;Dta=/var/www/html/dta/yong/23612.10468.4.dta&amp;Global_Mod=CS57.0215", "10468")</f>
        <v>10468</v>
      </c>
      <c r="M2027" s="1"/>
      <c r="N2027" s="27">
        <v>45.59</v>
      </c>
      <c r="O2027" s="27"/>
      <c r="P2027" s="27">
        <v>3.4329999999999998</v>
      </c>
      <c r="Q2027" s="27"/>
      <c r="R2027" s="27">
        <v>-0.45229999999999998</v>
      </c>
      <c r="S2027" s="27"/>
      <c r="T2027" s="27">
        <v>0.1532</v>
      </c>
      <c r="U2027" s="27"/>
      <c r="V2027" s="1">
        <v>1</v>
      </c>
      <c r="W2027" s="1"/>
      <c r="X2027" s="27">
        <v>2.16</v>
      </c>
      <c r="Y2027" s="27"/>
      <c r="Z2027" s="28">
        <v>1000</v>
      </c>
      <c r="AA2027" s="28"/>
      <c r="AB2027" s="1" t="s">
        <v>13</v>
      </c>
    </row>
    <row r="2028" spans="1:28">
      <c r="A2028" t="s">
        <v>580</v>
      </c>
      <c r="B2028" s="29" t="s">
        <v>2908</v>
      </c>
      <c r="C2028" s="26" t="s">
        <v>2909</v>
      </c>
      <c r="D2028" s="1">
        <v>343</v>
      </c>
      <c r="E2028" t="s">
        <v>642</v>
      </c>
      <c r="F2028" s="3" t="s">
        <v>2901</v>
      </c>
      <c r="G2028" s="1">
        <v>36.9</v>
      </c>
      <c r="H2028" t="s">
        <v>2932</v>
      </c>
      <c r="I2028" t="s">
        <v>2934</v>
      </c>
      <c r="J2028" s="1">
        <v>4</v>
      </c>
      <c r="K2028" s="1">
        <v>1003.9169000000001</v>
      </c>
      <c r="L2028" s="1" t="str">
        <f>HYPERLINK("http://ms.phosphosite.org:5080/cgi-bin/plot-msms.cgi?MassType=1&amp;NumAxis=1&amp;Mod1=147&amp;Mod3=147&amp;Mod42=170&amp;Pep=MGMGNNYSGGYGTPDGLGGYGRGGGGSGGYYGQGGMSGGGWR&amp;Dta=/var/www/html/dta/yong/23612.12588.4.dta&amp;Global_Mod=CS57.0215", "12588")</f>
        <v>12588</v>
      </c>
      <c r="M2028" s="1" t="str">
        <f>HYPERLINK("http://ms.phosphosite.org:5080/cgi-bin/plot-msms.cgi?MassType=1&amp;NumAxis=1&amp;Mod1=147&amp;Mod3=147&amp;Mod42=170&amp;Pep=MGMGNNYSGGYGTPDGLGGYGRGGGGSGGYYGQGGMSGGGWR&amp;Dta=/var/www/html/dta/yong/23613.11705.4.dta&amp;Global_Mod=CS57.0215", "11705")</f>
        <v>11705</v>
      </c>
      <c r="N2028" s="27">
        <v>52.84</v>
      </c>
      <c r="O2028" s="27">
        <v>49.54</v>
      </c>
      <c r="P2028" s="27">
        <v>4.359</v>
      </c>
      <c r="Q2028" s="27">
        <v>3.0739999999999998</v>
      </c>
      <c r="R2028" s="27">
        <v>1.5303</v>
      </c>
      <c r="S2028" s="27">
        <v>0.75990000000000002</v>
      </c>
      <c r="T2028" s="27">
        <v>0.16739999999999999</v>
      </c>
      <c r="U2028" s="27">
        <v>8.6900000000000005E-2</v>
      </c>
      <c r="V2028" s="1">
        <v>1</v>
      </c>
      <c r="W2028" s="1">
        <v>1</v>
      </c>
      <c r="X2028" s="27">
        <v>2.4</v>
      </c>
      <c r="Y2028" s="27">
        <v>1.79</v>
      </c>
      <c r="Z2028" s="28">
        <v>1000</v>
      </c>
      <c r="AA2028" s="28">
        <v>1000</v>
      </c>
      <c r="AB2028" s="1" t="s">
        <v>13</v>
      </c>
    </row>
    <row r="2029" spans="1:28">
      <c r="A2029" t="s">
        <v>580</v>
      </c>
      <c r="B2029" s="29" t="s">
        <v>2908</v>
      </c>
      <c r="C2029" s="26" t="s">
        <v>2909</v>
      </c>
      <c r="D2029" s="1">
        <v>343</v>
      </c>
      <c r="E2029" t="s">
        <v>642</v>
      </c>
      <c r="F2029" s="3" t="s">
        <v>2901</v>
      </c>
      <c r="G2029" s="1">
        <v>36.9</v>
      </c>
      <c r="H2029" t="s">
        <v>2926</v>
      </c>
      <c r="I2029" t="s">
        <v>2935</v>
      </c>
      <c r="J2029" s="1">
        <v>2</v>
      </c>
      <c r="K2029" s="1">
        <v>500.71890000000002</v>
      </c>
      <c r="L2029" s="1" t="str">
        <f>HYPERLINK("http://ms.phosphosite.org:5080/cgi-bin/plot-msms.cgi?MassType=1&amp;NumAxis=1&amp;Mod6=170&amp;Mod8=147&amp;Pep=SGGGWRGMY&amp;Dta=/var/www/html/dta/yong/23612.6683.2.dta&amp;Global_Mod=CS57.0215", "6683")</f>
        <v>6683</v>
      </c>
      <c r="M2029" s="1" t="str">
        <f>HYPERLINK("http://ms.phosphosite.org:5080/cgi-bin/plot-msms.cgi?MassType=1&amp;NumAxis=1&amp;Mod6=170&amp;Mod8=147&amp;Pep=SGGGWRGMY&amp;Dta=/var/www/html/dta/yong/23613.6723.2.dta&amp;Global_Mod=CS57.0215", "6723")</f>
        <v>6723</v>
      </c>
      <c r="N2029" s="27">
        <v>32.1</v>
      </c>
      <c r="O2029" s="27">
        <v>32.07</v>
      </c>
      <c r="P2029" s="27">
        <v>3.133</v>
      </c>
      <c r="Q2029" s="27">
        <v>2.9940000000000002</v>
      </c>
      <c r="R2029" s="27">
        <v>0.3402</v>
      </c>
      <c r="S2029" s="27">
        <v>0.3493</v>
      </c>
      <c r="T2029" s="27">
        <v>0.50609999999999999</v>
      </c>
      <c r="U2029" s="27">
        <v>0.42830000000000001</v>
      </c>
      <c r="V2029" s="1">
        <v>1</v>
      </c>
      <c r="W2029" s="1">
        <v>1</v>
      </c>
      <c r="X2029" s="27">
        <v>4.1399999999999997</v>
      </c>
      <c r="Y2029" s="27">
        <v>3.79</v>
      </c>
      <c r="Z2029" s="28">
        <v>1000</v>
      </c>
      <c r="AA2029" s="28">
        <v>1000</v>
      </c>
      <c r="AB2029" s="1" t="s">
        <v>13</v>
      </c>
    </row>
    <row r="2030" spans="1:28">
      <c r="A2030" t="s">
        <v>580</v>
      </c>
      <c r="B2030" s="29" t="s">
        <v>2908</v>
      </c>
      <c r="C2030" s="26" t="s">
        <v>2909</v>
      </c>
      <c r="D2030" s="1">
        <v>301</v>
      </c>
      <c r="E2030" t="s">
        <v>642</v>
      </c>
      <c r="F2030" s="3" t="s">
        <v>2901</v>
      </c>
      <c r="G2030" s="1">
        <v>36.9</v>
      </c>
      <c r="H2030" t="s">
        <v>2936</v>
      </c>
      <c r="I2030" t="s">
        <v>2937</v>
      </c>
      <c r="J2030" s="1">
        <v>2</v>
      </c>
      <c r="K2030" s="1">
        <v>721.80190000000005</v>
      </c>
      <c r="L2030" s="1" t="str">
        <f>HYPERLINK("http://ms.phosphosite.org:5080/cgi-bin/plot-msms.cgi?MassType=1&amp;NumAxis=1&amp;Mod3=147&amp;Mod14=170&amp;Pep=DGMDNQGGYGSVGR&amp;Dta=/var/www/html/dta/yong/23612.4230.2.dta&amp;Global_Mod=CS57.0215", "4230")</f>
        <v>4230</v>
      </c>
      <c r="M2030" s="1" t="str">
        <f>HYPERLINK("http://ms.phosphosite.org:5080/cgi-bin/plot-msms.cgi?MassType=1&amp;NumAxis=1&amp;Mod3=147&amp;Mod14=170&amp;Pep=DGMDNQGGYGSVGR&amp;Dta=/var/www/html/dta/yong/23613.4269.2.dta&amp;Global_Mod=CS57.0215", "4269")</f>
        <v>4269</v>
      </c>
      <c r="N2030" s="27">
        <v>22.85</v>
      </c>
      <c r="O2030" s="27">
        <v>22.79</v>
      </c>
      <c r="P2030" s="27">
        <v>4.2320000000000002</v>
      </c>
      <c r="Q2030" s="27">
        <v>4.0279999999999996</v>
      </c>
      <c r="R2030" s="27">
        <v>0.97130000000000005</v>
      </c>
      <c r="S2030" s="27">
        <v>0.85519999999999996</v>
      </c>
      <c r="T2030" s="27">
        <v>0.51259999999999994</v>
      </c>
      <c r="U2030" s="27">
        <v>0.51590000000000003</v>
      </c>
      <c r="V2030" s="1">
        <v>1</v>
      </c>
      <c r="W2030" s="1">
        <v>1</v>
      </c>
      <c r="X2030" s="27">
        <v>4.5</v>
      </c>
      <c r="Y2030" s="27">
        <v>4.54</v>
      </c>
      <c r="Z2030" s="28">
        <v>1000</v>
      </c>
      <c r="AA2030" s="28">
        <v>1000</v>
      </c>
      <c r="AB2030" s="1" t="s">
        <v>13</v>
      </c>
    </row>
    <row r="2031" spans="1:28">
      <c r="A2031" t="s">
        <v>580</v>
      </c>
      <c r="B2031" s="29" t="s">
        <v>2908</v>
      </c>
      <c r="C2031" s="26" t="s">
        <v>2909</v>
      </c>
      <c r="D2031" s="1">
        <v>301</v>
      </c>
      <c r="E2031" t="s">
        <v>642</v>
      </c>
      <c r="F2031" s="3" t="s">
        <v>2901</v>
      </c>
      <c r="G2031" s="1">
        <v>36.9</v>
      </c>
      <c r="H2031" t="s">
        <v>2936</v>
      </c>
      <c r="I2031" t="s">
        <v>2937</v>
      </c>
      <c r="J2031" s="1">
        <v>2</v>
      </c>
      <c r="K2031" s="1">
        <v>721.80190000000005</v>
      </c>
      <c r="L2031" s="1" t="str">
        <f>HYPERLINK("http://ms.phosphosite.org:5080/cgi-bin/plot-msms.cgi?MassType=1&amp;NumAxis=1&amp;Mod3=147&amp;Mod14=170&amp;Pep=DGMDNQGGYGSVGR&amp;Dta=/var/www/html/dta/yong/23612.4666.2.dta&amp;Global_Mod=CS57.0215", "4666")</f>
        <v>4666</v>
      </c>
      <c r="M2031" s="1"/>
      <c r="N2031" s="27">
        <v>24.58</v>
      </c>
      <c r="O2031" s="27"/>
      <c r="P2031" s="27">
        <v>3.496</v>
      </c>
      <c r="Q2031" s="27"/>
      <c r="R2031" s="27">
        <v>1.3554999999999999</v>
      </c>
      <c r="S2031" s="27"/>
      <c r="T2031" s="27">
        <v>0.39379999999999998</v>
      </c>
      <c r="U2031" s="27"/>
      <c r="V2031" s="1">
        <v>1</v>
      </c>
      <c r="W2031" s="1"/>
      <c r="X2031" s="27">
        <v>3.75</v>
      </c>
      <c r="Y2031" s="27"/>
      <c r="Z2031" s="28">
        <v>1000</v>
      </c>
      <c r="AA2031" s="28"/>
      <c r="AB2031" s="1" t="s">
        <v>13</v>
      </c>
    </row>
    <row r="2032" spans="1:28">
      <c r="A2032" t="s">
        <v>580</v>
      </c>
      <c r="B2032" s="29" t="s">
        <v>2908</v>
      </c>
      <c r="C2032" s="26" t="s">
        <v>2909</v>
      </c>
      <c r="D2032" s="1">
        <v>301</v>
      </c>
      <c r="E2032" t="s">
        <v>642</v>
      </c>
      <c r="F2032" s="3" t="s">
        <v>2901</v>
      </c>
      <c r="G2032" s="1">
        <v>36.9</v>
      </c>
      <c r="H2032" t="s">
        <v>2936</v>
      </c>
      <c r="I2032" t="s">
        <v>2938</v>
      </c>
      <c r="J2032" s="1">
        <v>2</v>
      </c>
      <c r="K2032" s="1">
        <v>713.80439999999999</v>
      </c>
      <c r="L2032" s="1" t="str">
        <f>HYPERLINK("http://ms.phosphosite.org:5080/cgi-bin/plot-msms.cgi?MassType=1&amp;NumAxis=1&amp;Mod14=170&amp;Pep=DGMDNQGGYGSVGR&amp;Dta=/var/www/html/dta/yong/23612.5868.2.dta&amp;Global_Mod=CS57.0215", "5868")</f>
        <v>5868</v>
      </c>
      <c r="M2032" s="1" t="str">
        <f>HYPERLINK("http://ms.phosphosite.org:5080/cgi-bin/plot-msms.cgi?MassType=1&amp;NumAxis=1&amp;Mod14=170&amp;Pep=DGMDNQGGYGSVGR&amp;Dta=/var/www/html/dta/yong/23613.5918.2.dta&amp;Global_Mod=CS57.0215", "5918")</f>
        <v>5918</v>
      </c>
      <c r="N2032" s="27">
        <v>29.07</v>
      </c>
      <c r="O2032" s="27">
        <v>29.08</v>
      </c>
      <c r="P2032" s="27">
        <v>3.855</v>
      </c>
      <c r="Q2032" s="27">
        <v>3.6709999999999998</v>
      </c>
      <c r="R2032" s="27">
        <v>0.82389999999999997</v>
      </c>
      <c r="S2032" s="27">
        <v>0.82779999999999998</v>
      </c>
      <c r="T2032" s="27">
        <v>0.45679999999999998</v>
      </c>
      <c r="U2032" s="27">
        <v>0.44219999999999998</v>
      </c>
      <c r="V2032" s="1">
        <v>1</v>
      </c>
      <c r="W2032" s="1">
        <v>1</v>
      </c>
      <c r="X2032" s="27">
        <v>4.1500000000000004</v>
      </c>
      <c r="Y2032" s="27">
        <v>4.0999999999999996</v>
      </c>
      <c r="Z2032" s="28">
        <v>1000</v>
      </c>
      <c r="AA2032" s="28">
        <v>1000</v>
      </c>
      <c r="AB2032" s="1" t="s">
        <v>13</v>
      </c>
    </row>
    <row r="2033" spans="1:28">
      <c r="A2033" t="s">
        <v>580</v>
      </c>
      <c r="B2033" s="29" t="s">
        <v>2908</v>
      </c>
      <c r="C2033" s="26" t="s">
        <v>2909</v>
      </c>
      <c r="D2033" s="1">
        <v>323</v>
      </c>
      <c r="E2033" t="s">
        <v>642</v>
      </c>
      <c r="F2033" s="3" t="s">
        <v>2901</v>
      </c>
      <c r="G2033" s="1">
        <v>36.9</v>
      </c>
      <c r="H2033" t="s">
        <v>2932</v>
      </c>
      <c r="I2033" t="s">
        <v>2939</v>
      </c>
      <c r="J2033" s="1">
        <v>2</v>
      </c>
      <c r="K2033" s="1">
        <v>670.81510000000003</v>
      </c>
      <c r="L2033" s="1"/>
      <c r="M2033" s="1" t="str">
        <f>HYPERLINK("http://ms.phosphosite.org:5080/cgi-bin/plot-msms.cgi?MassType=1&amp;NumAxis=1&amp;Mod14=170&amp;Pep=GGYGTPDGLGGYGR&amp;Dta=/var/www/html/dta/yong/23613.8967.2.dta&amp;Global_Mod=CS57.0215", "8967")</f>
        <v>8967</v>
      </c>
      <c r="N2033" s="27"/>
      <c r="O2033" s="27">
        <v>40.229999999999997</v>
      </c>
      <c r="P2033" s="27"/>
      <c r="Q2033" s="27">
        <v>2.629</v>
      </c>
      <c r="R2033" s="27"/>
      <c r="S2033" s="27">
        <v>0.92620000000000002</v>
      </c>
      <c r="T2033" s="27"/>
      <c r="U2033" s="27">
        <v>0.25009999999999999</v>
      </c>
      <c r="V2033" s="1"/>
      <c r="W2033" s="1">
        <v>3</v>
      </c>
      <c r="X2033" s="27"/>
      <c r="Y2033" s="27">
        <v>2.94</v>
      </c>
      <c r="Z2033" s="28"/>
      <c r="AA2033" s="28">
        <v>1000</v>
      </c>
      <c r="AB2033" s="1" t="s">
        <v>13</v>
      </c>
    </row>
    <row r="2034" spans="1:28">
      <c r="A2034" t="s">
        <v>580</v>
      </c>
      <c r="B2034" s="29" t="s">
        <v>2908</v>
      </c>
      <c r="C2034" s="26" t="s">
        <v>2909</v>
      </c>
      <c r="D2034" s="1">
        <v>323</v>
      </c>
      <c r="E2034" t="s">
        <v>642</v>
      </c>
      <c r="F2034" s="3" t="s">
        <v>2901</v>
      </c>
      <c r="G2034" s="1">
        <v>36.9</v>
      </c>
      <c r="H2034" t="s">
        <v>2932</v>
      </c>
      <c r="I2034" t="s">
        <v>2940</v>
      </c>
      <c r="J2034" s="1">
        <v>3</v>
      </c>
      <c r="K2034" s="1">
        <v>832.36839999999995</v>
      </c>
      <c r="L2034" s="1"/>
      <c r="M2034" s="1" t="str">
        <f>HYPERLINK("http://ms.phosphosite.org:5080/cgi-bin/plot-msms.cgi?MassType=1&amp;NumAxis=1&amp;Mod7=170&amp;Mod21=147&amp;Pep=GLGGYGRGGGGSGGYYGQGGMSGGGWR&amp;Dta=/var/www/html/dta/yong/23613.8701.3.dta&amp;Global_Mod=CS57.0215", "8701")</f>
        <v>8701</v>
      </c>
      <c r="N2034" s="27"/>
      <c r="O2034" s="27">
        <v>39.24</v>
      </c>
      <c r="P2034" s="27"/>
      <c r="Q2034" s="27">
        <v>3.6160000000000001</v>
      </c>
      <c r="R2034" s="27"/>
      <c r="S2034" s="27">
        <v>0.56510000000000005</v>
      </c>
      <c r="T2034" s="27"/>
      <c r="U2034" s="27">
        <v>0.34720000000000001</v>
      </c>
      <c r="V2034" s="1"/>
      <c r="W2034" s="1">
        <v>1</v>
      </c>
      <c r="X2034" s="27"/>
      <c r="Y2034" s="27">
        <v>3.33</v>
      </c>
      <c r="Z2034" s="28"/>
      <c r="AA2034" s="28">
        <v>1000</v>
      </c>
      <c r="AB2034" s="1" t="s">
        <v>13</v>
      </c>
    </row>
    <row r="2035" spans="1:28">
      <c r="A2035" t="s">
        <v>580</v>
      </c>
      <c r="B2035" s="29" t="s">
        <v>2908</v>
      </c>
      <c r="C2035" s="26" t="s">
        <v>2909</v>
      </c>
      <c r="D2035" s="1">
        <v>323</v>
      </c>
      <c r="E2035" t="s">
        <v>642</v>
      </c>
      <c r="F2035" s="3" t="s">
        <v>2901</v>
      </c>
      <c r="G2035" s="1">
        <v>36.9</v>
      </c>
      <c r="H2035" t="s">
        <v>2932</v>
      </c>
      <c r="I2035" t="s">
        <v>2941</v>
      </c>
      <c r="J2035" s="1">
        <v>2</v>
      </c>
      <c r="K2035" s="1">
        <v>1040.4449</v>
      </c>
      <c r="L2035" s="1" t="str">
        <f>HYPERLINK("http://ms.phosphosite.org:5080/cgi-bin/plot-msms.cgi?MassType=1&amp;NumAxis=1&amp;Mod2=147&amp;Mod21=170&amp;Pep=GMGNNYSGGYGTPDGLGGYGR&amp;Dta=/var/www/html/dta/yong/23612.9820.2.dta&amp;Global_Mod=CS57.0215", "9820")</f>
        <v>9820</v>
      </c>
      <c r="M2035" s="1" t="str">
        <f>HYPERLINK("http://ms.phosphosite.org:5080/cgi-bin/plot-msms.cgi?MassType=1&amp;NumAxis=1&amp;Mod2=147&amp;Mod21=170&amp;Pep=GMGNNYSGGYGTPDGLGGYGR&amp;Dta=/var/www/html/dta/yong/23613.9893.2.dta&amp;Global_Mod=CS57.0215", "9893")</f>
        <v>9893</v>
      </c>
      <c r="N2035" s="27">
        <v>43.35</v>
      </c>
      <c r="O2035" s="27">
        <v>43.43</v>
      </c>
      <c r="P2035" s="27">
        <v>5.6749999999999998</v>
      </c>
      <c r="Q2035" s="27">
        <v>5.4669999999999996</v>
      </c>
      <c r="R2035" s="27">
        <v>0.98340000000000005</v>
      </c>
      <c r="S2035" s="27">
        <v>0.62309999999999999</v>
      </c>
      <c r="T2035" s="27">
        <v>0.61509999999999998</v>
      </c>
      <c r="U2035" s="27">
        <v>0.62509999999999999</v>
      </c>
      <c r="V2035" s="1">
        <v>1</v>
      </c>
      <c r="W2035" s="1">
        <v>1</v>
      </c>
      <c r="X2035" s="27">
        <v>5.2</v>
      </c>
      <c r="Y2035" s="27">
        <v>5.29</v>
      </c>
      <c r="Z2035" s="28">
        <v>1000</v>
      </c>
      <c r="AA2035" s="28">
        <v>1000</v>
      </c>
      <c r="AB2035" s="1" t="s">
        <v>13</v>
      </c>
    </row>
    <row r="2036" spans="1:28">
      <c r="A2036" t="s">
        <v>580</v>
      </c>
      <c r="B2036" s="29" t="s">
        <v>2908</v>
      </c>
      <c r="C2036" s="26" t="s">
        <v>2909</v>
      </c>
      <c r="D2036" s="1">
        <v>323</v>
      </c>
      <c r="E2036" t="s">
        <v>642</v>
      </c>
      <c r="F2036" s="3" t="s">
        <v>2901</v>
      </c>
      <c r="G2036" s="1">
        <v>36.9</v>
      </c>
      <c r="H2036" t="s">
        <v>2932</v>
      </c>
      <c r="I2036" t="s">
        <v>2941</v>
      </c>
      <c r="J2036" s="1">
        <v>2</v>
      </c>
      <c r="K2036" s="1">
        <v>1040.4449</v>
      </c>
      <c r="L2036" s="1"/>
      <c r="M2036" s="1" t="str">
        <f>HYPERLINK("http://ms.phosphosite.org:5080/cgi-bin/plot-msms.cgi?MassType=1&amp;NumAxis=1&amp;Mod2=147&amp;Mod21=170&amp;Pep=GMGNNYSGGYGTPDGLGGYGR&amp;Dta=/var/www/html/dta/yong/23613.9968.2.dta&amp;Global_Mod=CS57.0215", "9968")</f>
        <v>9968</v>
      </c>
      <c r="N2036" s="27"/>
      <c r="O2036" s="27">
        <v>43.66</v>
      </c>
      <c r="P2036" s="27"/>
      <c r="Q2036" s="27">
        <v>4.875</v>
      </c>
      <c r="R2036" s="27"/>
      <c r="S2036" s="27">
        <v>0.66620000000000001</v>
      </c>
      <c r="T2036" s="27"/>
      <c r="U2036" s="27">
        <v>0.63439999999999996</v>
      </c>
      <c r="V2036" s="1"/>
      <c r="W2036" s="1">
        <v>1</v>
      </c>
      <c r="X2036" s="27"/>
      <c r="Y2036" s="27">
        <v>5.22</v>
      </c>
      <c r="Z2036" s="28"/>
      <c r="AA2036" s="28">
        <v>1000</v>
      </c>
      <c r="AB2036" s="1" t="s">
        <v>13</v>
      </c>
    </row>
    <row r="2037" spans="1:28">
      <c r="A2037" t="s">
        <v>580</v>
      </c>
      <c r="B2037" s="29" t="s">
        <v>2908</v>
      </c>
      <c r="C2037" s="26" t="s">
        <v>2909</v>
      </c>
      <c r="D2037" s="1">
        <v>323</v>
      </c>
      <c r="E2037" t="s">
        <v>642</v>
      </c>
      <c r="F2037" s="3" t="s">
        <v>2901</v>
      </c>
      <c r="G2037" s="1">
        <v>36.9</v>
      </c>
      <c r="H2037" t="s">
        <v>2932</v>
      </c>
      <c r="I2037" t="s">
        <v>2942</v>
      </c>
      <c r="J2037" s="1">
        <v>2</v>
      </c>
      <c r="K2037" s="1">
        <v>938.41650000000004</v>
      </c>
      <c r="L2037" s="1" t="str">
        <f>HYPERLINK("http://ms.phosphosite.org:5080/cgi-bin/plot-msms.cgi?MassType=1&amp;NumAxis=1&amp;Mod19=170&amp;Pep=GNNYSGGYGTPDGLGGYGR&amp;Dta=/var/www/html/dta/yong/23612.9837.2.dta&amp;Global_Mod=CS57.0215", "9837")</f>
        <v>9837</v>
      </c>
      <c r="M2037" s="1" t="str">
        <f>HYPERLINK("http://ms.phosphosite.org:5080/cgi-bin/plot-msms.cgi?MassType=1&amp;NumAxis=1&amp;Mod19=170&amp;Pep=GNNYSGGYGTPDGLGGYGR&amp;Dta=/var/www/html/dta/yong/23613.9905.2.dta&amp;Global_Mod=CS57.0215", "9905")</f>
        <v>9905</v>
      </c>
      <c r="N2037" s="27">
        <v>43.4</v>
      </c>
      <c r="O2037" s="27">
        <v>43.47</v>
      </c>
      <c r="P2037" s="27">
        <v>5.32</v>
      </c>
      <c r="Q2037" s="27">
        <v>5.2720000000000002</v>
      </c>
      <c r="R2037" s="27">
        <v>0.45779999999999998</v>
      </c>
      <c r="S2037" s="27">
        <v>0.44109999999999999</v>
      </c>
      <c r="T2037" s="27">
        <v>0.59930000000000005</v>
      </c>
      <c r="U2037" s="27">
        <v>0.62009999999999998</v>
      </c>
      <c r="V2037" s="1">
        <v>1</v>
      </c>
      <c r="W2037" s="1">
        <v>1</v>
      </c>
      <c r="X2037" s="27">
        <v>5.0999999999999996</v>
      </c>
      <c r="Y2037" s="27">
        <v>5.26</v>
      </c>
      <c r="Z2037" s="28">
        <v>1000</v>
      </c>
      <c r="AA2037" s="28">
        <v>1000</v>
      </c>
      <c r="AB2037" s="1" t="s">
        <v>13</v>
      </c>
    </row>
    <row r="2038" spans="1:28">
      <c r="A2038" t="s">
        <v>580</v>
      </c>
      <c r="B2038" s="29" t="s">
        <v>2908</v>
      </c>
      <c r="C2038" s="26" t="s">
        <v>2909</v>
      </c>
      <c r="D2038" s="1">
        <v>323</v>
      </c>
      <c r="E2038" t="s">
        <v>642</v>
      </c>
      <c r="F2038" s="3" t="s">
        <v>2901</v>
      </c>
      <c r="G2038" s="1">
        <v>36.9</v>
      </c>
      <c r="H2038" t="s">
        <v>2932</v>
      </c>
      <c r="I2038" t="s">
        <v>2942</v>
      </c>
      <c r="J2038" s="1">
        <v>3</v>
      </c>
      <c r="K2038" s="1">
        <v>625.94669999999996</v>
      </c>
      <c r="L2038" s="1" t="str">
        <f>HYPERLINK("http://ms.phosphosite.org:5080/cgi-bin/plot-msms.cgi?MassType=1&amp;NumAxis=1&amp;Mod19=170&amp;Pep=GNNYSGGYGTPDGLGGYGR&amp;Dta=/var/www/html/dta/yong/23612.9872.3.dta&amp;Global_Mod=CS57.0215", "9872")</f>
        <v>9872</v>
      </c>
      <c r="M2038" s="1" t="str">
        <f>HYPERLINK("http://ms.phosphosite.org:5080/cgi-bin/plot-msms.cgi?MassType=1&amp;NumAxis=1&amp;Mod19=170&amp;Pep=GNNYSGGYGTPDGLGGYGR&amp;Dta=/var/www/html/dta/yong/23613.9923.3.dta&amp;Global_Mod=CS57.0215", "9923")</f>
        <v>9923</v>
      </c>
      <c r="N2038" s="27">
        <v>43.51</v>
      </c>
      <c r="O2038" s="27">
        <v>43.52</v>
      </c>
      <c r="P2038" s="27">
        <v>3.3580000000000001</v>
      </c>
      <c r="Q2038" s="27">
        <v>3.4889999999999999</v>
      </c>
      <c r="R2038" s="27">
        <v>0.36630000000000001</v>
      </c>
      <c r="S2038" s="27">
        <v>0.50190000000000001</v>
      </c>
      <c r="T2038" s="27">
        <v>0.25469999999999998</v>
      </c>
      <c r="U2038" s="27">
        <v>0.39700000000000002</v>
      </c>
      <c r="V2038" s="1">
        <v>1</v>
      </c>
      <c r="W2038" s="1">
        <v>1</v>
      </c>
      <c r="X2038" s="27">
        <v>3.08</v>
      </c>
      <c r="Y2038" s="27">
        <v>3.84</v>
      </c>
      <c r="Z2038" s="28">
        <v>1000</v>
      </c>
      <c r="AA2038" s="28">
        <v>1000</v>
      </c>
      <c r="AB2038" s="1" t="s">
        <v>13</v>
      </c>
    </row>
    <row r="2039" spans="1:28">
      <c r="A2039" t="s">
        <v>580</v>
      </c>
      <c r="B2039" s="29" t="s">
        <v>2908</v>
      </c>
      <c r="C2039" s="26" t="s">
        <v>2909</v>
      </c>
      <c r="D2039" s="1">
        <v>323</v>
      </c>
      <c r="E2039" t="s">
        <v>642</v>
      </c>
      <c r="F2039" s="3" t="s">
        <v>2901</v>
      </c>
      <c r="G2039" s="1">
        <v>36.9</v>
      </c>
      <c r="H2039" t="s">
        <v>2932</v>
      </c>
      <c r="I2039" t="s">
        <v>2943</v>
      </c>
      <c r="J2039" s="1">
        <v>3</v>
      </c>
      <c r="K2039" s="1">
        <v>1226.521</v>
      </c>
      <c r="L2039" s="1" t="str">
        <f>HYPERLINK("http://ms.phosphosite.org:5080/cgi-bin/plot-msms.cgi?MassType=1&amp;NumAxis=1&amp;Mod19=170&amp;Mod33=147&amp;Pep=GNNYSGGYGTPDGLGGYGRGGGGSGGYYGQGGMSGGGWR&amp;Dta=/var/www/html/dta/yong/23612.11220.3.dta&amp;Global_Mod=CS57.0215", "11220")</f>
        <v>11220</v>
      </c>
      <c r="M2039" s="1" t="str">
        <f>HYPERLINK("http://ms.phosphosite.org:5080/cgi-bin/plot-msms.cgi?MassType=1&amp;NumAxis=1&amp;Mod19=170&amp;Mod33=147&amp;Pep=GNNYSGGYGTPDGLGGYGRGGGGSGGYYGQGGMSGGGWR&amp;Dta=/var/www/html/dta/yong/23613.11294.3.dta&amp;Global_Mod=CS57.0215", "11294")</f>
        <v>11294</v>
      </c>
      <c r="N2039" s="27">
        <v>48.19</v>
      </c>
      <c r="O2039" s="27">
        <v>48.18</v>
      </c>
      <c r="P2039" s="27">
        <v>3.9049999999999998</v>
      </c>
      <c r="Q2039" s="27">
        <v>3.1389999999999998</v>
      </c>
      <c r="R2039" s="27">
        <v>-0.56530000000000002</v>
      </c>
      <c r="S2039" s="27">
        <v>2.3792</v>
      </c>
      <c r="T2039" s="27">
        <v>0.4214</v>
      </c>
      <c r="U2039" s="27">
        <v>0.31869999999999998</v>
      </c>
      <c r="V2039" s="1">
        <v>1</v>
      </c>
      <c r="W2039" s="1">
        <v>1</v>
      </c>
      <c r="X2039" s="27">
        <v>3.55</v>
      </c>
      <c r="Y2039" s="27">
        <v>2.85</v>
      </c>
      <c r="Z2039" s="28">
        <v>1000</v>
      </c>
      <c r="AA2039" s="28">
        <v>1000</v>
      </c>
      <c r="AB2039" s="1" t="s">
        <v>13</v>
      </c>
    </row>
    <row r="2040" spans="1:28">
      <c r="A2040" t="s">
        <v>580</v>
      </c>
      <c r="B2040" s="29" t="s">
        <v>2908</v>
      </c>
      <c r="C2040" s="26" t="s">
        <v>2909</v>
      </c>
      <c r="D2040" s="1">
        <v>323</v>
      </c>
      <c r="E2040" t="s">
        <v>642</v>
      </c>
      <c r="F2040" s="3" t="s">
        <v>2901</v>
      </c>
      <c r="G2040" s="1">
        <v>36.9</v>
      </c>
      <c r="H2040" t="s">
        <v>2932</v>
      </c>
      <c r="I2040" t="s">
        <v>2944</v>
      </c>
      <c r="J2040" s="1">
        <v>3</v>
      </c>
      <c r="K2040" s="1">
        <v>683.29780000000005</v>
      </c>
      <c r="L2040" s="1" t="str">
        <f>HYPERLINK("http://ms.phosphosite.org:5080/cgi-bin/plot-msms.cgi?MassType=1&amp;NumAxis=1&amp;Mod2=170&amp;Mod16=147&amp;Pep=GRGGGGSGGYYGQGGMSGGGWR&amp;Dta=/var/www/html/dta/yong/23612.5851.3.dta&amp;Global_Mod=CS57.0215", "5851")</f>
        <v>5851</v>
      </c>
      <c r="M2040" s="1" t="str">
        <f>HYPERLINK("http://ms.phosphosite.org:5080/cgi-bin/plot-msms.cgi?MassType=1&amp;NumAxis=1&amp;Mod2=170&amp;Mod16=147&amp;Pep=GRGGGGSGGYYGQGGMSGGGWR&amp;Dta=/var/www/html/dta/yong/23613.5941.3.dta&amp;Global_Mod=CS57.0215", "5941")</f>
        <v>5941</v>
      </c>
      <c r="N2040" s="27">
        <v>29.02</v>
      </c>
      <c r="O2040" s="27">
        <v>29.16</v>
      </c>
      <c r="P2040" s="27">
        <v>4.4589999999999996</v>
      </c>
      <c r="Q2040" s="27">
        <v>4.7220000000000004</v>
      </c>
      <c r="R2040" s="27">
        <v>1.0824</v>
      </c>
      <c r="S2040" s="27">
        <v>0.73129999999999995</v>
      </c>
      <c r="T2040" s="27">
        <v>0.36199999999999999</v>
      </c>
      <c r="U2040" s="27">
        <v>0.33860000000000001</v>
      </c>
      <c r="V2040" s="1">
        <v>1</v>
      </c>
      <c r="W2040" s="1">
        <v>1</v>
      </c>
      <c r="X2040" s="27">
        <v>3.57</v>
      </c>
      <c r="Y2040" s="27">
        <v>3.57</v>
      </c>
      <c r="Z2040" s="28">
        <v>1000</v>
      </c>
      <c r="AA2040" s="28">
        <v>1000</v>
      </c>
      <c r="AB2040" s="1" t="s">
        <v>13</v>
      </c>
    </row>
    <row r="2041" spans="1:28">
      <c r="A2041" t="s">
        <v>580</v>
      </c>
      <c r="B2041" s="29" t="s">
        <v>2908</v>
      </c>
      <c r="C2041" s="26" t="s">
        <v>2909</v>
      </c>
      <c r="D2041" s="1">
        <v>323</v>
      </c>
      <c r="E2041" t="s">
        <v>642</v>
      </c>
      <c r="F2041" s="3" t="s">
        <v>2901</v>
      </c>
      <c r="G2041" s="1">
        <v>36.9</v>
      </c>
      <c r="H2041" t="s">
        <v>2932</v>
      </c>
      <c r="I2041" t="s">
        <v>2944</v>
      </c>
      <c r="J2041" s="1">
        <v>3</v>
      </c>
      <c r="K2041" s="1">
        <v>683.29780000000005</v>
      </c>
      <c r="L2041" s="1"/>
      <c r="M2041" s="1" t="str">
        <f>HYPERLINK("http://ms.phosphosite.org:5080/cgi-bin/plot-msms.cgi?MassType=1&amp;NumAxis=1&amp;Mod2=170&amp;Mod16=147&amp;Pep=GRGGGGSGGYYGQGGMSGGGWR&amp;Dta=/var/www/html/dta/yong/23613.5906.3.dta&amp;Global_Mod=CS57.0215", "5906")</f>
        <v>5906</v>
      </c>
      <c r="N2041" s="27"/>
      <c r="O2041" s="27">
        <v>29.03</v>
      </c>
      <c r="P2041" s="27"/>
      <c r="Q2041" s="27">
        <v>4.7969999999999997</v>
      </c>
      <c r="R2041" s="27"/>
      <c r="S2041" s="27">
        <v>0.73129999999999995</v>
      </c>
      <c r="T2041" s="27"/>
      <c r="U2041" s="27">
        <v>0.37780000000000002</v>
      </c>
      <c r="V2041" s="1"/>
      <c r="W2041" s="1">
        <v>1</v>
      </c>
      <c r="X2041" s="27"/>
      <c r="Y2041" s="27">
        <v>3.78</v>
      </c>
      <c r="Z2041" s="28"/>
      <c r="AA2041" s="28">
        <v>1000</v>
      </c>
      <c r="AB2041" s="1" t="s">
        <v>13</v>
      </c>
    </row>
    <row r="2042" spans="1:28">
      <c r="A2042" t="s">
        <v>580</v>
      </c>
      <c r="B2042" s="29" t="s">
        <v>2908</v>
      </c>
      <c r="C2042" s="26" t="s">
        <v>2909</v>
      </c>
      <c r="D2042" s="1">
        <v>323</v>
      </c>
      <c r="E2042" t="s">
        <v>642</v>
      </c>
      <c r="F2042" s="3" t="s">
        <v>2901</v>
      </c>
      <c r="G2042" s="1">
        <v>36.9</v>
      </c>
      <c r="H2042" t="s">
        <v>2932</v>
      </c>
      <c r="I2042" t="s">
        <v>2945</v>
      </c>
      <c r="J2042" s="1">
        <v>3</v>
      </c>
      <c r="K2042" s="1">
        <v>677.96609999999998</v>
      </c>
      <c r="L2042" s="1" t="str">
        <f>HYPERLINK("http://ms.phosphosite.org:5080/cgi-bin/plot-msms.cgi?MassType=1&amp;NumAxis=1&amp;Mod2=170&amp;Pep=GRGGGGSGGYYGQGGMSGGGWR&amp;Dta=/var/www/html/dta/yong/23612.7639.3.dta&amp;Global_Mod=CS57.0215", "7639")</f>
        <v>7639</v>
      </c>
      <c r="M2042" s="1"/>
      <c r="N2042" s="27">
        <v>35.54</v>
      </c>
      <c r="O2042" s="27"/>
      <c r="P2042" s="27">
        <v>2.99</v>
      </c>
      <c r="Q2042" s="27"/>
      <c r="R2042" s="27">
        <v>-9.0499999999999997E-2</v>
      </c>
      <c r="S2042" s="27"/>
      <c r="T2042" s="27">
        <v>0.28179999999999999</v>
      </c>
      <c r="U2042" s="27"/>
      <c r="V2042" s="1">
        <v>1</v>
      </c>
      <c r="W2042" s="1"/>
      <c r="X2042" s="27">
        <v>2.9</v>
      </c>
      <c r="Y2042" s="27"/>
      <c r="Z2042" s="28">
        <v>1000</v>
      </c>
      <c r="AA2042" s="28"/>
      <c r="AB2042" s="1" t="s">
        <v>13</v>
      </c>
    </row>
    <row r="2043" spans="1:28">
      <c r="A2043" t="s">
        <v>580</v>
      </c>
      <c r="B2043" s="29" t="s">
        <v>2908</v>
      </c>
      <c r="C2043" s="26" t="s">
        <v>2909</v>
      </c>
      <c r="D2043" s="1">
        <v>323</v>
      </c>
      <c r="E2043" t="s">
        <v>642</v>
      </c>
      <c r="F2043" s="3" t="s">
        <v>2901</v>
      </c>
      <c r="G2043" s="1">
        <v>36.9</v>
      </c>
      <c r="H2043" t="s">
        <v>2932</v>
      </c>
      <c r="I2043" t="s">
        <v>2946</v>
      </c>
      <c r="J2043" s="1">
        <v>2</v>
      </c>
      <c r="K2043" s="1">
        <v>532.26199999999994</v>
      </c>
      <c r="L2043" s="1" t="str">
        <f>HYPERLINK("http://ms.phosphosite.org:5080/cgi-bin/plot-msms.cgi?MassType=1&amp;NumAxis=1&amp;Mod11=170&amp;Pep=GTPDGLGGYGR&amp;Dta=/var/www/html/dta/yong/23612.6724.2.dta&amp;Global_Mod=CS57.0215", "6724")</f>
        <v>6724</v>
      </c>
      <c r="M2043" s="1" t="str">
        <f>HYPERLINK("http://ms.phosphosite.org:5080/cgi-bin/plot-msms.cgi?MassType=1&amp;NumAxis=1&amp;Mod11=170&amp;Pep=GTPDGLGGYGR&amp;Dta=/var/www/html/dta/yong/23613.6771.2.dta&amp;Global_Mod=CS57.0215", "6771")</f>
        <v>6771</v>
      </c>
      <c r="N2043" s="27">
        <v>32.270000000000003</v>
      </c>
      <c r="O2043" s="27">
        <v>32.270000000000003</v>
      </c>
      <c r="P2043" s="27">
        <v>2.81</v>
      </c>
      <c r="Q2043" s="27">
        <v>2.2480000000000002</v>
      </c>
      <c r="R2043" s="27">
        <v>8.5500000000000007E-2</v>
      </c>
      <c r="S2043" s="27">
        <v>0.2306</v>
      </c>
      <c r="T2043" s="27">
        <v>0.45179999999999998</v>
      </c>
      <c r="U2043" s="27">
        <v>0.41810000000000003</v>
      </c>
      <c r="V2043" s="1">
        <v>1</v>
      </c>
      <c r="W2043" s="1">
        <v>2</v>
      </c>
      <c r="X2043" s="27">
        <v>3.97</v>
      </c>
      <c r="Y2043" s="27">
        <v>3.74</v>
      </c>
      <c r="Z2043" s="28">
        <v>1000</v>
      </c>
      <c r="AA2043" s="28">
        <v>1000</v>
      </c>
      <c r="AB2043" s="1" t="s">
        <v>13</v>
      </c>
    </row>
    <row r="2044" spans="1:28">
      <c r="A2044" t="s">
        <v>580</v>
      </c>
      <c r="B2044" s="29" t="s">
        <v>2908</v>
      </c>
      <c r="C2044" s="26" t="s">
        <v>2909</v>
      </c>
      <c r="D2044" s="1">
        <v>323</v>
      </c>
      <c r="E2044" t="s">
        <v>642</v>
      </c>
      <c r="F2044" s="3" t="s">
        <v>2901</v>
      </c>
      <c r="G2044" s="1">
        <v>36.9</v>
      </c>
      <c r="H2044" t="s">
        <v>2932</v>
      </c>
      <c r="I2044" t="s">
        <v>2947</v>
      </c>
      <c r="J2044" s="1">
        <v>3</v>
      </c>
      <c r="K2044" s="1">
        <v>955.75130000000001</v>
      </c>
      <c r="L2044" s="1" t="str">
        <f>HYPERLINK("http://ms.phosphosite.org:5080/cgi-bin/plot-msms.cgi?MassType=1&amp;NumAxis=1&amp;Mod11=170&amp;Mod25=147&amp;Pep=GTPDGLGGYGRGGGGSGGYYGQGGMSGGGWR&amp;Dta=/var/www/html/dta/yong/23612.9667.3.dta&amp;Global_Mod=CS57.0215", "9667")</f>
        <v>9667</v>
      </c>
      <c r="M2044" s="1" t="str">
        <f>HYPERLINK("http://ms.phosphosite.org:5080/cgi-bin/plot-msms.cgi?MassType=1&amp;NumAxis=1&amp;Mod11=170&amp;Mod25=147&amp;Pep=GTPDGLGGYGRGGGGSGGYYGQGGMSGGGWR&amp;Dta=/var/www/html/dta/yong/23613.9726.3.dta&amp;Global_Mod=CS57.0215", "9726")</f>
        <v>9726</v>
      </c>
      <c r="N2044" s="27">
        <v>42.82</v>
      </c>
      <c r="O2044" s="27">
        <v>42.87</v>
      </c>
      <c r="P2044" s="27">
        <v>4.1260000000000003</v>
      </c>
      <c r="Q2044" s="27">
        <v>3.4340000000000002</v>
      </c>
      <c r="R2044" s="27">
        <v>-0.3513</v>
      </c>
      <c r="S2044" s="27">
        <v>0.51590000000000003</v>
      </c>
      <c r="T2044" s="27">
        <v>0.56799999999999995</v>
      </c>
      <c r="U2044" s="27">
        <v>0.4325</v>
      </c>
      <c r="V2044" s="1">
        <v>1</v>
      </c>
      <c r="W2044" s="1">
        <v>1</v>
      </c>
      <c r="X2044" s="27">
        <v>4.42</v>
      </c>
      <c r="Y2044" s="27">
        <v>3.67</v>
      </c>
      <c r="Z2044" s="28">
        <v>1000</v>
      </c>
      <c r="AA2044" s="28">
        <v>1000</v>
      </c>
      <c r="AB2044" s="1" t="s">
        <v>13</v>
      </c>
    </row>
    <row r="2045" spans="1:28">
      <c r="A2045" t="s">
        <v>580</v>
      </c>
      <c r="B2045" s="29" t="s">
        <v>2908</v>
      </c>
      <c r="C2045" s="26" t="s">
        <v>2909</v>
      </c>
      <c r="D2045" s="1">
        <v>323</v>
      </c>
      <c r="E2045" t="s">
        <v>642</v>
      </c>
      <c r="F2045" s="3" t="s">
        <v>2901</v>
      </c>
      <c r="G2045" s="1">
        <v>36.9</v>
      </c>
      <c r="H2045" t="s">
        <v>2932</v>
      </c>
      <c r="I2045" t="s">
        <v>2947</v>
      </c>
      <c r="J2045" s="1">
        <v>3</v>
      </c>
      <c r="K2045" s="1">
        <v>955.75130000000001</v>
      </c>
      <c r="L2045" s="1"/>
      <c r="M2045" s="1" t="str">
        <f>HYPERLINK("http://ms.phosphosite.org:5080/cgi-bin/plot-msms.cgi?MassType=1&amp;NumAxis=1&amp;Mod11=170&amp;Mod25=147&amp;Pep=GTPDGLGGYGRGGGGSGGYYGQGGMSGGGWR&amp;Dta=/var/www/html/dta/yong/23613.9715.3.dta&amp;Global_Mod=CS57.0215", "9715")</f>
        <v>9715</v>
      </c>
      <c r="N2045" s="27"/>
      <c r="O2045" s="27">
        <v>42.83</v>
      </c>
      <c r="P2045" s="27"/>
      <c r="Q2045" s="27">
        <v>5.1230000000000002</v>
      </c>
      <c r="R2045" s="27"/>
      <c r="S2045" s="27">
        <v>0.51590000000000003</v>
      </c>
      <c r="T2045" s="27"/>
      <c r="U2045" s="27">
        <v>0.51539999999999997</v>
      </c>
      <c r="V2045" s="1"/>
      <c r="W2045" s="1">
        <v>1</v>
      </c>
      <c r="X2045" s="27"/>
      <c r="Y2045" s="27">
        <v>4.42</v>
      </c>
      <c r="Z2045" s="28"/>
      <c r="AA2045" s="28">
        <v>1000</v>
      </c>
      <c r="AB2045" s="1" t="s">
        <v>13</v>
      </c>
    </row>
    <row r="2046" spans="1:28">
      <c r="A2046" t="s">
        <v>580</v>
      </c>
      <c r="B2046" s="29" t="s">
        <v>2908</v>
      </c>
      <c r="C2046" s="26" t="s">
        <v>2909</v>
      </c>
      <c r="D2046" s="1">
        <v>323</v>
      </c>
      <c r="E2046" t="s">
        <v>642</v>
      </c>
      <c r="F2046" s="3" t="s">
        <v>2901</v>
      </c>
      <c r="G2046" s="1">
        <v>36.9</v>
      </c>
      <c r="H2046" t="s">
        <v>2932</v>
      </c>
      <c r="I2046" t="s">
        <v>643</v>
      </c>
      <c r="J2046" s="1">
        <v>2</v>
      </c>
      <c r="K2046" s="1">
        <v>1113.9626000000001</v>
      </c>
      <c r="L2046" s="1" t="str">
        <f>HYPERLINK("http://ms.phosphosite.org:5080/cgi-bin/plot-msms.cgi?MassType=1&amp;NumAxis=1&amp;Mod1=147&amp;Mod3=147&amp;Mod22=170&amp;Pep=MGMGNNYSGGYGTPDGLGGYGR&amp;Dta=/var/www/html/dta/yong/23612.9695.2.dta&amp;Global_Mod=CS57.0215", "9695")</f>
        <v>9695</v>
      </c>
      <c r="M2046" s="1" t="str">
        <f>HYPERLINK("http://ms.phosphosite.org:5080/cgi-bin/plot-msms.cgi?MassType=1&amp;NumAxis=1&amp;Mod1=147&amp;Mod3=147&amp;Mod22=170&amp;Pep=MGMGNNYSGGYGTPDGLGGYGR&amp;Dta=/var/www/html/dta/yong/23613.10935.2.dta&amp;Global_Mod=CS57.0215", "10935")</f>
        <v>10935</v>
      </c>
      <c r="N2046" s="27">
        <v>42.91</v>
      </c>
      <c r="O2046" s="27">
        <v>46.97</v>
      </c>
      <c r="P2046" s="27">
        <v>5.4109999999999996</v>
      </c>
      <c r="Q2046" s="27">
        <v>4.4249999999999998</v>
      </c>
      <c r="R2046" s="27">
        <v>1.0648</v>
      </c>
      <c r="S2046" s="27">
        <v>3.7387999999999999</v>
      </c>
      <c r="T2046" s="27">
        <v>0.48970000000000002</v>
      </c>
      <c r="U2046" s="27">
        <v>0.41649999999999998</v>
      </c>
      <c r="V2046" s="1">
        <v>1</v>
      </c>
      <c r="W2046" s="1">
        <v>1</v>
      </c>
      <c r="X2046" s="27">
        <v>4.5199999999999996</v>
      </c>
      <c r="Y2046" s="27">
        <v>3.88</v>
      </c>
      <c r="Z2046" s="28">
        <v>1000</v>
      </c>
      <c r="AA2046" s="28">
        <v>1000</v>
      </c>
      <c r="AB2046" s="1" t="s">
        <v>13</v>
      </c>
    </row>
    <row r="2047" spans="1:28">
      <c r="A2047" t="s">
        <v>580</v>
      </c>
      <c r="B2047" s="29" t="s">
        <v>2908</v>
      </c>
      <c r="C2047" s="26" t="s">
        <v>2909</v>
      </c>
      <c r="D2047" s="1">
        <v>323</v>
      </c>
      <c r="E2047" t="s">
        <v>642</v>
      </c>
      <c r="F2047" s="3" t="s">
        <v>2901</v>
      </c>
      <c r="G2047" s="1">
        <v>36.9</v>
      </c>
      <c r="H2047" t="s">
        <v>2932</v>
      </c>
      <c r="I2047" t="s">
        <v>643</v>
      </c>
      <c r="J2047" s="1">
        <v>2</v>
      </c>
      <c r="K2047" s="1">
        <v>1113.9626000000001</v>
      </c>
      <c r="L2047" s="1" t="str">
        <f>HYPERLINK("http://ms.phosphosite.org:5080/cgi-bin/plot-msms.cgi?MassType=1&amp;NumAxis=1&amp;Mod1=147&amp;Mod3=147&amp;Mod22=170&amp;Pep=MGMGNNYSGGYGTPDGLGGYGR&amp;Dta=/var/www/html/dta/yong/23612.9632.2.dta&amp;Global_Mod=CS57.0215", "9632")</f>
        <v>9632</v>
      </c>
      <c r="M2047" s="1" t="str">
        <f>HYPERLINK("http://ms.phosphosite.org:5080/cgi-bin/plot-msms.cgi?MassType=1&amp;NumAxis=1&amp;Mod1=147&amp;Mod3=147&amp;Mod22=170&amp;Pep=MGMGNNYSGGYGTPDGLGGYGR&amp;Dta=/var/www/html/dta/yong/23613.9693.2.dta&amp;Global_Mod=CS57.0215", "9693")</f>
        <v>9693</v>
      </c>
      <c r="N2047" s="27">
        <v>42.71</v>
      </c>
      <c r="O2047" s="27">
        <v>42.77</v>
      </c>
      <c r="P2047" s="27">
        <v>5.4249999999999998</v>
      </c>
      <c r="Q2047" s="27">
        <v>5.4249999999999998</v>
      </c>
      <c r="R2047" s="27">
        <v>1.0845</v>
      </c>
      <c r="S2047" s="27">
        <v>0.27100000000000002</v>
      </c>
      <c r="T2047" s="27">
        <v>0.47149999999999997</v>
      </c>
      <c r="U2047" s="27">
        <v>0.60780000000000001</v>
      </c>
      <c r="V2047" s="1">
        <v>1</v>
      </c>
      <c r="W2047" s="1">
        <v>1</v>
      </c>
      <c r="X2047" s="27">
        <v>4.43</v>
      </c>
      <c r="Y2047" s="27">
        <v>5.19</v>
      </c>
      <c r="Z2047" s="28">
        <v>1000</v>
      </c>
      <c r="AA2047" s="28">
        <v>1000</v>
      </c>
      <c r="AB2047" s="1" t="s">
        <v>13</v>
      </c>
    </row>
    <row r="2048" spans="1:28">
      <c r="A2048" t="s">
        <v>580</v>
      </c>
      <c r="B2048" s="29" t="s">
        <v>2908</v>
      </c>
      <c r="C2048" s="26" t="s">
        <v>2909</v>
      </c>
      <c r="D2048" s="1">
        <v>323</v>
      </c>
      <c r="E2048" t="s">
        <v>642</v>
      </c>
      <c r="F2048" s="3" t="s">
        <v>2901</v>
      </c>
      <c r="G2048" s="1">
        <v>36.9</v>
      </c>
      <c r="H2048" t="s">
        <v>2932</v>
      </c>
      <c r="I2048" t="s">
        <v>643</v>
      </c>
      <c r="J2048" s="1">
        <v>2</v>
      </c>
      <c r="K2048" s="1">
        <v>1113.9626000000001</v>
      </c>
      <c r="L2048" s="1" t="str">
        <f>HYPERLINK("http://ms.phosphosite.org:5080/cgi-bin/plot-msms.cgi?MassType=1&amp;NumAxis=1&amp;Mod1=147&amp;Mod3=147&amp;Mod22=170&amp;Pep=MGMGNNYSGGYGTPDGLGGYGR&amp;Dta=/var/www/html/dta/yong/23612.10243.2.dta&amp;Global_Mod=CS57.0215", "10243")</f>
        <v>10243</v>
      </c>
      <c r="M2048" s="1" t="str">
        <f>HYPERLINK("http://ms.phosphosite.org:5080/cgi-bin/plot-msms.cgi?MassType=1&amp;NumAxis=1&amp;Mod1=147&amp;Mod3=147&amp;Mod22=170&amp;Pep=MGMGNNYSGGYGTPDGLGGYGR&amp;Dta=/var/www/html/dta/yong/23613.10438.2.dta&amp;Global_Mod=CS57.0215", "10438")</f>
        <v>10438</v>
      </c>
      <c r="N2048" s="27">
        <v>44.81</v>
      </c>
      <c r="O2048" s="27">
        <v>45.27</v>
      </c>
      <c r="P2048" s="27">
        <v>4.4870000000000001</v>
      </c>
      <c r="Q2048" s="27">
        <v>4.6109999999999998</v>
      </c>
      <c r="R2048" s="27">
        <v>0.83840000000000003</v>
      </c>
      <c r="S2048" s="27">
        <v>1.1840999999999999</v>
      </c>
      <c r="T2048" s="27">
        <v>0.47849999999999998</v>
      </c>
      <c r="U2048" s="27">
        <v>0.4375</v>
      </c>
      <c r="V2048" s="1">
        <v>1</v>
      </c>
      <c r="W2048" s="1">
        <v>1</v>
      </c>
      <c r="X2048" s="27">
        <v>4.29</v>
      </c>
      <c r="Y2048" s="27">
        <v>4.1500000000000004</v>
      </c>
      <c r="Z2048" s="28">
        <v>1000</v>
      </c>
      <c r="AA2048" s="28">
        <v>1000</v>
      </c>
      <c r="AB2048" s="1" t="s">
        <v>13</v>
      </c>
    </row>
    <row r="2049" spans="1:28">
      <c r="A2049" t="s">
        <v>580</v>
      </c>
      <c r="B2049" s="29" t="s">
        <v>2908</v>
      </c>
      <c r="C2049" s="26" t="s">
        <v>2909</v>
      </c>
      <c r="D2049" s="1">
        <v>323</v>
      </c>
      <c r="E2049" t="s">
        <v>642</v>
      </c>
      <c r="F2049" s="3" t="s">
        <v>2901</v>
      </c>
      <c r="G2049" s="1">
        <v>36.9</v>
      </c>
      <c r="H2049" t="s">
        <v>2932</v>
      </c>
      <c r="I2049" t="s">
        <v>643</v>
      </c>
      <c r="J2049" s="1">
        <v>2</v>
      </c>
      <c r="K2049" s="1">
        <v>1113.9626000000001</v>
      </c>
      <c r="L2049" s="1" t="str">
        <f>HYPERLINK("http://ms.phosphosite.org:5080/cgi-bin/plot-msms.cgi?MassType=1&amp;NumAxis=1&amp;Mod1=147&amp;Mod3=147&amp;Mod22=170&amp;Pep=MGMGNNYSGGYGTPDGLGGYGR&amp;Dta=/var/www/html/dta/yong/23612.9396.2.dta&amp;Global_Mod=CS57.0215", "9396")</f>
        <v>9396</v>
      </c>
      <c r="M2049" s="1" t="str">
        <f>HYPERLINK("http://ms.phosphosite.org:5080/cgi-bin/plot-msms.cgi?MassType=1&amp;NumAxis=1&amp;Mod1=147&amp;Mod3=147&amp;Mod22=170&amp;Pep=MGMGNNYSGGYGTPDGLGGYGR&amp;Dta=/var/www/html/dta/yong/23613.9463.2.dta&amp;Global_Mod=CS57.0215", "9463")</f>
        <v>9463</v>
      </c>
      <c r="N2049" s="27">
        <v>41.88</v>
      </c>
      <c r="O2049" s="27">
        <v>41.98</v>
      </c>
      <c r="P2049" s="27">
        <v>5.13</v>
      </c>
      <c r="Q2049" s="27">
        <v>5.3949999999999996</v>
      </c>
      <c r="R2049" s="27">
        <v>0.75119999999999998</v>
      </c>
      <c r="S2049" s="27">
        <v>0.57199999999999995</v>
      </c>
      <c r="T2049" s="27">
        <v>0.46949999999999997</v>
      </c>
      <c r="U2049" s="27">
        <v>0.51129999999999998</v>
      </c>
      <c r="V2049" s="1">
        <v>1</v>
      </c>
      <c r="W2049" s="1">
        <v>1</v>
      </c>
      <c r="X2049" s="27">
        <v>4.38</v>
      </c>
      <c r="Y2049" s="27">
        <v>4.71</v>
      </c>
      <c r="Z2049" s="28">
        <v>1000</v>
      </c>
      <c r="AA2049" s="28">
        <v>1000</v>
      </c>
      <c r="AB2049" s="1" t="s">
        <v>13</v>
      </c>
    </row>
    <row r="2050" spans="1:28">
      <c r="A2050" t="s">
        <v>580</v>
      </c>
      <c r="B2050" s="29" t="s">
        <v>2908</v>
      </c>
      <c r="C2050" s="26" t="s">
        <v>2909</v>
      </c>
      <c r="D2050" s="1">
        <v>323</v>
      </c>
      <c r="E2050" t="s">
        <v>642</v>
      </c>
      <c r="F2050" s="3" t="s">
        <v>2901</v>
      </c>
      <c r="G2050" s="1">
        <v>36.9</v>
      </c>
      <c r="H2050" t="s">
        <v>2932</v>
      </c>
      <c r="I2050" t="s">
        <v>643</v>
      </c>
      <c r="J2050" s="1">
        <v>2</v>
      </c>
      <c r="K2050" s="1">
        <v>1113.9626000000001</v>
      </c>
      <c r="L2050" s="1" t="str">
        <f>HYPERLINK("http://ms.phosphosite.org:5080/cgi-bin/plot-msms.cgi?MassType=1&amp;NumAxis=1&amp;Mod1=147&amp;Mod3=147&amp;Mod22=170&amp;Pep=MGMGNNYSGGYGTPDGLGGYGR&amp;Dta=/var/www/html/dta/yong/23612.10457.2.dta&amp;Global_Mod=CS57.0215", "10457")</f>
        <v>10457</v>
      </c>
      <c r="M2050" s="1" t="str">
        <f>HYPERLINK("http://ms.phosphosite.org:5080/cgi-bin/plot-msms.cgi?MassType=1&amp;NumAxis=1&amp;Mod1=147&amp;Mod3=147&amp;Mod22=170&amp;Pep=MGMGNNYSGGYGTPDGLGGYGR&amp;Dta=/var/www/html/dta/yong/23613.10530.2.dta&amp;Global_Mod=CS57.0215", "10530")</f>
        <v>10530</v>
      </c>
      <c r="N2050" s="27">
        <v>45.55</v>
      </c>
      <c r="O2050" s="27">
        <v>45.57</v>
      </c>
      <c r="P2050" s="27">
        <v>4.6790000000000003</v>
      </c>
      <c r="Q2050" s="27">
        <v>5.1120000000000001</v>
      </c>
      <c r="R2050" s="27">
        <v>1.1259999999999999</v>
      </c>
      <c r="S2050" s="27">
        <v>1.069</v>
      </c>
      <c r="T2050" s="27">
        <v>0.55179999999999996</v>
      </c>
      <c r="U2050" s="27">
        <v>0.36459999999999998</v>
      </c>
      <c r="V2050" s="1">
        <v>1</v>
      </c>
      <c r="W2050" s="1">
        <v>1</v>
      </c>
      <c r="X2050" s="27">
        <v>4.68</v>
      </c>
      <c r="Y2050" s="27">
        <v>3.9</v>
      </c>
      <c r="Z2050" s="28">
        <v>1000</v>
      </c>
      <c r="AA2050" s="28">
        <v>1000</v>
      </c>
      <c r="AB2050" s="1" t="s">
        <v>13</v>
      </c>
    </row>
    <row r="2051" spans="1:28">
      <c r="A2051" t="s">
        <v>580</v>
      </c>
      <c r="B2051" s="29" t="s">
        <v>2908</v>
      </c>
      <c r="C2051" s="26" t="s">
        <v>2909</v>
      </c>
      <c r="D2051" s="1">
        <v>323</v>
      </c>
      <c r="E2051" t="s">
        <v>642</v>
      </c>
      <c r="F2051" s="3" t="s">
        <v>2901</v>
      </c>
      <c r="G2051" s="1">
        <v>36.9</v>
      </c>
      <c r="H2051" t="s">
        <v>2932</v>
      </c>
      <c r="I2051" t="s">
        <v>643</v>
      </c>
      <c r="J2051" s="1">
        <v>2</v>
      </c>
      <c r="K2051" s="1">
        <v>1113.9626000000001</v>
      </c>
      <c r="L2051" s="1" t="str">
        <f>HYPERLINK("http://ms.phosphosite.org:5080/cgi-bin/plot-msms.cgi?MassType=1&amp;NumAxis=1&amp;Mod1=147&amp;Mod3=147&amp;Mod22=170&amp;Pep=MGMGNNYSGGYGTPDGLGGYGR&amp;Dta=/var/www/html/dta/yong/23612.10652.2.dta&amp;Global_Mod=CS57.0215", "10652")</f>
        <v>10652</v>
      </c>
      <c r="M2051" s="1" t="str">
        <f>HYPERLINK("http://ms.phosphosite.org:5080/cgi-bin/plot-msms.cgi?MassType=1&amp;NumAxis=1&amp;Mod1=147&amp;Mod3=147&amp;Mod22=170&amp;Pep=MGMGNNYSGGYGTPDGLGGYGR&amp;Dta=/var/www/html/dta/yong/23613.10099.2.dta&amp;Global_Mod=CS57.0215", "10099")</f>
        <v>10099</v>
      </c>
      <c r="N2051" s="27">
        <v>46.28</v>
      </c>
      <c r="O2051" s="27">
        <v>44.11</v>
      </c>
      <c r="P2051" s="27">
        <v>4.6950000000000003</v>
      </c>
      <c r="Q2051" s="27">
        <v>5.0599999999999996</v>
      </c>
      <c r="R2051" s="27">
        <v>0.91010000000000002</v>
      </c>
      <c r="S2051" s="27">
        <v>1.1831</v>
      </c>
      <c r="T2051" s="27">
        <v>0.47060000000000002</v>
      </c>
      <c r="U2051" s="27">
        <v>0.4637</v>
      </c>
      <c r="V2051" s="1">
        <v>1</v>
      </c>
      <c r="W2051" s="1">
        <v>1</v>
      </c>
      <c r="X2051" s="27">
        <v>4.29</v>
      </c>
      <c r="Y2051" s="27">
        <v>4.37</v>
      </c>
      <c r="Z2051" s="28">
        <v>1000</v>
      </c>
      <c r="AA2051" s="28">
        <v>1000</v>
      </c>
      <c r="AB2051" s="1" t="s">
        <v>13</v>
      </c>
    </row>
    <row r="2052" spans="1:28">
      <c r="A2052" t="s">
        <v>580</v>
      </c>
      <c r="B2052" s="29" t="s">
        <v>2908</v>
      </c>
      <c r="C2052" s="26" t="s">
        <v>2909</v>
      </c>
      <c r="D2052" s="1">
        <v>323</v>
      </c>
      <c r="E2052" t="s">
        <v>642</v>
      </c>
      <c r="F2052" s="3" t="s">
        <v>2901</v>
      </c>
      <c r="G2052" s="1">
        <v>36.9</v>
      </c>
      <c r="H2052" t="s">
        <v>2932</v>
      </c>
      <c r="I2052" t="s">
        <v>643</v>
      </c>
      <c r="J2052" s="1">
        <v>2</v>
      </c>
      <c r="K2052" s="1">
        <v>1113.9626000000001</v>
      </c>
      <c r="L2052" s="1" t="str">
        <f>HYPERLINK("http://ms.phosphosite.org:5080/cgi-bin/plot-msms.cgi?MassType=1&amp;NumAxis=1&amp;Mod1=147&amp;Mod3=147&amp;Mod22=170&amp;Pep=MGMGNNYSGGYGTPDGLGGYGR&amp;Dta=/var/www/html/dta/yong/23612.10801.2.dta&amp;Global_Mod=CS57.0215", "10801")</f>
        <v>10801</v>
      </c>
      <c r="M2052" s="1" t="str">
        <f>HYPERLINK("http://ms.phosphosite.org:5080/cgi-bin/plot-msms.cgi?MassType=1&amp;NumAxis=1&amp;Mod1=147&amp;Mod3=147&amp;Mod22=170&amp;Pep=MGMGNNYSGGYGTPDGLGGYGR&amp;Dta=/var/www/html/dta/yong/23613.10705.2.dta&amp;Global_Mod=CS57.0215", "10705")</f>
        <v>10705</v>
      </c>
      <c r="N2052" s="27">
        <v>46.77</v>
      </c>
      <c r="O2052" s="27">
        <v>46.2</v>
      </c>
      <c r="P2052" s="27">
        <v>4.7110000000000003</v>
      </c>
      <c r="Q2052" s="27">
        <v>4.97</v>
      </c>
      <c r="R2052" s="27">
        <v>1.5177</v>
      </c>
      <c r="S2052" s="27">
        <v>0.80989999999999995</v>
      </c>
      <c r="T2052" s="27">
        <v>0.43719999999999998</v>
      </c>
      <c r="U2052" s="27">
        <v>0.5161</v>
      </c>
      <c r="V2052" s="1">
        <v>1</v>
      </c>
      <c r="W2052" s="1">
        <v>1</v>
      </c>
      <c r="X2052" s="27">
        <v>4.0999999999999996</v>
      </c>
      <c r="Y2052" s="27">
        <v>4.63</v>
      </c>
      <c r="Z2052" s="28">
        <v>1000</v>
      </c>
      <c r="AA2052" s="28">
        <v>1000</v>
      </c>
      <c r="AB2052" s="1" t="s">
        <v>13</v>
      </c>
    </row>
    <row r="2053" spans="1:28">
      <c r="A2053" t="s">
        <v>580</v>
      </c>
      <c r="B2053" s="29" t="s">
        <v>2908</v>
      </c>
      <c r="C2053" s="26" t="s">
        <v>2909</v>
      </c>
      <c r="D2053" s="1">
        <v>323</v>
      </c>
      <c r="E2053" t="s">
        <v>642</v>
      </c>
      <c r="F2053" s="3" t="s">
        <v>2901</v>
      </c>
      <c r="G2053" s="1">
        <v>36.9</v>
      </c>
      <c r="H2053" t="s">
        <v>2932</v>
      </c>
      <c r="I2053" t="s">
        <v>643</v>
      </c>
      <c r="J2053" s="1">
        <v>2</v>
      </c>
      <c r="K2053" s="1">
        <v>1113.9626000000001</v>
      </c>
      <c r="L2053" s="1" t="str">
        <f>HYPERLINK("http://ms.phosphosite.org:5080/cgi-bin/plot-msms.cgi?MassType=1&amp;NumAxis=1&amp;Mod1=147&amp;Mod3=147&amp;Mod22=170&amp;Pep=MGMGNNYSGGYGTPDGLGGYGR&amp;Dta=/var/www/html/dta/yong/23612.9890.2.dta&amp;Global_Mod=CS57.0215", "9890")</f>
        <v>9890</v>
      </c>
      <c r="M2053" s="1" t="str">
        <f>HYPERLINK("http://ms.phosphosite.org:5080/cgi-bin/plot-msms.cgi?MassType=1&amp;NumAxis=1&amp;Mod1=147&amp;Mod3=147&amp;Mod22=170&amp;Pep=MGMGNNYSGGYGTPDGLGGYGR&amp;Dta=/var/www/html/dta/yong/23613.9886.2.dta&amp;Global_Mod=CS57.0215", "9886")</f>
        <v>9886</v>
      </c>
      <c r="N2053" s="27">
        <v>43.58</v>
      </c>
      <c r="O2053" s="27">
        <v>43.42</v>
      </c>
      <c r="P2053" s="27">
        <v>5.2960000000000003</v>
      </c>
      <c r="Q2053" s="27">
        <v>5.1310000000000002</v>
      </c>
      <c r="R2053" s="27">
        <v>0.86099999999999999</v>
      </c>
      <c r="S2053" s="27">
        <v>0.88429999999999997</v>
      </c>
      <c r="T2053" s="27">
        <v>0.53639999999999999</v>
      </c>
      <c r="U2053" s="27">
        <v>0.5131</v>
      </c>
      <c r="V2053" s="1">
        <v>1</v>
      </c>
      <c r="W2053" s="1">
        <v>1</v>
      </c>
      <c r="X2053" s="27">
        <v>4.7300000000000004</v>
      </c>
      <c r="Y2053" s="27">
        <v>4.6500000000000004</v>
      </c>
      <c r="Z2053" s="28">
        <v>1000</v>
      </c>
      <c r="AA2053" s="28">
        <v>1000</v>
      </c>
      <c r="AB2053" s="1" t="s">
        <v>13</v>
      </c>
    </row>
    <row r="2054" spans="1:28">
      <c r="A2054" t="s">
        <v>580</v>
      </c>
      <c r="B2054" s="29" t="s">
        <v>2908</v>
      </c>
      <c r="C2054" s="26" t="s">
        <v>2909</v>
      </c>
      <c r="D2054" s="1">
        <v>323</v>
      </c>
      <c r="E2054" t="s">
        <v>642</v>
      </c>
      <c r="F2054" s="3" t="s">
        <v>2901</v>
      </c>
      <c r="G2054" s="1">
        <v>36.9</v>
      </c>
      <c r="H2054" t="s">
        <v>2932</v>
      </c>
      <c r="I2054" t="s">
        <v>643</v>
      </c>
      <c r="J2054" s="1">
        <v>2</v>
      </c>
      <c r="K2054" s="1">
        <v>1113.9626000000001</v>
      </c>
      <c r="L2054" s="1"/>
      <c r="M2054" s="1" t="str">
        <f>HYPERLINK("http://ms.phosphosite.org:5080/cgi-bin/plot-msms.cgi?MassType=1&amp;NumAxis=1&amp;Mod1=147&amp;Mod3=147&amp;Mod22=170&amp;Pep=MGMGNNYSGGYGTPDGLGGYGR&amp;Dta=/var/www/html/dta/yong/23613.10312.2.dta&amp;Global_Mod=CS57.0215", "10312")</f>
        <v>10312</v>
      </c>
      <c r="N2054" s="27"/>
      <c r="O2054" s="27">
        <v>44.82</v>
      </c>
      <c r="P2054" s="27"/>
      <c r="Q2054" s="27">
        <v>4.9569999999999999</v>
      </c>
      <c r="R2054" s="27"/>
      <c r="S2054" s="27">
        <v>1.1893</v>
      </c>
      <c r="T2054" s="27"/>
      <c r="U2054" s="27">
        <v>0.49370000000000003</v>
      </c>
      <c r="V2054" s="1"/>
      <c r="W2054" s="1">
        <v>1</v>
      </c>
      <c r="X2054" s="27"/>
      <c r="Y2054" s="27">
        <v>4.5</v>
      </c>
      <c r="Z2054" s="28"/>
      <c r="AA2054" s="28">
        <v>1000</v>
      </c>
      <c r="AB2054" s="1" t="s">
        <v>13</v>
      </c>
    </row>
    <row r="2055" spans="1:28">
      <c r="A2055" t="s">
        <v>580</v>
      </c>
      <c r="B2055" s="29" t="s">
        <v>2908</v>
      </c>
      <c r="C2055" s="26" t="s">
        <v>2909</v>
      </c>
      <c r="D2055" s="1">
        <v>323</v>
      </c>
      <c r="E2055" t="s">
        <v>642</v>
      </c>
      <c r="F2055" s="3" t="s">
        <v>2901</v>
      </c>
      <c r="G2055" s="1">
        <v>36.9</v>
      </c>
      <c r="H2055" t="s">
        <v>2932</v>
      </c>
      <c r="I2055" t="s">
        <v>643</v>
      </c>
      <c r="J2055" s="1">
        <v>3</v>
      </c>
      <c r="K2055" s="1">
        <v>742.97749999999996</v>
      </c>
      <c r="L2055" s="1" t="str">
        <f>HYPERLINK("http://ms.phosphosite.org:5080/cgi-bin/plot-msms.cgi?MassType=1&amp;NumAxis=1&amp;Mod1=147&amp;Mod3=147&amp;Mod22=170&amp;Pep=MGMGNNYSGGYGTPDGLGGYGR&amp;Dta=/var/www/html/dta/yong/23612.9693.3.dta&amp;Global_Mod=CS57.0215", "9693")</f>
        <v>9693</v>
      </c>
      <c r="M2055" s="1" t="str">
        <f>HYPERLINK("http://ms.phosphosite.org:5080/cgi-bin/plot-msms.cgi?MassType=1&amp;NumAxis=1&amp;Mod1=147&amp;Mod3=147&amp;Mod22=170&amp;Pep=MGMGNNYSGGYGTPDGLGGYGR&amp;Dta=/var/www/html/dta/yong/23613.9949.3.dta&amp;Global_Mod=CS57.0215", "9949")</f>
        <v>9949</v>
      </c>
      <c r="N2055" s="27">
        <v>42.91</v>
      </c>
      <c r="O2055" s="27">
        <v>43.61</v>
      </c>
      <c r="P2055" s="27">
        <v>3.0209999999999999</v>
      </c>
      <c r="Q2055" s="27">
        <v>3.1760000000000002</v>
      </c>
      <c r="R2055" s="27">
        <v>0.49149999999999999</v>
      </c>
      <c r="S2055" s="27">
        <v>0.39050000000000001</v>
      </c>
      <c r="T2055" s="27">
        <v>0.36149999999999999</v>
      </c>
      <c r="U2055" s="27">
        <v>0.29480000000000001</v>
      </c>
      <c r="V2055" s="1">
        <v>2</v>
      </c>
      <c r="W2055" s="1">
        <v>1</v>
      </c>
      <c r="X2055" s="27">
        <v>3.51</v>
      </c>
      <c r="Y2055" s="27">
        <v>3.24</v>
      </c>
      <c r="Z2055" s="28">
        <v>1000</v>
      </c>
      <c r="AA2055" s="28">
        <v>1000</v>
      </c>
      <c r="AB2055" s="1" t="s">
        <v>13</v>
      </c>
    </row>
    <row r="2056" spans="1:28">
      <c r="A2056" t="s">
        <v>580</v>
      </c>
      <c r="B2056" s="29" t="s">
        <v>2908</v>
      </c>
      <c r="C2056" s="26" t="s">
        <v>2909</v>
      </c>
      <c r="D2056" s="1">
        <v>323</v>
      </c>
      <c r="E2056" t="s">
        <v>642</v>
      </c>
      <c r="F2056" s="3" t="s">
        <v>2901</v>
      </c>
      <c r="G2056" s="1">
        <v>36.9</v>
      </c>
      <c r="H2056" t="s">
        <v>2932</v>
      </c>
      <c r="I2056" t="s">
        <v>643</v>
      </c>
      <c r="J2056" s="1">
        <v>3</v>
      </c>
      <c r="K2056" s="1">
        <v>742.97749999999996</v>
      </c>
      <c r="L2056" s="1" t="str">
        <f>HYPERLINK("http://ms.phosphosite.org:5080/cgi-bin/plot-msms.cgi?MassType=1&amp;NumAxis=1&amp;Mod1=147&amp;Mod3=147&amp;Mod22=170&amp;Pep=MGMGNNYSGGYGTPDGLGGYGR&amp;Dta=/var/www/html/dta/yong/23612.10648.3.dta&amp;Global_Mod=CS57.0215", "10648")</f>
        <v>10648</v>
      </c>
      <c r="M2056" s="1" t="str">
        <f>HYPERLINK("http://ms.phosphosite.org:5080/cgi-bin/plot-msms.cgi?MassType=1&amp;NumAxis=1&amp;Mod1=147&amp;Mod3=147&amp;Mod22=170&amp;Pep=MGMGNNYSGGYGTPDGLGGYGR&amp;Dta=/var/www/html/dta/yong/23613.10727.3.dta&amp;Global_Mod=CS57.0215", "10727")</f>
        <v>10727</v>
      </c>
      <c r="N2056" s="27">
        <v>46.26</v>
      </c>
      <c r="O2056" s="27">
        <v>46.29</v>
      </c>
      <c r="P2056" s="27">
        <v>3.2349999999999999</v>
      </c>
      <c r="Q2056" s="27">
        <v>2.6389999999999998</v>
      </c>
      <c r="R2056" s="27">
        <v>0.62670000000000003</v>
      </c>
      <c r="S2056" s="27">
        <v>0.55679999999999996</v>
      </c>
      <c r="T2056" s="27">
        <v>0.31929999999999997</v>
      </c>
      <c r="U2056" s="27">
        <v>0.16139999999999999</v>
      </c>
      <c r="V2056" s="1">
        <v>1</v>
      </c>
      <c r="W2056" s="1">
        <v>1</v>
      </c>
      <c r="X2056" s="27">
        <v>3.33</v>
      </c>
      <c r="Y2056" s="27">
        <v>2.4700000000000002</v>
      </c>
      <c r="Z2056" s="28">
        <v>1000</v>
      </c>
      <c r="AA2056" s="28">
        <v>1000</v>
      </c>
      <c r="AB2056" s="1" t="s">
        <v>13</v>
      </c>
    </row>
    <row r="2057" spans="1:28">
      <c r="A2057" t="s">
        <v>580</v>
      </c>
      <c r="B2057" s="29" t="s">
        <v>2908</v>
      </c>
      <c r="C2057" s="26" t="s">
        <v>2909</v>
      </c>
      <c r="D2057" s="1">
        <v>323</v>
      </c>
      <c r="E2057" t="s">
        <v>642</v>
      </c>
      <c r="F2057" s="3" t="s">
        <v>2901</v>
      </c>
      <c r="G2057" s="1">
        <v>36.9</v>
      </c>
      <c r="H2057" t="s">
        <v>2932</v>
      </c>
      <c r="I2057" t="s">
        <v>643</v>
      </c>
      <c r="J2057" s="1">
        <v>3</v>
      </c>
      <c r="K2057" s="1">
        <v>742.97749999999996</v>
      </c>
      <c r="L2057" s="1" t="str">
        <f>HYPERLINK("http://ms.phosphosite.org:5080/cgi-bin/plot-msms.cgi?MassType=1&amp;NumAxis=1&amp;Mod1=147&amp;Mod3=147&amp;Mod22=170&amp;Pep=MGMGNNYSGGYGTPDGLGGYGR&amp;Dta=/var/www/html/dta/yong/23612.9707.3.dta&amp;Global_Mod=CS57.0215", "9707")</f>
        <v>9707</v>
      </c>
      <c r="M2057" s="1" t="str">
        <f>HYPERLINK("http://ms.phosphosite.org:5080/cgi-bin/plot-msms.cgi?MassType=1&amp;NumAxis=1&amp;Mod1=147&amp;Mod3=147&amp;Mod22=170&amp;Pep=MGMGNNYSGGYGTPDGLGGYGR&amp;Dta=/var/www/html/dta/yong/23613.9747.3.dta&amp;Global_Mod=CS57.0215", "9747")</f>
        <v>9747</v>
      </c>
      <c r="N2057" s="27">
        <v>42.95</v>
      </c>
      <c r="O2057" s="27">
        <v>42.93</v>
      </c>
      <c r="P2057" s="27">
        <v>2.8340000000000001</v>
      </c>
      <c r="Q2057" s="27">
        <v>2.9809999999999999</v>
      </c>
      <c r="R2057" s="27">
        <v>0.44419999999999998</v>
      </c>
      <c r="S2057" s="27">
        <v>0.39860000000000001</v>
      </c>
      <c r="T2057" s="27">
        <v>0.21229999999999999</v>
      </c>
      <c r="U2057" s="27">
        <v>0.30609999999999998</v>
      </c>
      <c r="V2057" s="1">
        <v>1</v>
      </c>
      <c r="W2057" s="1">
        <v>1</v>
      </c>
      <c r="X2057" s="27">
        <v>2.74</v>
      </c>
      <c r="Y2057" s="27">
        <v>3.25</v>
      </c>
      <c r="Z2057" s="28">
        <v>1000</v>
      </c>
      <c r="AA2057" s="28">
        <v>1000</v>
      </c>
      <c r="AB2057" s="1" t="s">
        <v>13</v>
      </c>
    </row>
    <row r="2058" spans="1:28">
      <c r="A2058" t="s">
        <v>580</v>
      </c>
      <c r="B2058" s="29" t="s">
        <v>2908</v>
      </c>
      <c r="C2058" s="26" t="s">
        <v>2909</v>
      </c>
      <c r="D2058" s="1">
        <v>323</v>
      </c>
      <c r="E2058" t="s">
        <v>642</v>
      </c>
      <c r="F2058" s="3" t="s">
        <v>2901</v>
      </c>
      <c r="G2058" s="1">
        <v>36.9</v>
      </c>
      <c r="H2058" t="s">
        <v>2932</v>
      </c>
      <c r="I2058" t="s">
        <v>643</v>
      </c>
      <c r="J2058" s="1">
        <v>3</v>
      </c>
      <c r="K2058" s="1">
        <v>742.97749999999996</v>
      </c>
      <c r="L2058" s="1" t="str">
        <f>HYPERLINK("http://ms.phosphosite.org:5080/cgi-bin/plot-msms.cgi?MassType=1&amp;NumAxis=1&amp;Mod1=147&amp;Mod3=147&amp;Mod22=170&amp;Pep=MGMGNNYSGGYGTPDGLGGYGR&amp;Dta=/var/www/html/dta/yong/23612.9911.3.dta&amp;Global_Mod=CS57.0215", "9911")</f>
        <v>9911</v>
      </c>
      <c r="M2058" s="1" t="str">
        <f>HYPERLINK("http://ms.phosphosite.org:5080/cgi-bin/plot-msms.cgi?MassType=1&amp;NumAxis=1&amp;Mod1=147&amp;Mod3=147&amp;Mod22=170&amp;Pep=MGMGNNYSGGYGTPDGLGGYGR&amp;Dta=/var/www/html/dta/yong/23613.10791.3.dta&amp;Global_Mod=CS57.0215", "10791")</f>
        <v>10791</v>
      </c>
      <c r="N2058" s="27">
        <v>43.65</v>
      </c>
      <c r="O2058" s="27">
        <v>46.5</v>
      </c>
      <c r="P2058" s="27">
        <v>3.8980000000000001</v>
      </c>
      <c r="Q2058" s="27">
        <v>2.6179999999999999</v>
      </c>
      <c r="R2058" s="27">
        <v>0.4395</v>
      </c>
      <c r="S2058" s="27">
        <v>0.88519999999999999</v>
      </c>
      <c r="T2058" s="27">
        <v>0.44800000000000001</v>
      </c>
      <c r="U2058" s="27">
        <v>0.19439999999999999</v>
      </c>
      <c r="V2058" s="1">
        <v>1</v>
      </c>
      <c r="W2058" s="1">
        <v>1</v>
      </c>
      <c r="X2058" s="27">
        <v>4.1100000000000003</v>
      </c>
      <c r="Y2058" s="27">
        <v>2.61</v>
      </c>
      <c r="Z2058" s="28">
        <v>1000</v>
      </c>
      <c r="AA2058" s="28">
        <v>1000</v>
      </c>
      <c r="AB2058" s="1" t="s">
        <v>13</v>
      </c>
    </row>
    <row r="2059" spans="1:28">
      <c r="A2059" t="s">
        <v>580</v>
      </c>
      <c r="B2059" s="29" t="s">
        <v>2908</v>
      </c>
      <c r="C2059" s="26" t="s">
        <v>2909</v>
      </c>
      <c r="D2059" s="1">
        <v>323</v>
      </c>
      <c r="E2059" t="s">
        <v>642</v>
      </c>
      <c r="F2059" s="3" t="s">
        <v>2901</v>
      </c>
      <c r="G2059" s="1">
        <v>36.9</v>
      </c>
      <c r="H2059" t="s">
        <v>2932</v>
      </c>
      <c r="I2059" t="s">
        <v>643</v>
      </c>
      <c r="J2059" s="1">
        <v>3</v>
      </c>
      <c r="K2059" s="1">
        <v>742.97749999999996</v>
      </c>
      <c r="L2059" s="1"/>
      <c r="M2059" s="1" t="str">
        <f>HYPERLINK("http://ms.phosphosite.org:5080/cgi-bin/plot-msms.cgi?MassType=1&amp;NumAxis=1&amp;Mod1=147&amp;Mod3=147&amp;Mod22=170&amp;Pep=MGMGNNYSGGYGTPDGLGGYGR&amp;Dta=/var/www/html/dta/yong/23613.10278.3.dta&amp;Global_Mod=CS57.0215", "10278")</f>
        <v>10278</v>
      </c>
      <c r="N2059" s="27"/>
      <c r="O2059" s="27">
        <v>44.72</v>
      </c>
      <c r="P2059" s="27"/>
      <c r="Q2059" s="27">
        <v>2.8050000000000002</v>
      </c>
      <c r="R2059" s="27"/>
      <c r="S2059" s="27">
        <v>1.2450000000000001</v>
      </c>
      <c r="T2059" s="27"/>
      <c r="U2059" s="27">
        <v>0.20760000000000001</v>
      </c>
      <c r="V2059" s="1"/>
      <c r="W2059" s="1">
        <v>1</v>
      </c>
      <c r="X2059" s="27"/>
      <c r="Y2059" s="27">
        <v>2.69</v>
      </c>
      <c r="Z2059" s="28"/>
      <c r="AA2059" s="28">
        <v>1000</v>
      </c>
      <c r="AB2059" s="1" t="s">
        <v>13</v>
      </c>
    </row>
    <row r="2060" spans="1:28">
      <c r="A2060" t="s">
        <v>580</v>
      </c>
      <c r="B2060" s="29" t="s">
        <v>2908</v>
      </c>
      <c r="C2060" s="26" t="s">
        <v>2909</v>
      </c>
      <c r="D2060" s="1">
        <v>323</v>
      </c>
      <c r="E2060" t="s">
        <v>642</v>
      </c>
      <c r="F2060" s="3" t="s">
        <v>2901</v>
      </c>
      <c r="G2060" s="1">
        <v>36.9</v>
      </c>
      <c r="H2060" t="s">
        <v>2932</v>
      </c>
      <c r="I2060" t="s">
        <v>2948</v>
      </c>
      <c r="J2060" s="1">
        <v>3</v>
      </c>
      <c r="K2060" s="1">
        <v>940.38549999999998</v>
      </c>
      <c r="L2060" s="1" t="str">
        <f>HYPERLINK("http://ms.phosphosite.org:5080/cgi-bin/plot-msms.cgi?MassType=1&amp;NumAxis=1&amp;Mod1=147&amp;Mod3=147&amp;Mod22=170&amp;Pep=MGMGNNYSGGYGTPDGLGGYGRGGGGSGGY&amp;Dta=/var/www/html/dta/yong/23612.10640.3.dta&amp;Global_Mod=CS57.0215", "10640")</f>
        <v>10640</v>
      </c>
      <c r="M2060" s="1" t="str">
        <f>HYPERLINK("http://ms.phosphosite.org:5080/cgi-bin/plot-msms.cgi?MassType=1&amp;NumAxis=1&amp;Mod1=147&amp;Mod3=147&amp;Mod22=170&amp;Pep=MGMGNNYSGGYGTPDGLGGYGRGGGGSGGY&amp;Dta=/var/www/html/dta/yong/23613.10697.3.dta&amp;Global_Mod=CS57.0215", "10697")</f>
        <v>10697</v>
      </c>
      <c r="N2060" s="27">
        <v>46.23</v>
      </c>
      <c r="O2060" s="27">
        <v>46.17</v>
      </c>
      <c r="P2060" s="27">
        <v>5.992</v>
      </c>
      <c r="Q2060" s="27">
        <v>6.3680000000000003</v>
      </c>
      <c r="R2060" s="27">
        <v>1.5993999999999999</v>
      </c>
      <c r="S2060" s="27">
        <v>1.0703</v>
      </c>
      <c r="T2060" s="27">
        <v>0.58399999999999996</v>
      </c>
      <c r="U2060" s="27">
        <v>0.60570000000000002</v>
      </c>
      <c r="V2060" s="1">
        <v>1</v>
      </c>
      <c r="W2060" s="1">
        <v>1</v>
      </c>
      <c r="X2060" s="27">
        <v>4.84</v>
      </c>
      <c r="Y2060" s="27">
        <v>5.0999999999999996</v>
      </c>
      <c r="Z2060" s="28">
        <v>1000</v>
      </c>
      <c r="AA2060" s="28">
        <v>1000</v>
      </c>
      <c r="AB2060" s="1" t="s">
        <v>13</v>
      </c>
    </row>
    <row r="2061" spans="1:28">
      <c r="A2061" t="s">
        <v>580</v>
      </c>
      <c r="B2061" s="29" t="s">
        <v>2908</v>
      </c>
      <c r="C2061" s="26" t="s">
        <v>2909</v>
      </c>
      <c r="D2061" s="1">
        <v>323</v>
      </c>
      <c r="E2061" t="s">
        <v>642</v>
      </c>
      <c r="F2061" s="3" t="s">
        <v>2901</v>
      </c>
      <c r="G2061" s="1">
        <v>36.9</v>
      </c>
      <c r="H2061" t="s">
        <v>2932</v>
      </c>
      <c r="I2061" t="s">
        <v>2949</v>
      </c>
      <c r="J2061" s="1">
        <v>3</v>
      </c>
      <c r="K2061" s="1">
        <v>1143.4594</v>
      </c>
      <c r="L2061" s="1" t="str">
        <f>HYPERLINK("http://ms.phosphosite.org:5080/cgi-bin/plot-msms.cgi?MassType=1&amp;NumAxis=1&amp;Mod1=147&amp;Mod3=147&amp;Mod22=170&amp;Mod36=147&amp;Pep=MGMGNNYSGGYGTPDGLGGYGRGGGGSGGYYGQGGM&amp;Dta=/var/www/html/dta/yong/23612.10703.3.dta&amp;Global_Mod=CS57.0215", "10703")</f>
        <v>10703</v>
      </c>
      <c r="M2061" s="1" t="str">
        <f>HYPERLINK("http://ms.phosphosite.org:5080/cgi-bin/plot-msms.cgi?MassType=1&amp;NumAxis=1&amp;Mod1=147&amp;Mod3=147&amp;Mod22=170&amp;Mod36=147&amp;Pep=MGMGNNYSGGYGTPDGLGGYGRGGGGSGGYYGQGGM&amp;Dta=/var/www/html/dta/yong/23613.10794.3.dta&amp;Global_Mod=CS57.0215", "10794")</f>
        <v>10794</v>
      </c>
      <c r="N2061" s="27">
        <v>46.46</v>
      </c>
      <c r="O2061" s="27">
        <v>46.51</v>
      </c>
      <c r="P2061" s="27">
        <v>3.7080000000000002</v>
      </c>
      <c r="Q2061" s="27">
        <v>3.6779999999999999</v>
      </c>
      <c r="R2061" s="27">
        <v>1.3393999999999999</v>
      </c>
      <c r="S2061" s="27">
        <v>1.5688</v>
      </c>
      <c r="T2061" s="27">
        <v>0.45989999999999998</v>
      </c>
      <c r="U2061" s="27">
        <v>0.41860000000000003</v>
      </c>
      <c r="V2061" s="1">
        <v>1</v>
      </c>
      <c r="W2061" s="1">
        <v>1</v>
      </c>
      <c r="X2061" s="27">
        <v>3.74</v>
      </c>
      <c r="Y2061" s="27">
        <v>3.53</v>
      </c>
      <c r="Z2061" s="28">
        <v>1000</v>
      </c>
      <c r="AA2061" s="28">
        <v>1000</v>
      </c>
      <c r="AB2061" s="1" t="s">
        <v>13</v>
      </c>
    </row>
    <row r="2062" spans="1:28">
      <c r="A2062" t="s">
        <v>580</v>
      </c>
      <c r="B2062" s="29" t="s">
        <v>2908</v>
      </c>
      <c r="C2062" s="26" t="s">
        <v>2909</v>
      </c>
      <c r="D2062" s="1">
        <v>323</v>
      </c>
      <c r="E2062" t="s">
        <v>642</v>
      </c>
      <c r="F2062" s="3" t="s">
        <v>2901</v>
      </c>
      <c r="G2062" s="1">
        <v>36.9</v>
      </c>
      <c r="H2062" t="s">
        <v>2932</v>
      </c>
      <c r="I2062" t="s">
        <v>644</v>
      </c>
      <c r="J2062" s="1">
        <v>3</v>
      </c>
      <c r="K2062" s="1">
        <v>1343.5517</v>
      </c>
      <c r="L2062" s="1" t="str">
        <f>HYPERLINK("http://ms.phosphosite.org:5080/cgi-bin/plot-msms.cgi?MassType=1&amp;NumAxis=1&amp;Mod1=147&amp;Mod3=147&amp;Mod22=170&amp;Mod36=147&amp;Pep=MGMGNNYSGGYGTPDGLGGYGRGGGGSGGYYGQGGMSGGGWR&amp;Dta=/var/www/html/dta/yong/23612.11655.3.dta&amp;Global_Mod=CS57.0215", "11655")</f>
        <v>11655</v>
      </c>
      <c r="M2062" s="1" t="str">
        <f>HYPERLINK("http://ms.phosphosite.org:5080/cgi-bin/plot-msms.cgi?MassType=1&amp;NumAxis=1&amp;Mod1=147&amp;Mod3=147&amp;Mod22=170&amp;Mod36=147&amp;Pep=MGMGNNYSGGYGTPDGLGGYGRGGGGSGGYYGQGGMSGGGWR&amp;Dta=/var/www/html/dta/yong/23613.11167.3.dta&amp;Global_Mod=CS57.0215", "11167")</f>
        <v>11167</v>
      </c>
      <c r="N2062" s="27">
        <v>49.67</v>
      </c>
      <c r="O2062" s="27">
        <v>47.77</v>
      </c>
      <c r="P2062" s="27">
        <v>5.0789999999999997</v>
      </c>
      <c r="Q2062" s="27">
        <v>5.67</v>
      </c>
      <c r="R2062" s="27">
        <v>0.33589999999999998</v>
      </c>
      <c r="S2062" s="27">
        <v>1.0601</v>
      </c>
      <c r="T2062" s="27">
        <v>0.46160000000000001</v>
      </c>
      <c r="U2062" s="27">
        <v>0.56220000000000003</v>
      </c>
      <c r="V2062" s="1">
        <v>1</v>
      </c>
      <c r="W2062" s="1">
        <v>1</v>
      </c>
      <c r="X2062" s="27">
        <v>3.99</v>
      </c>
      <c r="Y2062" s="27">
        <v>4.5999999999999996</v>
      </c>
      <c r="Z2062" s="28">
        <v>1000</v>
      </c>
      <c r="AA2062" s="28">
        <v>1000</v>
      </c>
      <c r="AB2062" s="1" t="s">
        <v>13</v>
      </c>
    </row>
    <row r="2063" spans="1:28">
      <c r="A2063" t="s">
        <v>580</v>
      </c>
      <c r="B2063" s="29" t="s">
        <v>2908</v>
      </c>
      <c r="C2063" s="26" t="s">
        <v>2909</v>
      </c>
      <c r="D2063" s="1">
        <v>323</v>
      </c>
      <c r="E2063" t="s">
        <v>642</v>
      </c>
      <c r="F2063" s="3" t="s">
        <v>2901</v>
      </c>
      <c r="G2063" s="1">
        <v>36.9</v>
      </c>
      <c r="H2063" t="s">
        <v>2932</v>
      </c>
      <c r="I2063" t="s">
        <v>644</v>
      </c>
      <c r="J2063" s="1">
        <v>3</v>
      </c>
      <c r="K2063" s="1">
        <v>1343.5517</v>
      </c>
      <c r="L2063" s="1" t="str">
        <f>HYPERLINK("http://ms.phosphosite.org:5080/cgi-bin/plot-msms.cgi?MassType=1&amp;NumAxis=1&amp;Mod1=147&amp;Mod3=147&amp;Mod22=170&amp;Mod36=147&amp;Pep=MGMGNNYSGGYGTPDGLGGYGRGGGGSGGYYGQGGMSGGGWR&amp;Dta=/var/www/html/dta/yong/23612.11814.3.dta&amp;Global_Mod=CS57.0215", "11814")</f>
        <v>11814</v>
      </c>
      <c r="M2063" s="1" t="str">
        <f>HYPERLINK("http://ms.phosphosite.org:5080/cgi-bin/plot-msms.cgi?MassType=1&amp;NumAxis=1&amp;Mod1=147&amp;Mod3=147&amp;Mod22=170&amp;Mod36=147&amp;Pep=MGMGNNYSGGYGTPDGLGGYGRGGGGSGGYYGQGGMSGGGWR&amp;Dta=/var/www/html/dta/yong/23613.11640.3.dta&amp;Global_Mod=CS57.0215", "11640")</f>
        <v>11640</v>
      </c>
      <c r="N2063" s="27">
        <v>50.2</v>
      </c>
      <c r="O2063" s="27">
        <v>49.32</v>
      </c>
      <c r="P2063" s="27">
        <v>3.698</v>
      </c>
      <c r="Q2063" s="27">
        <v>3.7519999999999998</v>
      </c>
      <c r="R2063" s="27">
        <v>0.84199999999999997</v>
      </c>
      <c r="S2063" s="27">
        <v>1.1200000000000001</v>
      </c>
      <c r="T2063" s="27">
        <v>0.38119999999999998</v>
      </c>
      <c r="U2063" s="27">
        <v>0.37769999999999998</v>
      </c>
      <c r="V2063" s="1">
        <v>1</v>
      </c>
      <c r="W2063" s="1">
        <v>1</v>
      </c>
      <c r="X2063" s="27">
        <v>3.3</v>
      </c>
      <c r="Y2063" s="27">
        <v>3.3</v>
      </c>
      <c r="Z2063" s="28">
        <v>1000</v>
      </c>
      <c r="AA2063" s="28">
        <v>1000</v>
      </c>
      <c r="AB2063" s="1" t="s">
        <v>13</v>
      </c>
    </row>
    <row r="2064" spans="1:28">
      <c r="A2064" t="s">
        <v>580</v>
      </c>
      <c r="B2064" s="29" t="s">
        <v>2908</v>
      </c>
      <c r="C2064" s="26" t="s">
        <v>2909</v>
      </c>
      <c r="D2064" s="1">
        <v>323</v>
      </c>
      <c r="E2064" t="s">
        <v>642</v>
      </c>
      <c r="F2064" s="3" t="s">
        <v>2901</v>
      </c>
      <c r="G2064" s="1">
        <v>36.9</v>
      </c>
      <c r="H2064" t="s">
        <v>2932</v>
      </c>
      <c r="I2064" t="s">
        <v>644</v>
      </c>
      <c r="J2064" s="1">
        <v>3</v>
      </c>
      <c r="K2064" s="1">
        <v>1343.5517</v>
      </c>
      <c r="L2064" s="1" t="str">
        <f>HYPERLINK("http://ms.phosphosite.org:5080/cgi-bin/plot-msms.cgi?MassType=1&amp;NumAxis=1&amp;Mod1=147&amp;Mod3=147&amp;Mod22=170&amp;Mod36=147&amp;Pep=MGMGNNYSGGYGTPDGLGGYGRGGGGSGGYYGQGGMSGGGWR&amp;Dta=/var/www/html/dta/yong/23612.11611.3.dta&amp;Global_Mod=CS57.0215", "11611")</f>
        <v>11611</v>
      </c>
      <c r="M2064" s="1" t="str">
        <f>HYPERLINK("http://ms.phosphosite.org:5080/cgi-bin/plot-msms.cgi?MassType=1&amp;NumAxis=1&amp;Mod1=147&amp;Mod3=147&amp;Mod22=170&amp;Mod36=147&amp;Pep=MGMGNNYSGGYGTPDGLGGYGRGGGGSGGYYGQGGMSGGGWR&amp;Dta=/var/www/html/dta/yong/23613.11586.3.dta&amp;Global_Mod=CS57.0215", "11586")</f>
        <v>11586</v>
      </c>
      <c r="N2064" s="27">
        <v>49.52</v>
      </c>
      <c r="O2064" s="27">
        <v>49.15</v>
      </c>
      <c r="P2064" s="27">
        <v>3.581</v>
      </c>
      <c r="Q2064" s="27">
        <v>3.72</v>
      </c>
      <c r="R2064" s="27">
        <v>0.56930000000000003</v>
      </c>
      <c r="S2064" s="27">
        <v>1.3849</v>
      </c>
      <c r="T2064" s="27">
        <v>0.41739999999999999</v>
      </c>
      <c r="U2064" s="27">
        <v>0.31569999999999998</v>
      </c>
      <c r="V2064" s="1">
        <v>1</v>
      </c>
      <c r="W2064" s="1">
        <v>1</v>
      </c>
      <c r="X2064" s="27">
        <v>3.47</v>
      </c>
      <c r="Y2064" s="27">
        <v>2.97</v>
      </c>
      <c r="Z2064" s="28">
        <v>1000</v>
      </c>
      <c r="AA2064" s="28">
        <v>1000</v>
      </c>
      <c r="AB2064" s="1" t="s">
        <v>13</v>
      </c>
    </row>
    <row r="2065" spans="1:28">
      <c r="A2065" t="s">
        <v>580</v>
      </c>
      <c r="B2065" s="29" t="s">
        <v>2908</v>
      </c>
      <c r="C2065" s="26" t="s">
        <v>2909</v>
      </c>
      <c r="D2065" s="1">
        <v>323</v>
      </c>
      <c r="E2065" t="s">
        <v>642</v>
      </c>
      <c r="F2065" s="3" t="s">
        <v>2901</v>
      </c>
      <c r="G2065" s="1">
        <v>36.9</v>
      </c>
      <c r="H2065" t="s">
        <v>2932</v>
      </c>
      <c r="I2065" t="s">
        <v>644</v>
      </c>
      <c r="J2065" s="1">
        <v>3</v>
      </c>
      <c r="K2065" s="1">
        <v>1343.5517</v>
      </c>
      <c r="L2065" s="1" t="str">
        <f>HYPERLINK("http://ms.phosphosite.org:5080/cgi-bin/plot-msms.cgi?MassType=1&amp;NumAxis=1&amp;Mod1=147&amp;Mod3=147&amp;Mod22=170&amp;Mod36=147&amp;Pep=MGMGNNYSGGYGTPDGLGGYGRGGGGSGGYYGQGGMSGGGWR&amp;Dta=/var/www/html/dta/yong/23612.11162.3.dta&amp;Global_Mod=CS57.0215", "11162")</f>
        <v>11162</v>
      </c>
      <c r="M2065" s="1" t="str">
        <f>HYPERLINK("http://ms.phosphosite.org:5080/cgi-bin/plot-msms.cgi?MassType=1&amp;NumAxis=1&amp;Mod1=147&amp;Mod3=147&amp;Mod22=170&amp;Mod36=147&amp;Pep=MGMGNNYSGGYGTPDGLGGYGRGGGGSGGYYGQGGMSGGGWR&amp;Dta=/var/www/html/dta/yong/23613.11384.3.dta&amp;Global_Mod=CS57.0215", "11384")</f>
        <v>11384</v>
      </c>
      <c r="N2065" s="27">
        <v>48</v>
      </c>
      <c r="O2065" s="27">
        <v>48.48</v>
      </c>
      <c r="P2065" s="27">
        <v>4.2039999999999997</v>
      </c>
      <c r="Q2065" s="27">
        <v>4.298</v>
      </c>
      <c r="R2065" s="27">
        <v>0.70089999999999997</v>
      </c>
      <c r="S2065" s="27">
        <v>1.2865</v>
      </c>
      <c r="T2065" s="27">
        <v>0.38829999999999998</v>
      </c>
      <c r="U2065" s="27">
        <v>0.49719999999999998</v>
      </c>
      <c r="V2065" s="1">
        <v>1</v>
      </c>
      <c r="W2065" s="1">
        <v>1</v>
      </c>
      <c r="X2065" s="27">
        <v>3.44</v>
      </c>
      <c r="Y2065" s="27">
        <v>3.99</v>
      </c>
      <c r="Z2065" s="28">
        <v>1000</v>
      </c>
      <c r="AA2065" s="28">
        <v>1000</v>
      </c>
      <c r="AB2065" s="1" t="s">
        <v>13</v>
      </c>
    </row>
    <row r="2066" spans="1:28">
      <c r="A2066" t="s">
        <v>580</v>
      </c>
      <c r="B2066" s="29" t="s">
        <v>2908</v>
      </c>
      <c r="C2066" s="26" t="s">
        <v>2909</v>
      </c>
      <c r="D2066" s="1">
        <v>323</v>
      </c>
      <c r="E2066" t="s">
        <v>642</v>
      </c>
      <c r="F2066" s="3" t="s">
        <v>2901</v>
      </c>
      <c r="G2066" s="1">
        <v>36.9</v>
      </c>
      <c r="H2066" t="s">
        <v>2932</v>
      </c>
      <c r="I2066" t="s">
        <v>644</v>
      </c>
      <c r="J2066" s="1">
        <v>3</v>
      </c>
      <c r="K2066" s="1">
        <v>1343.5517</v>
      </c>
      <c r="L2066" s="1" t="str">
        <f>HYPERLINK("http://ms.phosphosite.org:5080/cgi-bin/plot-msms.cgi?MassType=1&amp;NumAxis=1&amp;Mod1=147&amp;Mod3=147&amp;Mod22=170&amp;Mod36=147&amp;Pep=MGMGNNYSGGYGTPDGLGGYGRGGGGSGGYYGQGGMSGGGWR&amp;Dta=/var/www/html/dta/yong/23612.12064.3.dta&amp;Global_Mod=CS57.0215", "12064")</f>
        <v>12064</v>
      </c>
      <c r="M2066" s="1"/>
      <c r="N2066" s="27">
        <v>51</v>
      </c>
      <c r="O2066" s="27"/>
      <c r="P2066" s="27">
        <v>4.5979999999999999</v>
      </c>
      <c r="Q2066" s="27"/>
      <c r="R2066" s="27">
        <v>0.89800000000000002</v>
      </c>
      <c r="S2066" s="27"/>
      <c r="T2066" s="27">
        <v>0.36759999999999998</v>
      </c>
      <c r="U2066" s="27"/>
      <c r="V2066" s="1">
        <v>1</v>
      </c>
      <c r="W2066" s="1"/>
      <c r="X2066" s="27">
        <v>3.41</v>
      </c>
      <c r="Y2066" s="27"/>
      <c r="Z2066" s="28">
        <v>1000</v>
      </c>
      <c r="AA2066" s="28"/>
      <c r="AB2066" s="1" t="s">
        <v>13</v>
      </c>
    </row>
    <row r="2067" spans="1:28">
      <c r="A2067" t="s">
        <v>580</v>
      </c>
      <c r="B2067" s="29" t="s">
        <v>2908</v>
      </c>
      <c r="C2067" s="26" t="s">
        <v>2909</v>
      </c>
      <c r="D2067" s="1">
        <v>323</v>
      </c>
      <c r="E2067" t="s">
        <v>642</v>
      </c>
      <c r="F2067" s="3" t="s">
        <v>2901</v>
      </c>
      <c r="G2067" s="1">
        <v>36.9</v>
      </c>
      <c r="H2067" t="s">
        <v>2932</v>
      </c>
      <c r="I2067" t="s">
        <v>644</v>
      </c>
      <c r="J2067" s="1">
        <v>3</v>
      </c>
      <c r="K2067" s="1">
        <v>1343.5517</v>
      </c>
      <c r="L2067" s="1" t="str">
        <f>HYPERLINK("http://ms.phosphosite.org:5080/cgi-bin/plot-msms.cgi?MassType=1&amp;NumAxis=1&amp;Mod1=147&amp;Mod3=147&amp;Mod22=170&amp;Mod36=147&amp;Pep=MGMGNNYSGGYGTPDGLGGYGRGGGGSGGYYGQGGMSGGGWR&amp;Dta=/var/www/html/dta/yong/23612.11528.3.dta&amp;Global_Mod=CS57.0215", "11528")</f>
        <v>11528</v>
      </c>
      <c r="M2067" s="1"/>
      <c r="N2067" s="27">
        <v>49.24</v>
      </c>
      <c r="O2067" s="27"/>
      <c r="P2067" s="27">
        <v>5.2670000000000003</v>
      </c>
      <c r="Q2067" s="27"/>
      <c r="R2067" s="27">
        <v>0.78100000000000003</v>
      </c>
      <c r="S2067" s="27"/>
      <c r="T2067" s="27">
        <v>0.54859999999999998</v>
      </c>
      <c r="U2067" s="27"/>
      <c r="V2067" s="1">
        <v>1</v>
      </c>
      <c r="W2067" s="1"/>
      <c r="X2067" s="27">
        <v>4.4400000000000004</v>
      </c>
      <c r="Y2067" s="27"/>
      <c r="Z2067" s="28">
        <v>1000</v>
      </c>
      <c r="AA2067" s="28"/>
      <c r="AB2067" s="1" t="s">
        <v>13</v>
      </c>
    </row>
    <row r="2068" spans="1:28">
      <c r="A2068" t="s">
        <v>580</v>
      </c>
      <c r="B2068" s="29" t="s">
        <v>2908</v>
      </c>
      <c r="C2068" s="26" t="s">
        <v>2909</v>
      </c>
      <c r="D2068" s="1">
        <v>323</v>
      </c>
      <c r="E2068" t="s">
        <v>642</v>
      </c>
      <c r="F2068" s="3" t="s">
        <v>2901</v>
      </c>
      <c r="G2068" s="1">
        <v>36.9</v>
      </c>
      <c r="H2068" t="s">
        <v>2932</v>
      </c>
      <c r="I2068" t="s">
        <v>644</v>
      </c>
      <c r="J2068" s="1">
        <v>4</v>
      </c>
      <c r="K2068" s="1">
        <v>1007.9156</v>
      </c>
      <c r="L2068" s="1" t="str">
        <f>HYPERLINK("http://ms.phosphosite.org:5080/cgi-bin/plot-msms.cgi?MassType=1&amp;NumAxis=1&amp;Mod1=147&amp;Mod3=147&amp;Mod22=170&amp;Mod36=147&amp;Pep=MGMGNNYSGGYGTPDGLGGYGRGGGGSGGYYGQGGMSGGGWR&amp;Dta=/var/www/html/dta/yong/23612.11100.4.dta&amp;Global_Mod=CS57.0215", "11100")</f>
        <v>11100</v>
      </c>
      <c r="M2068" s="1" t="str">
        <f>HYPERLINK("http://ms.phosphosite.org:5080/cgi-bin/plot-msms.cgi?MassType=1&amp;NumAxis=1&amp;Mod1=147&amp;Mod3=147&amp;Mod22=170&amp;Mod36=147&amp;Pep=MGMGNNYSGGYGTPDGLGGYGRGGGGSGGYYGQGGMSGGGWR&amp;Dta=/var/www/html/dta/yong/23613.11897.4.dta&amp;Global_Mod=CS57.0215", "11897")</f>
        <v>11897</v>
      </c>
      <c r="N2068" s="27">
        <v>47.81</v>
      </c>
      <c r="O2068" s="27">
        <v>50.16</v>
      </c>
      <c r="P2068" s="27">
        <v>6.4029999999999996</v>
      </c>
      <c r="Q2068" s="27">
        <v>3.94</v>
      </c>
      <c r="R2068" s="27">
        <v>1.2034</v>
      </c>
      <c r="S2068" s="27">
        <v>1.0604</v>
      </c>
      <c r="T2068" s="27">
        <v>0.49130000000000001</v>
      </c>
      <c r="U2068" s="27">
        <v>0.31819999999999998</v>
      </c>
      <c r="V2068" s="1">
        <v>1</v>
      </c>
      <c r="W2068" s="1">
        <v>1</v>
      </c>
      <c r="X2068" s="27">
        <v>4.41</v>
      </c>
      <c r="Y2068" s="27">
        <v>3.09</v>
      </c>
      <c r="Z2068" s="28">
        <v>1000</v>
      </c>
      <c r="AA2068" s="28">
        <v>1000</v>
      </c>
      <c r="AB2068" s="1" t="s">
        <v>13</v>
      </c>
    </row>
    <row r="2069" spans="1:28">
      <c r="A2069" t="s">
        <v>580</v>
      </c>
      <c r="B2069" s="29" t="s">
        <v>2908</v>
      </c>
      <c r="C2069" s="26" t="s">
        <v>2909</v>
      </c>
      <c r="D2069" s="1">
        <v>323</v>
      </c>
      <c r="E2069" t="s">
        <v>642</v>
      </c>
      <c r="F2069" s="3" t="s">
        <v>2901</v>
      </c>
      <c r="G2069" s="1">
        <v>36.9</v>
      </c>
      <c r="H2069" t="s">
        <v>2932</v>
      </c>
      <c r="I2069" t="s">
        <v>644</v>
      </c>
      <c r="J2069" s="1">
        <v>4</v>
      </c>
      <c r="K2069" s="1">
        <v>1007.9156</v>
      </c>
      <c r="L2069" s="1" t="str">
        <f>HYPERLINK("http://ms.phosphosite.org:5080/cgi-bin/plot-msms.cgi?MassType=1&amp;NumAxis=1&amp;Mod1=147&amp;Mod3=147&amp;Mod22=170&amp;Mod36=147&amp;Pep=MGMGNNYSGGYGTPDGLGGYGRGGGGSGGYYGQGGMSGGGWR&amp;Dta=/var/www/html/dta/yong/23612.11436.4.dta&amp;Global_Mod=CS57.0215", "11436")</f>
        <v>11436</v>
      </c>
      <c r="M2069" s="1" t="str">
        <f>HYPERLINK("http://ms.phosphosite.org:5080/cgi-bin/plot-msms.cgi?MassType=1&amp;NumAxis=1&amp;Mod1=147&amp;Mod3=147&amp;Mod22=170&amp;Mod36=147&amp;Pep=MGMGNNYSGGYGTPDGLGGYGRGGGGSGGYYGQGGMSGGGWR&amp;Dta=/var/www/html/dta/yong/23613.11192.4.dta&amp;Global_Mod=CS57.0215", "11192")</f>
        <v>11192</v>
      </c>
      <c r="N2069" s="27">
        <v>48.94</v>
      </c>
      <c r="O2069" s="27">
        <v>47.85</v>
      </c>
      <c r="P2069" s="27">
        <v>4.7210000000000001</v>
      </c>
      <c r="Q2069" s="27">
        <v>4.9279999999999999</v>
      </c>
      <c r="R2069" s="27">
        <v>0.86990000000000001</v>
      </c>
      <c r="S2069" s="27">
        <v>1.173</v>
      </c>
      <c r="T2069" s="27">
        <v>0.38629999999999998</v>
      </c>
      <c r="U2069" s="27">
        <v>0.39879999999999999</v>
      </c>
      <c r="V2069" s="1">
        <v>1</v>
      </c>
      <c r="W2069" s="1">
        <v>1</v>
      </c>
      <c r="X2069" s="27">
        <v>3.58</v>
      </c>
      <c r="Y2069" s="27">
        <v>3.68</v>
      </c>
      <c r="Z2069" s="28">
        <v>1000</v>
      </c>
      <c r="AA2069" s="28">
        <v>1000</v>
      </c>
      <c r="AB2069" s="1" t="s">
        <v>13</v>
      </c>
    </row>
    <row r="2070" spans="1:28">
      <c r="A2070" t="s">
        <v>580</v>
      </c>
      <c r="B2070" s="29" t="s">
        <v>2908</v>
      </c>
      <c r="C2070" s="26" t="s">
        <v>2909</v>
      </c>
      <c r="D2070" s="1">
        <v>323</v>
      </c>
      <c r="E2070" t="s">
        <v>642</v>
      </c>
      <c r="F2070" s="3" t="s">
        <v>2901</v>
      </c>
      <c r="G2070" s="1">
        <v>36.9</v>
      </c>
      <c r="H2070" t="s">
        <v>2932</v>
      </c>
      <c r="I2070" t="s">
        <v>644</v>
      </c>
      <c r="J2070" s="1">
        <v>4</v>
      </c>
      <c r="K2070" s="1">
        <v>1007.9156</v>
      </c>
      <c r="L2070" s="1" t="str">
        <f>HYPERLINK("http://ms.phosphosite.org:5080/cgi-bin/plot-msms.cgi?MassType=1&amp;NumAxis=1&amp;Mod1=147&amp;Mod3=147&amp;Mod22=170&amp;Mod36=147&amp;Pep=MGMGNNYSGGYGTPDGLGGYGRGGGGSGGYYGQGGMSGGGWR&amp;Dta=/var/www/html/dta/yong/23612.12045.4.dta&amp;Global_Mod=CS57.0215", "12045")</f>
        <v>12045</v>
      </c>
      <c r="M2070" s="1" t="str">
        <f>HYPERLINK("http://ms.phosphosite.org:5080/cgi-bin/plot-msms.cgi?MassType=1&amp;NumAxis=1&amp;Mod1=147&amp;Mod3=147&amp;Mod22=170&amp;Mod36=147&amp;Pep=MGMGNNYSGGYGTPDGLGGYGRGGGGSGGYYGQGGMSGGGWR&amp;Dta=/var/www/html/dta/yong/23613.12447.4.dta&amp;Global_Mod=CS57.0215", "12447")</f>
        <v>12447</v>
      </c>
      <c r="N2070" s="27">
        <v>50.94</v>
      </c>
      <c r="O2070" s="27">
        <v>51.98</v>
      </c>
      <c r="P2070" s="27">
        <v>3.2930000000000001</v>
      </c>
      <c r="Q2070" s="27">
        <v>3.4820000000000002</v>
      </c>
      <c r="R2070" s="27">
        <v>1.3192999999999999</v>
      </c>
      <c r="S2070" s="27">
        <v>0.97240000000000004</v>
      </c>
      <c r="T2070" s="27">
        <v>4.1000000000000002E-2</v>
      </c>
      <c r="U2070" s="27">
        <v>0.1173</v>
      </c>
      <c r="V2070" s="1">
        <v>2</v>
      </c>
      <c r="W2070" s="1">
        <v>1</v>
      </c>
      <c r="X2070" s="27">
        <v>1.58</v>
      </c>
      <c r="Y2070" s="27">
        <v>2.0099999999999998</v>
      </c>
      <c r="Z2070" s="28">
        <v>1000</v>
      </c>
      <c r="AA2070" s="28">
        <v>1000</v>
      </c>
      <c r="AB2070" s="1" t="s">
        <v>13</v>
      </c>
    </row>
    <row r="2071" spans="1:28">
      <c r="A2071" t="s">
        <v>580</v>
      </c>
      <c r="B2071" s="29" t="s">
        <v>2908</v>
      </c>
      <c r="C2071" s="26" t="s">
        <v>2909</v>
      </c>
      <c r="D2071" s="1">
        <v>323</v>
      </c>
      <c r="E2071" t="s">
        <v>642</v>
      </c>
      <c r="F2071" s="3" t="s">
        <v>2901</v>
      </c>
      <c r="G2071" s="1">
        <v>36.9</v>
      </c>
      <c r="H2071" t="s">
        <v>2932</v>
      </c>
      <c r="I2071" t="s">
        <v>644</v>
      </c>
      <c r="J2071" s="1">
        <v>4</v>
      </c>
      <c r="K2071" s="1">
        <v>1007.9156</v>
      </c>
      <c r="L2071" s="1" t="str">
        <f>HYPERLINK("http://ms.phosphosite.org:5080/cgi-bin/plot-msms.cgi?MassType=1&amp;NumAxis=1&amp;Mod1=147&amp;Mod3=147&amp;Mod22=170&amp;Mod36=147&amp;Pep=MGMGNNYSGGYGTPDGLGGYGRGGGGSGGYYGQGGMSGGGWR&amp;Dta=/var/www/html/dta/yong/23612.11979.4.dta&amp;Global_Mod=CS57.0215", "11979")</f>
        <v>11979</v>
      </c>
      <c r="M2071" s="1" t="str">
        <f>HYPERLINK("http://ms.phosphosite.org:5080/cgi-bin/plot-msms.cgi?MassType=1&amp;NumAxis=1&amp;Mod1=147&amp;Mod3=147&amp;Mod22=170&amp;Mod36=147&amp;Pep=MGMGNNYSGGYGTPDGLGGYGRGGGGSGGYYGQGGMSGGGWR&amp;Dta=/var/www/html/dta/yong/23613.11447.4.dta&amp;Global_Mod=CS57.0215", "11447")</f>
        <v>11447</v>
      </c>
      <c r="N2071" s="27">
        <v>50.72</v>
      </c>
      <c r="O2071" s="27">
        <v>48.7</v>
      </c>
      <c r="P2071" s="27">
        <v>4.1319999999999997</v>
      </c>
      <c r="Q2071" s="27">
        <v>4.8339999999999996</v>
      </c>
      <c r="R2071" s="27">
        <v>0.626</v>
      </c>
      <c r="S2071" s="27">
        <v>1.1593</v>
      </c>
      <c r="T2071" s="27">
        <v>0.3009</v>
      </c>
      <c r="U2071" s="27">
        <v>0.37169999999999997</v>
      </c>
      <c r="V2071" s="1">
        <v>1</v>
      </c>
      <c r="W2071" s="1">
        <v>1</v>
      </c>
      <c r="X2071" s="27">
        <v>3.06</v>
      </c>
      <c r="Y2071" s="27">
        <v>3.53</v>
      </c>
      <c r="Z2071" s="28">
        <v>1000</v>
      </c>
      <c r="AA2071" s="28">
        <v>1000</v>
      </c>
      <c r="AB2071" s="1" t="s">
        <v>13</v>
      </c>
    </row>
    <row r="2072" spans="1:28">
      <c r="A2072" t="s">
        <v>580</v>
      </c>
      <c r="B2072" s="29" t="s">
        <v>2908</v>
      </c>
      <c r="C2072" s="26" t="s">
        <v>2909</v>
      </c>
      <c r="D2072" s="1">
        <v>323</v>
      </c>
      <c r="E2072" t="s">
        <v>642</v>
      </c>
      <c r="F2072" s="3" t="s">
        <v>2901</v>
      </c>
      <c r="G2072" s="1">
        <v>36.9</v>
      </c>
      <c r="H2072" t="s">
        <v>2932</v>
      </c>
      <c r="I2072" t="s">
        <v>644</v>
      </c>
      <c r="J2072" s="1">
        <v>4</v>
      </c>
      <c r="K2072" s="1">
        <v>1007.9156</v>
      </c>
      <c r="L2072" s="1" t="str">
        <f>HYPERLINK("http://ms.phosphosite.org:5080/cgi-bin/plot-msms.cgi?MassType=1&amp;NumAxis=1&amp;Mod1=147&amp;Mod3=147&amp;Mod22=170&amp;Mod36=147&amp;Pep=MGMGNNYSGGYGTPDGLGGYGRGGGGSGGYYGQGGMSGGGWR&amp;Dta=/var/www/html/dta/yong/23612.11919.4.dta&amp;Global_Mod=CS57.0215", "11919")</f>
        <v>11919</v>
      </c>
      <c r="M2072" s="1" t="str">
        <f>HYPERLINK("http://ms.phosphosite.org:5080/cgi-bin/plot-msms.cgi?MassType=1&amp;NumAxis=1&amp;Mod1=147&amp;Mod3=147&amp;Mod22=170&amp;Mod36=147&amp;Pep=MGMGNNYSGGYGTPDGLGGYGRGGGGSGGYYGQGGMSGGGWR&amp;Dta=/var/www/html/dta/yong/23613.11719.4.dta&amp;Global_Mod=CS57.0215", "11719")</f>
        <v>11719</v>
      </c>
      <c r="N2072" s="27">
        <v>50.52</v>
      </c>
      <c r="O2072" s="27">
        <v>49.59</v>
      </c>
      <c r="P2072" s="27">
        <v>4.133</v>
      </c>
      <c r="Q2072" s="27">
        <v>3.99</v>
      </c>
      <c r="R2072" s="27">
        <v>1.4117</v>
      </c>
      <c r="S2072" s="27">
        <v>0.29360000000000003</v>
      </c>
      <c r="T2072" s="27">
        <v>0.19370000000000001</v>
      </c>
      <c r="U2072" s="27">
        <v>0.3049</v>
      </c>
      <c r="V2072" s="1">
        <v>1</v>
      </c>
      <c r="W2072" s="1">
        <v>1</v>
      </c>
      <c r="X2072" s="27">
        <v>2.4900000000000002</v>
      </c>
      <c r="Y2072" s="27">
        <v>3.06</v>
      </c>
      <c r="Z2072" s="28">
        <v>1000</v>
      </c>
      <c r="AA2072" s="28">
        <v>1000</v>
      </c>
      <c r="AB2072" s="1" t="s">
        <v>13</v>
      </c>
    </row>
    <row r="2073" spans="1:28">
      <c r="A2073" t="s">
        <v>580</v>
      </c>
      <c r="B2073" s="29" t="s">
        <v>2908</v>
      </c>
      <c r="C2073" s="26" t="s">
        <v>2909</v>
      </c>
      <c r="D2073" s="1">
        <v>323</v>
      </c>
      <c r="E2073" t="s">
        <v>642</v>
      </c>
      <c r="F2073" s="3" t="s">
        <v>2901</v>
      </c>
      <c r="G2073" s="1">
        <v>36.9</v>
      </c>
      <c r="H2073" t="s">
        <v>2932</v>
      </c>
      <c r="I2073" t="s">
        <v>644</v>
      </c>
      <c r="J2073" s="1">
        <v>4</v>
      </c>
      <c r="K2073" s="1">
        <v>1007.9156</v>
      </c>
      <c r="L2073" s="1" t="str">
        <f>HYPERLINK("http://ms.phosphosite.org:5080/cgi-bin/plot-msms.cgi?MassType=1&amp;NumAxis=1&amp;Mod1=147&amp;Mod3=147&amp;Mod22=170&amp;Mod36=147&amp;Pep=MGMGNNYSGGYGTPDGLGGYGRGGGGSGGYYGQGGMSGGGWR&amp;Dta=/var/www/html/dta/yong/23612.11541.4.dta&amp;Global_Mod=CS57.0215", "11541")</f>
        <v>11541</v>
      </c>
      <c r="M2073" s="1"/>
      <c r="N2073" s="27">
        <v>49.29</v>
      </c>
      <c r="O2073" s="27"/>
      <c r="P2073" s="27">
        <v>4.55</v>
      </c>
      <c r="Q2073" s="27"/>
      <c r="R2073" s="27">
        <v>1.6899</v>
      </c>
      <c r="S2073" s="27"/>
      <c r="T2073" s="27">
        <v>0.4047</v>
      </c>
      <c r="U2073" s="27"/>
      <c r="V2073" s="1">
        <v>1</v>
      </c>
      <c r="W2073" s="1"/>
      <c r="X2073" s="27">
        <v>3.6</v>
      </c>
      <c r="Y2073" s="27"/>
      <c r="Z2073" s="28">
        <v>1000</v>
      </c>
      <c r="AA2073" s="28"/>
      <c r="AB2073" s="1" t="s">
        <v>13</v>
      </c>
    </row>
    <row r="2074" spans="1:28">
      <c r="A2074" t="s">
        <v>580</v>
      </c>
      <c r="B2074" s="29" t="s">
        <v>2908</v>
      </c>
      <c r="C2074" s="26" t="s">
        <v>2909</v>
      </c>
      <c r="D2074" s="1">
        <v>323</v>
      </c>
      <c r="E2074" t="s">
        <v>642</v>
      </c>
      <c r="F2074" s="3" t="s">
        <v>2901</v>
      </c>
      <c r="G2074" s="1">
        <v>36.9</v>
      </c>
      <c r="H2074" t="s">
        <v>2932</v>
      </c>
      <c r="I2074" t="s">
        <v>2950</v>
      </c>
      <c r="J2074" s="1">
        <v>3</v>
      </c>
      <c r="K2074" s="1">
        <v>1338.2201</v>
      </c>
      <c r="L2074" s="1" t="str">
        <f>HYPERLINK("http://ms.phosphosite.org:5080/cgi-bin/plot-msms.cgi?MassType=1&amp;NumAxis=1&amp;Mod1=147&amp;Mod3=147&amp;Mod22=170&amp;Pep=MGMGNNYSGGYGTPDGLGGYGRGGGGSGGYYGQGGMSGGGWR&amp;Dta=/var/www/html/dta/yong/23612.12201.3.dta&amp;Global_Mod=CS57.0215", "12201")</f>
        <v>12201</v>
      </c>
      <c r="M2074" s="1" t="str">
        <f>HYPERLINK("http://ms.phosphosite.org:5080/cgi-bin/plot-msms.cgi?MassType=1&amp;NumAxis=1&amp;Mod1=147&amp;Mod3=147&amp;Mod22=170&amp;Pep=MGMGNNYSGGYGTPDGLGGYGRGGGGSGGYYGQGGMSGGGWR&amp;Dta=/var/www/html/dta/yong/23613.12574.3.dta&amp;Global_Mod=CS57.0215", "12574")</f>
        <v>12574</v>
      </c>
      <c r="N2074" s="27">
        <v>51.44</v>
      </c>
      <c r="O2074" s="27">
        <v>52.45</v>
      </c>
      <c r="P2074" s="27">
        <v>3.758</v>
      </c>
      <c r="Q2074" s="27">
        <v>5.282</v>
      </c>
      <c r="R2074" s="27">
        <v>1.55E-2</v>
      </c>
      <c r="S2074" s="27">
        <v>1.8070999999999999</v>
      </c>
      <c r="T2074" s="27">
        <v>0.4204</v>
      </c>
      <c r="U2074" s="27">
        <v>0.46610000000000001</v>
      </c>
      <c r="V2074" s="1">
        <v>1</v>
      </c>
      <c r="W2074" s="1">
        <v>1</v>
      </c>
      <c r="X2074" s="27">
        <v>3.51</v>
      </c>
      <c r="Y2074" s="27">
        <v>4.01</v>
      </c>
      <c r="Z2074" s="28">
        <v>1000</v>
      </c>
      <c r="AA2074" s="28">
        <v>1000</v>
      </c>
      <c r="AB2074" s="1" t="s">
        <v>13</v>
      </c>
    </row>
    <row r="2075" spans="1:28">
      <c r="A2075" t="s">
        <v>580</v>
      </c>
      <c r="B2075" s="29" t="s">
        <v>2908</v>
      </c>
      <c r="C2075" s="26" t="s">
        <v>2909</v>
      </c>
      <c r="D2075" s="1">
        <v>323</v>
      </c>
      <c r="E2075" t="s">
        <v>642</v>
      </c>
      <c r="F2075" s="3" t="s">
        <v>2901</v>
      </c>
      <c r="G2075" s="1">
        <v>36.9</v>
      </c>
      <c r="H2075" t="s">
        <v>2932</v>
      </c>
      <c r="I2075" t="s">
        <v>2950</v>
      </c>
      <c r="J2075" s="1">
        <v>3</v>
      </c>
      <c r="K2075" s="1">
        <v>1338.2201</v>
      </c>
      <c r="L2075" s="1" t="str">
        <f>HYPERLINK("http://ms.phosphosite.org:5080/cgi-bin/plot-msms.cgi?MassType=1&amp;NumAxis=1&amp;Mod1=147&amp;Mod3=147&amp;Mod22=170&amp;Pep=MGMGNNYSGGYGTPDGLGGYGRGGGGSGGYYGQGGMSGGGWR&amp;Dta=/var/www/html/dta/yong/23612.12269.3.dta&amp;Global_Mod=CS57.0215", "12269")</f>
        <v>12269</v>
      </c>
      <c r="M2075" s="1" t="str">
        <f>HYPERLINK("http://ms.phosphosite.org:5080/cgi-bin/plot-msms.cgi?MassType=1&amp;NumAxis=1&amp;Mod1=147&amp;Mod3=147&amp;Mod22=170&amp;Pep=MGMGNNYSGGYGTPDGLGGYGRGGGGSGGYYGQGGMSGGGWR&amp;Dta=/var/www/html/dta/yong/23613.12361.3.dta&amp;Global_Mod=CS57.0215", "12361")</f>
        <v>12361</v>
      </c>
      <c r="N2075" s="27">
        <v>51.64</v>
      </c>
      <c r="O2075" s="27">
        <v>51.67</v>
      </c>
      <c r="P2075" s="27">
        <v>4.1909999999999998</v>
      </c>
      <c r="Q2075" s="27">
        <v>4.6360000000000001</v>
      </c>
      <c r="R2075" s="27">
        <v>2.2700000000000001E-2</v>
      </c>
      <c r="S2075" s="27">
        <v>0.32919999999999999</v>
      </c>
      <c r="T2075" s="27">
        <v>0.36030000000000001</v>
      </c>
      <c r="U2075" s="27">
        <v>0.4672</v>
      </c>
      <c r="V2075" s="1">
        <v>1</v>
      </c>
      <c r="W2075" s="1">
        <v>1</v>
      </c>
      <c r="X2075" s="27">
        <v>3.3</v>
      </c>
      <c r="Y2075" s="27">
        <v>3.95</v>
      </c>
      <c r="Z2075" s="28">
        <v>1000</v>
      </c>
      <c r="AA2075" s="28">
        <v>1000</v>
      </c>
      <c r="AB2075" s="1" t="s">
        <v>13</v>
      </c>
    </row>
    <row r="2076" spans="1:28">
      <c r="A2076" t="s">
        <v>580</v>
      </c>
      <c r="B2076" s="29" t="s">
        <v>2908</v>
      </c>
      <c r="C2076" s="26" t="s">
        <v>2909</v>
      </c>
      <c r="D2076" s="1">
        <v>323</v>
      </c>
      <c r="E2076" t="s">
        <v>642</v>
      </c>
      <c r="F2076" s="3" t="s">
        <v>2901</v>
      </c>
      <c r="G2076" s="1">
        <v>36.9</v>
      </c>
      <c r="H2076" t="s">
        <v>2932</v>
      </c>
      <c r="I2076" t="s">
        <v>2950</v>
      </c>
      <c r="J2076" s="1">
        <v>3</v>
      </c>
      <c r="K2076" s="1">
        <v>1338.2201</v>
      </c>
      <c r="L2076" s="1" t="str">
        <f>HYPERLINK("http://ms.phosphosite.org:5080/cgi-bin/plot-msms.cgi?MassType=1&amp;NumAxis=1&amp;Mod1=147&amp;Mod3=147&amp;Mod22=170&amp;Pep=MGMGNNYSGGYGTPDGLGGYGRGGGGSGGYYGQGGMSGGGWR&amp;Dta=/var/www/html/dta/yong/23612.12437.3.dta&amp;Global_Mod=CS57.0215", "12437")</f>
        <v>12437</v>
      </c>
      <c r="M2076" s="1" t="str">
        <f>HYPERLINK("http://ms.phosphosite.org:5080/cgi-bin/plot-msms.cgi?MassType=1&amp;NumAxis=1&amp;Mod1=147&amp;Mod3=147&amp;Mod22=170&amp;Pep=MGMGNNYSGGYGTPDGLGGYGRGGGGSGGYYGQGGMSGGGWR&amp;Dta=/var/www/html/dta/yong/23613.12378.3.dta&amp;Global_Mod=CS57.0215", "12378")</f>
        <v>12378</v>
      </c>
      <c r="N2076" s="27">
        <v>52.3</v>
      </c>
      <c r="O2076" s="27">
        <v>51.73</v>
      </c>
      <c r="P2076" s="27">
        <v>3.5680000000000001</v>
      </c>
      <c r="Q2076" s="27">
        <v>4.7729999999999997</v>
      </c>
      <c r="R2076" s="27">
        <v>9.7600000000000006E-2</v>
      </c>
      <c r="S2076" s="27">
        <v>4.7199999999999999E-2</v>
      </c>
      <c r="T2076" s="27">
        <v>0.30349999999999999</v>
      </c>
      <c r="U2076" s="27">
        <v>0.43130000000000002</v>
      </c>
      <c r="V2076" s="1">
        <v>1</v>
      </c>
      <c r="W2076" s="1">
        <v>1</v>
      </c>
      <c r="X2076" s="27">
        <v>2.9</v>
      </c>
      <c r="Y2076" s="27">
        <v>3.78</v>
      </c>
      <c r="Z2076" s="28">
        <v>1000</v>
      </c>
      <c r="AA2076" s="28">
        <v>1000</v>
      </c>
      <c r="AB2076" s="1" t="s">
        <v>13</v>
      </c>
    </row>
    <row r="2077" spans="1:28">
      <c r="A2077" t="s">
        <v>580</v>
      </c>
      <c r="B2077" s="29" t="s">
        <v>2908</v>
      </c>
      <c r="C2077" s="26" t="s">
        <v>2909</v>
      </c>
      <c r="D2077" s="1">
        <v>323</v>
      </c>
      <c r="E2077" t="s">
        <v>642</v>
      </c>
      <c r="F2077" s="3" t="s">
        <v>2901</v>
      </c>
      <c r="G2077" s="1">
        <v>36.9</v>
      </c>
      <c r="H2077" t="s">
        <v>2932</v>
      </c>
      <c r="I2077" t="s">
        <v>2950</v>
      </c>
      <c r="J2077" s="1">
        <v>3</v>
      </c>
      <c r="K2077" s="1">
        <v>1338.2201</v>
      </c>
      <c r="L2077" s="1" t="str">
        <f>HYPERLINK("http://ms.phosphosite.org:5080/cgi-bin/plot-msms.cgi?MassType=1&amp;NumAxis=1&amp;Mod1=147&amp;Mod3=147&amp;Mod22=170&amp;Pep=MGMGNNYSGGYGTPDGLGGYGRGGGGSGGYYGQGGMSGGGWR&amp;Dta=/var/www/html/dta/yong/23612.12182.3.dta&amp;Global_Mod=CS57.0215", "12182")</f>
        <v>12182</v>
      </c>
      <c r="M2077" s="1" t="str">
        <f>HYPERLINK("http://ms.phosphosite.org:5080/cgi-bin/plot-msms.cgi?MassType=1&amp;NumAxis=1&amp;Mod1=147&amp;Mod3=147&amp;Mod22=170&amp;Pep=MGMGNNYSGGYGTPDGLGGYGRGGGGSGGYYGQGGMSGGGWR&amp;Dta=/var/www/html/dta/yong/23613.12273.3.dta&amp;Global_Mod=CS57.0215", "12273")</f>
        <v>12273</v>
      </c>
      <c r="N2077" s="27">
        <v>51.38</v>
      </c>
      <c r="O2077" s="27">
        <v>51.39</v>
      </c>
      <c r="P2077" s="27">
        <v>3.956</v>
      </c>
      <c r="Q2077" s="27">
        <v>4.1180000000000003</v>
      </c>
      <c r="R2077" s="27">
        <v>-9.4999999999999998E-3</v>
      </c>
      <c r="S2077" s="27">
        <v>0.13469999999999999</v>
      </c>
      <c r="T2077" s="27">
        <v>0.40450000000000003</v>
      </c>
      <c r="U2077" s="27">
        <v>0.40489999999999998</v>
      </c>
      <c r="V2077" s="1">
        <v>1</v>
      </c>
      <c r="W2077" s="1">
        <v>1</v>
      </c>
      <c r="X2077" s="27">
        <v>3.47</v>
      </c>
      <c r="Y2077" s="27">
        <v>3.53</v>
      </c>
      <c r="Z2077" s="28">
        <v>1000</v>
      </c>
      <c r="AA2077" s="28">
        <v>1000</v>
      </c>
      <c r="AB2077" s="1" t="s">
        <v>13</v>
      </c>
    </row>
    <row r="2078" spans="1:28">
      <c r="A2078" t="s">
        <v>580</v>
      </c>
      <c r="B2078" s="29" t="s">
        <v>2908</v>
      </c>
      <c r="C2078" s="26" t="s">
        <v>2909</v>
      </c>
      <c r="D2078" s="1">
        <v>323</v>
      </c>
      <c r="E2078" t="s">
        <v>642</v>
      </c>
      <c r="F2078" s="3" t="s">
        <v>2901</v>
      </c>
      <c r="G2078" s="1">
        <v>36.9</v>
      </c>
      <c r="H2078" t="s">
        <v>2932</v>
      </c>
      <c r="I2078" t="s">
        <v>2950</v>
      </c>
      <c r="J2078" s="1">
        <v>3</v>
      </c>
      <c r="K2078" s="1">
        <v>1338.2201</v>
      </c>
      <c r="L2078" s="1"/>
      <c r="M2078" s="1" t="str">
        <f>HYPERLINK("http://ms.phosphosite.org:5080/cgi-bin/plot-msms.cgi?MassType=1&amp;NumAxis=1&amp;Mod1=147&amp;Mod3=147&amp;Mod22=170&amp;Pep=MGMGNNYSGGYGTPDGLGGYGRGGGGSGGYYGQGGMSGGGWR&amp;Dta=/var/www/html/dta/yong/23613.12257.3.dta&amp;Global_Mod=CS57.0215", "12257")</f>
        <v>12257</v>
      </c>
      <c r="N2078" s="27"/>
      <c r="O2078" s="27">
        <v>51.34</v>
      </c>
      <c r="P2078" s="27"/>
      <c r="Q2078" s="27">
        <v>3.6749999999999998</v>
      </c>
      <c r="R2078" s="27"/>
      <c r="S2078" s="27">
        <v>7.7100000000000002E-2</v>
      </c>
      <c r="T2078" s="27"/>
      <c r="U2078" s="27">
        <v>0.29210000000000003</v>
      </c>
      <c r="V2078" s="1"/>
      <c r="W2078" s="1">
        <v>1</v>
      </c>
      <c r="X2078" s="27"/>
      <c r="Y2078" s="27">
        <v>2.88</v>
      </c>
      <c r="Z2078" s="28"/>
      <c r="AA2078" s="28">
        <v>1000</v>
      </c>
      <c r="AB2078" s="1" t="s">
        <v>13</v>
      </c>
    </row>
    <row r="2079" spans="1:28">
      <c r="A2079" t="s">
        <v>580</v>
      </c>
      <c r="B2079" s="29" t="s">
        <v>2908</v>
      </c>
      <c r="C2079" s="26" t="s">
        <v>2909</v>
      </c>
      <c r="D2079" s="1">
        <v>323</v>
      </c>
      <c r="E2079" t="s">
        <v>642</v>
      </c>
      <c r="F2079" s="3" t="s">
        <v>2901</v>
      </c>
      <c r="G2079" s="1">
        <v>36.9</v>
      </c>
      <c r="H2079" t="s">
        <v>2932</v>
      </c>
      <c r="I2079" t="s">
        <v>2950</v>
      </c>
      <c r="J2079" s="1">
        <v>4</v>
      </c>
      <c r="K2079" s="1">
        <v>1003.9169000000001</v>
      </c>
      <c r="L2079" s="1" t="str">
        <f>HYPERLINK("http://ms.phosphosite.org:5080/cgi-bin/plot-msms.cgi?MassType=1&amp;NumAxis=1&amp;Mod1=147&amp;Mod3=147&amp;Mod22=170&amp;Pep=MGMGNNYSGGYGTPDGLGGYGRGGGGSGGYYGQGGMSGGGWR&amp;Dta=/var/www/html/dta/yong/23612.12198.4.dta&amp;Global_Mod=CS57.0215", "12198")</f>
        <v>12198</v>
      </c>
      <c r="M2079" s="1" t="str">
        <f>HYPERLINK("http://ms.phosphosite.org:5080/cgi-bin/plot-msms.cgi?MassType=1&amp;NumAxis=1&amp;Mod1=147&amp;Mod3=147&amp;Mod22=170&amp;Pep=MGMGNNYSGGYGTPDGLGGYGRGGGGSGGYYGQGGMSGGGWR&amp;Dta=/var/www/html/dta/yong/23613.12484.4.dta&amp;Global_Mod=CS57.0215", "12484")</f>
        <v>12484</v>
      </c>
      <c r="N2079" s="27">
        <v>51.43</v>
      </c>
      <c r="O2079" s="27">
        <v>52.12</v>
      </c>
      <c r="P2079" s="27">
        <v>4.5979999999999999</v>
      </c>
      <c r="Q2079" s="27">
        <v>4.4630000000000001</v>
      </c>
      <c r="R2079" s="27">
        <v>0.32800000000000001</v>
      </c>
      <c r="S2079" s="27">
        <v>-0.99550000000000005</v>
      </c>
      <c r="T2079" s="27">
        <v>0.36959999999999998</v>
      </c>
      <c r="U2079" s="27">
        <v>0.33879999999999999</v>
      </c>
      <c r="V2079" s="1">
        <v>1</v>
      </c>
      <c r="W2079" s="1">
        <v>1</v>
      </c>
      <c r="X2079" s="27">
        <v>3.5</v>
      </c>
      <c r="Y2079" s="27">
        <v>3.25</v>
      </c>
      <c r="Z2079" s="28">
        <v>1000</v>
      </c>
      <c r="AA2079" s="28">
        <v>1000</v>
      </c>
      <c r="AB2079" s="1" t="s">
        <v>13</v>
      </c>
    </row>
    <row r="2080" spans="1:28">
      <c r="A2080" t="s">
        <v>580</v>
      </c>
      <c r="B2080" s="29" t="s">
        <v>2908</v>
      </c>
      <c r="C2080" s="26" t="s">
        <v>2909</v>
      </c>
      <c r="D2080" s="1">
        <v>323</v>
      </c>
      <c r="E2080" t="s">
        <v>642</v>
      </c>
      <c r="F2080" s="3" t="s">
        <v>2901</v>
      </c>
      <c r="G2080" s="1">
        <v>36.9</v>
      </c>
      <c r="H2080" t="s">
        <v>2932</v>
      </c>
      <c r="I2080" t="s">
        <v>2950</v>
      </c>
      <c r="J2080" s="1">
        <v>4</v>
      </c>
      <c r="K2080" s="1">
        <v>1003.9169000000001</v>
      </c>
      <c r="L2080" s="1" t="str">
        <f>HYPERLINK("http://ms.phosphosite.org:5080/cgi-bin/plot-msms.cgi?MassType=1&amp;NumAxis=1&amp;Mod1=147&amp;Mod3=147&amp;Mod22=170&amp;Pep=MGMGNNYSGGYGTPDGLGGYGRGGGGSGGYYGQGGMSGGGWR&amp;Dta=/var/www/html/dta/yong/23612.12393.4.dta&amp;Global_Mod=CS57.0215", "12393")</f>
        <v>12393</v>
      </c>
      <c r="M2080" s="1" t="str">
        <f>HYPERLINK("http://ms.phosphosite.org:5080/cgi-bin/plot-msms.cgi?MassType=1&amp;NumAxis=1&amp;Mod1=147&amp;Mod3=147&amp;Mod22=170&amp;Pep=MGMGNNYSGGYGTPDGLGGYGRGGGGSGGYYGQGGMSGGGWR&amp;Dta=/var/www/html/dta/yong/23613.12393.4.dta&amp;Global_Mod=CS57.0215", "12393")</f>
        <v>12393</v>
      </c>
      <c r="N2080" s="27">
        <v>52.11</v>
      </c>
      <c r="O2080" s="27">
        <v>51.79</v>
      </c>
      <c r="P2080" s="27">
        <v>4.6500000000000004</v>
      </c>
      <c r="Q2080" s="27">
        <v>5.2690000000000001</v>
      </c>
      <c r="R2080" s="27">
        <v>0.91169999999999995</v>
      </c>
      <c r="S2080" s="27">
        <v>0.44869999999999999</v>
      </c>
      <c r="T2080" s="27">
        <v>0.40039999999999998</v>
      </c>
      <c r="U2080" s="27">
        <v>0.36969999999999997</v>
      </c>
      <c r="V2080" s="1">
        <v>1</v>
      </c>
      <c r="W2080" s="1">
        <v>1</v>
      </c>
      <c r="X2080" s="27">
        <v>3.64</v>
      </c>
      <c r="Y2080" s="27">
        <v>3.64</v>
      </c>
      <c r="Z2080" s="28">
        <v>1000</v>
      </c>
      <c r="AA2080" s="28">
        <v>1000</v>
      </c>
      <c r="AB2080" s="1" t="s">
        <v>13</v>
      </c>
    </row>
    <row r="2081" spans="1:28">
      <c r="A2081" t="s">
        <v>580</v>
      </c>
      <c r="B2081" s="29" t="s">
        <v>2908</v>
      </c>
      <c r="C2081" s="26" t="s">
        <v>2909</v>
      </c>
      <c r="D2081" s="1">
        <v>323</v>
      </c>
      <c r="E2081" t="s">
        <v>642</v>
      </c>
      <c r="F2081" s="3" t="s">
        <v>2901</v>
      </c>
      <c r="G2081" s="1">
        <v>36.9</v>
      </c>
      <c r="H2081" t="s">
        <v>2932</v>
      </c>
      <c r="I2081" t="s">
        <v>2950</v>
      </c>
      <c r="J2081" s="1">
        <v>4</v>
      </c>
      <c r="K2081" s="1">
        <v>1003.9169000000001</v>
      </c>
      <c r="L2081" s="1" t="str">
        <f>HYPERLINK("http://ms.phosphosite.org:5080/cgi-bin/plot-msms.cgi?MassType=1&amp;NumAxis=1&amp;Mod1=147&amp;Mod3=147&amp;Mod22=170&amp;Pep=MGMGNNYSGGYGTPDGLGGYGRGGGGSGGYYGQGGMSGGGWR&amp;Dta=/var/www/html/dta/yong/23612.12181.4.dta&amp;Global_Mod=CS57.0215", "12181")</f>
        <v>12181</v>
      </c>
      <c r="M2081" s="1" t="str">
        <f>HYPERLINK("http://ms.phosphosite.org:5080/cgi-bin/plot-msms.cgi?MassType=1&amp;NumAxis=1&amp;Mod1=147&amp;Mod3=147&amp;Mod22=170&amp;Pep=MGMGNNYSGGYGTPDGLGGYGRGGGGSGGYYGQGGMSGGGWR&amp;Dta=/var/www/html/dta/yong/23613.12269.4.dta&amp;Global_Mod=CS57.0215", "12269")</f>
        <v>12269</v>
      </c>
      <c r="N2081" s="27">
        <v>51.38</v>
      </c>
      <c r="O2081" s="27">
        <v>51.38</v>
      </c>
      <c r="P2081" s="27">
        <v>5.4189999999999996</v>
      </c>
      <c r="Q2081" s="27">
        <v>5.3890000000000002</v>
      </c>
      <c r="R2081" s="27">
        <v>0.28549999999999998</v>
      </c>
      <c r="S2081" s="27">
        <v>1.3622000000000001</v>
      </c>
      <c r="T2081" s="27">
        <v>0.45610000000000001</v>
      </c>
      <c r="U2081" s="27">
        <v>0.40770000000000001</v>
      </c>
      <c r="V2081" s="1">
        <v>1</v>
      </c>
      <c r="W2081" s="1">
        <v>1</v>
      </c>
      <c r="X2081" s="27">
        <v>4.08</v>
      </c>
      <c r="Y2081" s="27">
        <v>3.81</v>
      </c>
      <c r="Z2081" s="28">
        <v>1000</v>
      </c>
      <c r="AA2081" s="28">
        <v>1000</v>
      </c>
      <c r="AB2081" s="1" t="s">
        <v>13</v>
      </c>
    </row>
    <row r="2082" spans="1:28">
      <c r="A2082" t="s">
        <v>580</v>
      </c>
      <c r="B2082" s="29" t="s">
        <v>2908</v>
      </c>
      <c r="C2082" s="26" t="s">
        <v>2909</v>
      </c>
      <c r="D2082" s="1">
        <v>323</v>
      </c>
      <c r="E2082" t="s">
        <v>642</v>
      </c>
      <c r="F2082" s="3" t="s">
        <v>2901</v>
      </c>
      <c r="G2082" s="1">
        <v>36.9</v>
      </c>
      <c r="H2082" t="s">
        <v>2932</v>
      </c>
      <c r="I2082" t="s">
        <v>2950</v>
      </c>
      <c r="J2082" s="1">
        <v>4</v>
      </c>
      <c r="K2082" s="1">
        <v>1003.9169000000001</v>
      </c>
      <c r="L2082" s="1"/>
      <c r="M2082" s="1" t="str">
        <f>HYPERLINK("http://ms.phosphosite.org:5080/cgi-bin/plot-msms.cgi?MassType=1&amp;NumAxis=1&amp;Mod1=147&amp;Mod3=147&amp;Mod22=170&amp;Pep=MGMGNNYSGGYGTPDGLGGYGRGGGGSGGYYGQGGMSGGGWR&amp;Dta=/var/www/html/dta/yong/23613.12629.4.dta&amp;Global_Mod=CS57.0215", "12629")</f>
        <v>12629</v>
      </c>
      <c r="N2082" s="27"/>
      <c r="O2082" s="27">
        <v>52.63</v>
      </c>
      <c r="P2082" s="27"/>
      <c r="Q2082" s="27">
        <v>3.9769999999999999</v>
      </c>
      <c r="R2082" s="27"/>
      <c r="S2082" s="27">
        <v>1.6509</v>
      </c>
      <c r="T2082" s="27"/>
      <c r="U2082" s="27">
        <v>0.28960000000000002</v>
      </c>
      <c r="V2082" s="1"/>
      <c r="W2082" s="1">
        <v>2</v>
      </c>
      <c r="X2082" s="27"/>
      <c r="Y2082" s="27">
        <v>2.92</v>
      </c>
      <c r="Z2082" s="28"/>
      <c r="AA2082" s="28">
        <v>1000</v>
      </c>
      <c r="AB2082" s="1" t="s">
        <v>13</v>
      </c>
    </row>
    <row r="2083" spans="1:28">
      <c r="A2083" t="s">
        <v>580</v>
      </c>
      <c r="B2083" s="29" t="s">
        <v>2908</v>
      </c>
      <c r="C2083" s="26" t="s">
        <v>2909</v>
      </c>
      <c r="D2083" s="1">
        <v>323</v>
      </c>
      <c r="E2083" t="s">
        <v>642</v>
      </c>
      <c r="F2083" s="3" t="s">
        <v>2901</v>
      </c>
      <c r="G2083" s="1">
        <v>36.9</v>
      </c>
      <c r="H2083" t="s">
        <v>2932</v>
      </c>
      <c r="I2083" t="s">
        <v>2950</v>
      </c>
      <c r="J2083" s="1">
        <v>4</v>
      </c>
      <c r="K2083" s="1">
        <v>1003.9169000000001</v>
      </c>
      <c r="L2083" s="1"/>
      <c r="M2083" s="1" t="str">
        <f>HYPERLINK("http://ms.phosphosite.org:5080/cgi-bin/plot-msms.cgi?MassType=1&amp;NumAxis=1&amp;Mod1=147&amp;Mod3=147&amp;Mod22=170&amp;Pep=MGMGNNYSGGYGTPDGLGGYGRGGGGSGGYYGQGGMSGGGWR&amp;Dta=/var/www/html/dta/yong/23613.12256.4.dta&amp;Global_Mod=CS57.0215", "12256")</f>
        <v>12256</v>
      </c>
      <c r="N2083" s="27"/>
      <c r="O2083" s="27">
        <v>51.34</v>
      </c>
      <c r="P2083" s="27"/>
      <c r="Q2083" s="27">
        <v>5.72</v>
      </c>
      <c r="R2083" s="27"/>
      <c r="S2083" s="27">
        <v>1.3609</v>
      </c>
      <c r="T2083" s="27"/>
      <c r="U2083" s="27">
        <v>0.44369999999999998</v>
      </c>
      <c r="V2083" s="1"/>
      <c r="W2083" s="1">
        <v>1</v>
      </c>
      <c r="X2083" s="27"/>
      <c r="Y2083" s="27">
        <v>4.05</v>
      </c>
      <c r="Z2083" s="28"/>
      <c r="AA2083" s="28">
        <v>1000</v>
      </c>
      <c r="AB2083" s="1" t="s">
        <v>13</v>
      </c>
    </row>
    <row r="2084" spans="1:28">
      <c r="A2084" t="s">
        <v>580</v>
      </c>
      <c r="B2084" s="29" t="s">
        <v>2908</v>
      </c>
      <c r="C2084" s="26" t="s">
        <v>2909</v>
      </c>
      <c r="D2084" s="1">
        <v>323</v>
      </c>
      <c r="E2084" t="s">
        <v>642</v>
      </c>
      <c r="F2084" s="3" t="s">
        <v>2901</v>
      </c>
      <c r="G2084" s="1">
        <v>36.9</v>
      </c>
      <c r="H2084" t="s">
        <v>2932</v>
      </c>
      <c r="I2084" t="s">
        <v>2951</v>
      </c>
      <c r="J2084" s="1">
        <v>2</v>
      </c>
      <c r="K2084" s="1">
        <v>1105.9650999999999</v>
      </c>
      <c r="L2084" s="1" t="str">
        <f>HYPERLINK("http://ms.phosphosite.org:5080/cgi-bin/plot-msms.cgi?MassType=1&amp;NumAxis=1&amp;Mod1=147&amp;Mod22=170&amp;Pep=MGMGNNYSGGYGTPDGLGGYGR&amp;Dta=/var/www/html/dta/yong/23612.10071.2.dta&amp;Global_Mod=CS57.0215", "10071")</f>
        <v>10071</v>
      </c>
      <c r="M2084" s="1"/>
      <c r="N2084" s="27">
        <v>44.19</v>
      </c>
      <c r="O2084" s="27"/>
      <c r="P2084" s="27">
        <v>4.7619999999999996</v>
      </c>
      <c r="Q2084" s="27"/>
      <c r="R2084" s="27">
        <v>4.3743999999999996</v>
      </c>
      <c r="S2084" s="27"/>
      <c r="T2084" s="27">
        <v>0.54139999999999999</v>
      </c>
      <c r="U2084" s="27"/>
      <c r="V2084" s="1">
        <v>1</v>
      </c>
      <c r="W2084" s="1"/>
      <c r="X2084" s="27">
        <v>4.47</v>
      </c>
      <c r="Y2084" s="27"/>
      <c r="Z2084" s="28">
        <v>1000</v>
      </c>
      <c r="AA2084" s="28"/>
      <c r="AB2084" s="1" t="s">
        <v>13</v>
      </c>
    </row>
    <row r="2085" spans="1:28">
      <c r="A2085" t="s">
        <v>580</v>
      </c>
      <c r="B2085" s="29" t="s">
        <v>2908</v>
      </c>
      <c r="C2085" s="26" t="s">
        <v>2909</v>
      </c>
      <c r="D2085" s="1">
        <v>323</v>
      </c>
      <c r="E2085" t="s">
        <v>642</v>
      </c>
      <c r="F2085" s="3" t="s">
        <v>2901</v>
      </c>
      <c r="G2085" s="1">
        <v>36.9</v>
      </c>
      <c r="H2085" t="s">
        <v>2932</v>
      </c>
      <c r="I2085" t="s">
        <v>2951</v>
      </c>
      <c r="J2085" s="1">
        <v>2</v>
      </c>
      <c r="K2085" s="1">
        <v>1105.9650999999999</v>
      </c>
      <c r="L2085" s="1" t="str">
        <f>HYPERLINK("http://ms.phosphosite.org:5080/cgi-bin/plot-msms.cgi?MassType=1&amp;NumAxis=1&amp;Mod1=147&amp;Mod22=170&amp;Pep=MGMGNNYSGGYGTPDGLGGYGR&amp;Dta=/var/www/html/dta/yong/23612.10415.2.dta&amp;Global_Mod=CS57.0215", "10415")</f>
        <v>10415</v>
      </c>
      <c r="M2085" s="1"/>
      <c r="N2085" s="27">
        <v>45.41</v>
      </c>
      <c r="O2085" s="27"/>
      <c r="P2085" s="27">
        <v>6.5549999999999997</v>
      </c>
      <c r="Q2085" s="27"/>
      <c r="R2085" s="27">
        <v>1.2773000000000001</v>
      </c>
      <c r="S2085" s="27"/>
      <c r="T2085" s="27">
        <v>0.58399999999999996</v>
      </c>
      <c r="U2085" s="27"/>
      <c r="V2085" s="1">
        <v>1</v>
      </c>
      <c r="W2085" s="1"/>
      <c r="X2085" s="27">
        <v>5.19</v>
      </c>
      <c r="Y2085" s="27"/>
      <c r="Z2085" s="28">
        <v>1000</v>
      </c>
      <c r="AA2085" s="28"/>
      <c r="AB2085" s="1" t="s">
        <v>13</v>
      </c>
    </row>
    <row r="2086" spans="1:28">
      <c r="A2086" t="s">
        <v>580</v>
      </c>
      <c r="B2086" s="29" t="s">
        <v>2908</v>
      </c>
      <c r="C2086" s="26" t="s">
        <v>2909</v>
      </c>
      <c r="D2086" s="1">
        <v>323</v>
      </c>
      <c r="E2086" t="s">
        <v>642</v>
      </c>
      <c r="F2086" s="3" t="s">
        <v>2901</v>
      </c>
      <c r="G2086" s="1">
        <v>36.9</v>
      </c>
      <c r="H2086" t="s">
        <v>2932</v>
      </c>
      <c r="I2086" t="s">
        <v>2951</v>
      </c>
      <c r="J2086" s="1">
        <v>3</v>
      </c>
      <c r="K2086" s="1">
        <v>737.64580000000001</v>
      </c>
      <c r="L2086" s="1" t="str">
        <f>HYPERLINK("http://ms.phosphosite.org:5080/cgi-bin/plot-msms.cgi?MassType=1&amp;NumAxis=1&amp;Mod1=147&amp;Mod22=170&amp;Pep=MGMGNNYSGGYGTPDGLGGYGR&amp;Dta=/var/www/html/dta/yong/23612.10419.3.dta&amp;Global_Mod=CS57.0215", "10419")</f>
        <v>10419</v>
      </c>
      <c r="M2086" s="1" t="str">
        <f>HYPERLINK("http://ms.phosphosite.org:5080/cgi-bin/plot-msms.cgi?MassType=1&amp;NumAxis=1&amp;Mod1=147&amp;Mod22=170&amp;Pep=MGMGNNYSGGYGTPDGLGGYGR&amp;Dta=/var/www/html/dta/yong/23613.10485.3.dta&amp;Global_Mod=CS57.0215", "10485")</f>
        <v>10485</v>
      </c>
      <c r="N2086" s="27">
        <v>45.42</v>
      </c>
      <c r="O2086" s="27">
        <v>45.42</v>
      </c>
      <c r="P2086" s="27">
        <v>4.3819999999999997</v>
      </c>
      <c r="Q2086" s="27">
        <v>4.4509999999999996</v>
      </c>
      <c r="R2086" s="27">
        <v>0.75639999999999996</v>
      </c>
      <c r="S2086" s="27">
        <v>0.59730000000000005</v>
      </c>
      <c r="T2086" s="27">
        <v>0.53790000000000004</v>
      </c>
      <c r="U2086" s="27">
        <v>0.43159999999999998</v>
      </c>
      <c r="V2086" s="1">
        <v>1</v>
      </c>
      <c r="W2086" s="1">
        <v>1</v>
      </c>
      <c r="X2086" s="27">
        <v>4.63</v>
      </c>
      <c r="Y2086" s="27">
        <v>4.17</v>
      </c>
      <c r="Z2086" s="28">
        <v>1000</v>
      </c>
      <c r="AA2086" s="28">
        <v>1000</v>
      </c>
      <c r="AB2086" s="1" t="s">
        <v>13</v>
      </c>
    </row>
    <row r="2087" spans="1:28">
      <c r="A2087" t="s">
        <v>580</v>
      </c>
      <c r="B2087" s="29" t="s">
        <v>2908</v>
      </c>
      <c r="C2087" s="26" t="s">
        <v>2909</v>
      </c>
      <c r="D2087" s="1">
        <v>323</v>
      </c>
      <c r="E2087" t="s">
        <v>642</v>
      </c>
      <c r="F2087" s="3" t="s">
        <v>2901</v>
      </c>
      <c r="G2087" s="1">
        <v>36.9</v>
      </c>
      <c r="H2087" t="s">
        <v>2932</v>
      </c>
      <c r="I2087" t="s">
        <v>2951</v>
      </c>
      <c r="J2087" s="1">
        <v>3</v>
      </c>
      <c r="K2087" s="1">
        <v>737.64580000000001</v>
      </c>
      <c r="L2087" s="1" t="str">
        <f>HYPERLINK("http://ms.phosphosite.org:5080/cgi-bin/plot-msms.cgi?MassType=1&amp;NumAxis=1&amp;Mod1=147&amp;Mod22=170&amp;Pep=MGMGNNYSGGYGTPDGLGGYGR&amp;Dta=/var/www/html/dta/yong/23612.10808.3.dta&amp;Global_Mod=CS57.0215", "10808")</f>
        <v>10808</v>
      </c>
      <c r="M2087" s="1" t="str">
        <f>HYPERLINK("http://ms.phosphosite.org:5080/cgi-bin/plot-msms.cgi?MassType=1&amp;NumAxis=1&amp;Mod1=147&amp;Mod22=170&amp;Pep=MGMGNNYSGGYGTPDGLGGYGR&amp;Dta=/var/www/html/dta/yong/23613.11060.3.dta&amp;Global_Mod=CS57.0215", "11060")</f>
        <v>11060</v>
      </c>
      <c r="N2087" s="27">
        <v>46.8</v>
      </c>
      <c r="O2087" s="27">
        <v>47.4</v>
      </c>
      <c r="P2087" s="27">
        <v>4.42</v>
      </c>
      <c r="Q2087" s="27">
        <v>2.61</v>
      </c>
      <c r="R2087" s="27">
        <v>0.57820000000000005</v>
      </c>
      <c r="S2087" s="27">
        <v>0.40889999999999999</v>
      </c>
      <c r="T2087" s="27">
        <v>0.43609999999999999</v>
      </c>
      <c r="U2087" s="27">
        <v>0.29859999999999998</v>
      </c>
      <c r="V2087" s="1">
        <v>1</v>
      </c>
      <c r="W2087" s="1">
        <v>2</v>
      </c>
      <c r="X2087" s="27">
        <v>4.1399999999999997</v>
      </c>
      <c r="Y2087" s="27">
        <v>3.14</v>
      </c>
      <c r="Z2087" s="28">
        <v>1000</v>
      </c>
      <c r="AA2087" s="28">
        <v>1000</v>
      </c>
      <c r="AB2087" s="1" t="s">
        <v>13</v>
      </c>
    </row>
    <row r="2088" spans="1:28">
      <c r="A2088" t="s">
        <v>580</v>
      </c>
      <c r="B2088" s="29" t="s">
        <v>2908</v>
      </c>
      <c r="C2088" s="26" t="s">
        <v>2909</v>
      </c>
      <c r="D2088" s="1">
        <v>323</v>
      </c>
      <c r="E2088" t="s">
        <v>642</v>
      </c>
      <c r="F2088" s="3" t="s">
        <v>2901</v>
      </c>
      <c r="G2088" s="1">
        <v>36.9</v>
      </c>
      <c r="H2088" t="s">
        <v>2932</v>
      </c>
      <c r="I2088" t="s">
        <v>2951</v>
      </c>
      <c r="J2088" s="1">
        <v>3</v>
      </c>
      <c r="K2088" s="1">
        <v>737.64580000000001</v>
      </c>
      <c r="L2088" s="1"/>
      <c r="M2088" s="1" t="str">
        <f>HYPERLINK("http://ms.phosphosite.org:5080/cgi-bin/plot-msms.cgi?MassType=1&amp;NumAxis=1&amp;Mod1=147&amp;Mod22=170&amp;Pep=MGMGNNYSGGYGTPDGLGGYGR&amp;Dta=/var/www/html/dta/yong/23613.10811.3.dta&amp;Global_Mod=CS57.0215", "10811")</f>
        <v>10811</v>
      </c>
      <c r="N2088" s="27"/>
      <c r="O2088" s="27">
        <v>46.56</v>
      </c>
      <c r="P2088" s="27"/>
      <c r="Q2088" s="27">
        <v>2.3650000000000002</v>
      </c>
      <c r="R2088" s="27"/>
      <c r="S2088" s="27">
        <v>1.5373000000000001</v>
      </c>
      <c r="T2088" s="27"/>
      <c r="U2088" s="27">
        <v>4.6600000000000003E-2</v>
      </c>
      <c r="V2088" s="1"/>
      <c r="W2088" s="1">
        <v>4</v>
      </c>
      <c r="X2088" s="27"/>
      <c r="Y2088" s="27">
        <v>1.79</v>
      </c>
      <c r="Z2088" s="28"/>
      <c r="AA2088" s="28">
        <v>1000</v>
      </c>
      <c r="AB2088" s="1" t="s">
        <v>13</v>
      </c>
    </row>
    <row r="2089" spans="1:28">
      <c r="A2089" t="s">
        <v>580</v>
      </c>
      <c r="B2089" s="29" t="s">
        <v>2908</v>
      </c>
      <c r="C2089" s="26" t="s">
        <v>2909</v>
      </c>
      <c r="D2089" s="1">
        <v>323</v>
      </c>
      <c r="E2089" t="s">
        <v>642</v>
      </c>
      <c r="F2089" s="3" t="s">
        <v>2901</v>
      </c>
      <c r="G2089" s="1">
        <v>36.9</v>
      </c>
      <c r="H2089" t="s">
        <v>2932</v>
      </c>
      <c r="I2089" t="s">
        <v>2952</v>
      </c>
      <c r="J2089" s="1">
        <v>3</v>
      </c>
      <c r="K2089" s="1">
        <v>1138.1278</v>
      </c>
      <c r="L2089" s="1" t="str">
        <f>HYPERLINK("http://ms.phosphosite.org:5080/cgi-bin/plot-msms.cgi?MassType=1&amp;NumAxis=1&amp;Mod1=147&amp;Mod22=170&amp;Mod36=147&amp;Pep=MGMGNNYSGGYGTPDGLGGYGRGGGGSGGYYGQGGM&amp;Dta=/var/www/html/dta/yong/23612.11230.3.dta&amp;Global_Mod=CS57.0215", "11230")</f>
        <v>11230</v>
      </c>
      <c r="M2089" s="1"/>
      <c r="N2089" s="27">
        <v>48.23</v>
      </c>
      <c r="O2089" s="27"/>
      <c r="P2089" s="27">
        <v>4.0679999999999996</v>
      </c>
      <c r="Q2089" s="27"/>
      <c r="R2089" s="27">
        <v>0.51549999999999996</v>
      </c>
      <c r="S2089" s="27"/>
      <c r="T2089" s="27">
        <v>0.49349999999999999</v>
      </c>
      <c r="U2089" s="27"/>
      <c r="V2089" s="1">
        <v>1</v>
      </c>
      <c r="W2089" s="1"/>
      <c r="X2089" s="27">
        <v>4.01</v>
      </c>
      <c r="Y2089" s="27"/>
      <c r="Z2089" s="28">
        <v>1000</v>
      </c>
      <c r="AA2089" s="28"/>
      <c r="AB2089" s="1" t="s">
        <v>13</v>
      </c>
    </row>
    <row r="2090" spans="1:28">
      <c r="A2090" t="s">
        <v>580</v>
      </c>
      <c r="B2090" s="29" t="s">
        <v>2908</v>
      </c>
      <c r="C2090" s="26" t="s">
        <v>2909</v>
      </c>
      <c r="D2090" s="1">
        <v>323</v>
      </c>
      <c r="E2090" t="s">
        <v>642</v>
      </c>
      <c r="F2090" s="3" t="s">
        <v>2901</v>
      </c>
      <c r="G2090" s="1">
        <v>36.9</v>
      </c>
      <c r="H2090" t="s">
        <v>2932</v>
      </c>
      <c r="I2090" t="s">
        <v>2953</v>
      </c>
      <c r="J2090" s="1">
        <v>3</v>
      </c>
      <c r="K2090" s="1">
        <v>1338.2201</v>
      </c>
      <c r="L2090" s="1" t="str">
        <f>HYPERLINK("http://ms.phosphosite.org:5080/cgi-bin/plot-msms.cgi?MassType=1&amp;NumAxis=1&amp;Mod1=147&amp;Mod22=170&amp;Mod36=147&amp;Pep=MGMGNNYSGGYGTPDGLGGYGRGGGGSGGYYGQGGMSGGGWR&amp;Dta=/var/www/html/dta/yong/23612.12046.3.dta&amp;Global_Mod=CS57.0215", "12046")</f>
        <v>12046</v>
      </c>
      <c r="M2090" s="1" t="str">
        <f>HYPERLINK("http://ms.phosphosite.org:5080/cgi-bin/plot-msms.cgi?MassType=1&amp;NumAxis=1&amp;Mod1=147&amp;Mod22=170&amp;Mod36=147&amp;Pep=MGMGNNYSGGYGTPDGLGGYGRGGGGSGGYYGQGGMSGGGWR&amp;Dta=/var/www/html/dta/yong/23613.11726.3.dta&amp;Global_Mod=CS57.0215", "11726")</f>
        <v>11726</v>
      </c>
      <c r="N2090" s="27">
        <v>50.94</v>
      </c>
      <c r="O2090" s="27">
        <v>49.61</v>
      </c>
      <c r="P2090" s="27">
        <v>4.4089999999999998</v>
      </c>
      <c r="Q2090" s="27">
        <v>4.484</v>
      </c>
      <c r="R2090" s="27">
        <v>0.41539999999999999</v>
      </c>
      <c r="S2090" s="27">
        <v>0.85819999999999996</v>
      </c>
      <c r="T2090" s="27">
        <v>0.40450000000000003</v>
      </c>
      <c r="U2090" s="27">
        <v>0.42049999999999998</v>
      </c>
      <c r="V2090" s="1">
        <v>1</v>
      </c>
      <c r="W2090" s="1">
        <v>1</v>
      </c>
      <c r="X2090" s="27">
        <v>3.58</v>
      </c>
      <c r="Y2090" s="27">
        <v>3.67</v>
      </c>
      <c r="Z2090" s="28">
        <v>1000</v>
      </c>
      <c r="AA2090" s="28">
        <v>1000</v>
      </c>
      <c r="AB2090" s="1" t="s">
        <v>13</v>
      </c>
    </row>
    <row r="2091" spans="1:28">
      <c r="A2091" t="s">
        <v>580</v>
      </c>
      <c r="B2091" s="29" t="s">
        <v>2908</v>
      </c>
      <c r="C2091" s="26" t="s">
        <v>2909</v>
      </c>
      <c r="D2091" s="1">
        <v>323</v>
      </c>
      <c r="E2091" t="s">
        <v>642</v>
      </c>
      <c r="F2091" s="3" t="s">
        <v>2901</v>
      </c>
      <c r="G2091" s="1">
        <v>36.9</v>
      </c>
      <c r="H2091" t="s">
        <v>2932</v>
      </c>
      <c r="I2091" t="s">
        <v>2953</v>
      </c>
      <c r="J2091" s="1">
        <v>3</v>
      </c>
      <c r="K2091" s="1">
        <v>1338.2201</v>
      </c>
      <c r="L2091" s="1" t="str">
        <f>HYPERLINK("http://ms.phosphosite.org:5080/cgi-bin/plot-msms.cgi?MassType=1&amp;NumAxis=1&amp;Mod1=147&amp;Mod22=170&amp;Mod36=147&amp;Pep=MGMGNNYSGGYGTPDGLGGYGRGGGGSGGYYGQGGMSGGGWR&amp;Dta=/var/www/html/dta/yong/23612.11866.3.dta&amp;Global_Mod=CS57.0215", "11866")</f>
        <v>11866</v>
      </c>
      <c r="M2091" s="1" t="str">
        <f>HYPERLINK("http://ms.phosphosite.org:5080/cgi-bin/plot-msms.cgi?MassType=1&amp;NumAxis=1&amp;Mod1=147&amp;Mod22=170&amp;Mod36=147&amp;Pep=MGMGNNYSGGYGTPDGLGGYGRGGGGSGGYYGQGGMSGGGWR&amp;Dta=/var/www/html/dta/yong/23613.11592.3.dta&amp;Global_Mod=CS57.0215", "11592")</f>
        <v>11592</v>
      </c>
      <c r="N2091" s="27">
        <v>50.36</v>
      </c>
      <c r="O2091" s="27">
        <v>49.17</v>
      </c>
      <c r="P2091" s="27">
        <v>4.58</v>
      </c>
      <c r="Q2091" s="27">
        <v>4.649</v>
      </c>
      <c r="R2091" s="27">
        <v>0.50049999999999994</v>
      </c>
      <c r="S2091" s="27">
        <v>0.72070000000000001</v>
      </c>
      <c r="T2091" s="27">
        <v>0.35659999999999997</v>
      </c>
      <c r="U2091" s="27">
        <v>0.51890000000000003</v>
      </c>
      <c r="V2091" s="1">
        <v>3</v>
      </c>
      <c r="W2091" s="1">
        <v>1</v>
      </c>
      <c r="X2091" s="27">
        <v>3.37</v>
      </c>
      <c r="Y2091" s="27">
        <v>4.2</v>
      </c>
      <c r="Z2091" s="28">
        <v>1000</v>
      </c>
      <c r="AA2091" s="28">
        <v>1000</v>
      </c>
      <c r="AB2091" s="1" t="s">
        <v>13</v>
      </c>
    </row>
    <row r="2092" spans="1:28">
      <c r="A2092" t="s">
        <v>580</v>
      </c>
      <c r="B2092" s="29" t="s">
        <v>2908</v>
      </c>
      <c r="C2092" s="26" t="s">
        <v>2909</v>
      </c>
      <c r="D2092" s="1">
        <v>323</v>
      </c>
      <c r="E2092" t="s">
        <v>642</v>
      </c>
      <c r="F2092" s="3" t="s">
        <v>2901</v>
      </c>
      <c r="G2092" s="1">
        <v>36.9</v>
      </c>
      <c r="H2092" t="s">
        <v>2932</v>
      </c>
      <c r="I2092" t="s">
        <v>2953</v>
      </c>
      <c r="J2092" s="1">
        <v>4</v>
      </c>
      <c r="K2092" s="1">
        <v>1003.9169000000001</v>
      </c>
      <c r="L2092" s="1" t="str">
        <f>HYPERLINK("http://ms.phosphosite.org:5080/cgi-bin/plot-msms.cgi?MassType=1&amp;NumAxis=1&amp;Mod1=147&amp;Mod22=170&amp;Mod36=147&amp;Pep=MGMGNNYSGGYGTPDGLGGYGRGGGGSGGYYGQGGMSGGGWR&amp;Dta=/var/www/html/dta/yong/23612.11898.4.dta&amp;Global_Mod=CS57.0215", "11898")</f>
        <v>11898</v>
      </c>
      <c r="M2092" s="1" t="str">
        <f>HYPERLINK("http://ms.phosphosite.org:5080/cgi-bin/plot-msms.cgi?MassType=1&amp;NumAxis=1&amp;Mod1=147&amp;Mod22=170&amp;Mod36=147&amp;Pep=MGMGNNYSGGYGTPDGLGGYGRGGGGSGGYYGQGGMSGGGWR&amp;Dta=/var/www/html/dta/yong/23613.11593.4.dta&amp;Global_Mod=CS57.0215", "11593")</f>
        <v>11593</v>
      </c>
      <c r="N2092" s="27">
        <v>50.46</v>
      </c>
      <c r="O2092" s="27">
        <v>49.17</v>
      </c>
      <c r="P2092" s="27">
        <v>4.7290000000000001</v>
      </c>
      <c r="Q2092" s="27">
        <v>5.0709999999999997</v>
      </c>
      <c r="R2092" s="27">
        <v>0.98629999999999995</v>
      </c>
      <c r="S2092" s="27">
        <v>0.96750000000000003</v>
      </c>
      <c r="T2092" s="27">
        <v>0.39329999999999998</v>
      </c>
      <c r="U2092" s="27">
        <v>0.43219999999999997</v>
      </c>
      <c r="V2092" s="1">
        <v>2</v>
      </c>
      <c r="W2092" s="1">
        <v>1</v>
      </c>
      <c r="X2092" s="27">
        <v>3.61</v>
      </c>
      <c r="Y2092" s="27">
        <v>3.89</v>
      </c>
      <c r="Z2092" s="28">
        <v>1000</v>
      </c>
      <c r="AA2092" s="28">
        <v>1000</v>
      </c>
      <c r="AB2092" s="1" t="s">
        <v>13</v>
      </c>
    </row>
    <row r="2093" spans="1:28">
      <c r="A2093" t="s">
        <v>580</v>
      </c>
      <c r="B2093" s="29" t="s">
        <v>2908</v>
      </c>
      <c r="C2093" s="26" t="s">
        <v>2909</v>
      </c>
      <c r="D2093" s="1">
        <v>323</v>
      </c>
      <c r="E2093" t="s">
        <v>642</v>
      </c>
      <c r="F2093" s="3" t="s">
        <v>2901</v>
      </c>
      <c r="G2093" s="1">
        <v>36.9</v>
      </c>
      <c r="H2093" t="s">
        <v>2932</v>
      </c>
      <c r="I2093" t="s">
        <v>2953</v>
      </c>
      <c r="J2093" s="1">
        <v>4</v>
      </c>
      <c r="K2093" s="1">
        <v>1003.9169000000001</v>
      </c>
      <c r="L2093" s="1" t="str">
        <f>HYPERLINK("http://ms.phosphosite.org:5080/cgi-bin/plot-msms.cgi?MassType=1&amp;NumAxis=1&amp;Mod1=147&amp;Mod22=170&amp;Mod36=147&amp;Pep=MGMGNNYSGGYGTPDGLGGYGRGGGGSGGYYGQGGMSGGGWR&amp;Dta=/var/www/html/dta/yong/23612.11911.4.dta&amp;Global_Mod=CS57.0215", "11911")</f>
        <v>11911</v>
      </c>
      <c r="M2093" s="1" t="str">
        <f>HYPERLINK("http://ms.phosphosite.org:5080/cgi-bin/plot-msms.cgi?MassType=1&amp;NumAxis=1&amp;Mod1=147&amp;Mod22=170&amp;Mod36=147&amp;Pep=MGMGNNYSGGYGTPDGLGGYGRGGGGSGGYYGQGGMSGGGWR&amp;Dta=/var/www/html/dta/yong/23613.11941.4.dta&amp;Global_Mod=CS57.0215", "11941")</f>
        <v>11941</v>
      </c>
      <c r="N2093" s="27">
        <v>50.5</v>
      </c>
      <c r="O2093" s="27">
        <v>50.3</v>
      </c>
      <c r="P2093" s="27">
        <v>4.5380000000000003</v>
      </c>
      <c r="Q2093" s="27">
        <v>4.5709999999999997</v>
      </c>
      <c r="R2093" s="27">
        <v>1.2935000000000001</v>
      </c>
      <c r="S2093" s="27">
        <v>0.27439999999999998</v>
      </c>
      <c r="T2093" s="27">
        <v>0.22059999999999999</v>
      </c>
      <c r="U2093" s="27">
        <v>0.3659</v>
      </c>
      <c r="V2093" s="1">
        <v>1</v>
      </c>
      <c r="W2093" s="1">
        <v>2</v>
      </c>
      <c r="X2093" s="27">
        <v>2.71</v>
      </c>
      <c r="Y2093" s="27">
        <v>3.48</v>
      </c>
      <c r="Z2093" s="28">
        <v>1000</v>
      </c>
      <c r="AA2093" s="28">
        <v>1000</v>
      </c>
      <c r="AB2093" s="1" t="s">
        <v>13</v>
      </c>
    </row>
    <row r="2094" spans="1:28">
      <c r="A2094" t="s">
        <v>580</v>
      </c>
      <c r="B2094" s="29" t="s">
        <v>2908</v>
      </c>
      <c r="C2094" s="26" t="s">
        <v>2909</v>
      </c>
      <c r="D2094" s="1">
        <v>323</v>
      </c>
      <c r="E2094" t="s">
        <v>642</v>
      </c>
      <c r="F2094" s="3" t="s">
        <v>2901</v>
      </c>
      <c r="G2094" s="1">
        <v>36.9</v>
      </c>
      <c r="H2094" t="s">
        <v>2932</v>
      </c>
      <c r="I2094" t="s">
        <v>2953</v>
      </c>
      <c r="J2094" s="1">
        <v>4</v>
      </c>
      <c r="K2094" s="1">
        <v>1003.9169000000001</v>
      </c>
      <c r="L2094" s="1" t="str">
        <f>HYPERLINK("http://ms.phosphosite.org:5080/cgi-bin/plot-msms.cgi?MassType=1&amp;NumAxis=1&amp;Mod1=147&amp;Mod22=170&amp;Mod36=147&amp;Pep=MGMGNNYSGGYGTPDGLGGYGRGGGGSGGYYGQGGMSGGGWR&amp;Dta=/var/www/html/dta/yong/23612.11935.4.dta&amp;Global_Mod=CS57.0215", "11935")</f>
        <v>11935</v>
      </c>
      <c r="M2094" s="1" t="str">
        <f>HYPERLINK("http://ms.phosphosite.org:5080/cgi-bin/plot-msms.cgi?MassType=1&amp;NumAxis=1&amp;Mod1=147&amp;Mod22=170&amp;Mod36=147&amp;Pep=MGMGNNYSGGYGTPDGLGGYGRGGGGSGGYYGQGGMSGGGWR&amp;Dta=/var/www/html/dta/yong/23613.12024.4.dta&amp;Global_Mod=CS57.0215", "12024")</f>
        <v>12024</v>
      </c>
      <c r="N2094" s="27">
        <v>50.57</v>
      </c>
      <c r="O2094" s="27">
        <v>50.56</v>
      </c>
      <c r="P2094" s="27">
        <v>4.8</v>
      </c>
      <c r="Q2094" s="27">
        <v>4.4349999999999996</v>
      </c>
      <c r="R2094" s="27">
        <v>0.57620000000000005</v>
      </c>
      <c r="S2094" s="27">
        <v>-7.51E-2</v>
      </c>
      <c r="T2094" s="27">
        <v>0.36180000000000001</v>
      </c>
      <c r="U2094" s="27">
        <v>0.22670000000000001</v>
      </c>
      <c r="V2094" s="1">
        <v>1</v>
      </c>
      <c r="W2094" s="1">
        <v>1</v>
      </c>
      <c r="X2094" s="27">
        <v>3.49</v>
      </c>
      <c r="Y2094" s="27">
        <v>2.74</v>
      </c>
      <c r="Z2094" s="28">
        <v>1000</v>
      </c>
      <c r="AA2094" s="28">
        <v>1000</v>
      </c>
      <c r="AB2094" s="1" t="s">
        <v>13</v>
      </c>
    </row>
    <row r="2095" spans="1:28">
      <c r="A2095" t="s">
        <v>580</v>
      </c>
      <c r="B2095" s="29" t="s">
        <v>2908</v>
      </c>
      <c r="C2095" s="26" t="s">
        <v>2909</v>
      </c>
      <c r="D2095" s="1">
        <v>323</v>
      </c>
      <c r="E2095" t="s">
        <v>642</v>
      </c>
      <c r="F2095" s="3" t="s">
        <v>2901</v>
      </c>
      <c r="G2095" s="1">
        <v>36.9</v>
      </c>
      <c r="H2095" t="s">
        <v>2932</v>
      </c>
      <c r="I2095" t="s">
        <v>2953</v>
      </c>
      <c r="J2095" s="1">
        <v>4</v>
      </c>
      <c r="K2095" s="1">
        <v>1003.9169000000001</v>
      </c>
      <c r="L2095" s="1"/>
      <c r="M2095" s="1" t="str">
        <f>HYPERLINK("http://ms.phosphosite.org:5080/cgi-bin/plot-msms.cgi?MassType=1&amp;NumAxis=1&amp;Mod1=147&amp;Mod22=170&amp;Mod36=147&amp;Pep=MGMGNNYSGGYGTPDGLGGYGRGGGGSGGYYGQGGMSGGGWR&amp;Dta=/var/www/html/dta/yong/23613.12005.4.dta&amp;Global_Mod=CS57.0215", "12005")</f>
        <v>12005</v>
      </c>
      <c r="N2095" s="27"/>
      <c r="O2095" s="27">
        <v>50.5</v>
      </c>
      <c r="P2095" s="27"/>
      <c r="Q2095" s="27">
        <v>4.2750000000000004</v>
      </c>
      <c r="R2095" s="27"/>
      <c r="S2095" s="27">
        <v>1.9400000000000001E-2</v>
      </c>
      <c r="T2095" s="27"/>
      <c r="U2095" s="27">
        <v>0.36359999999999998</v>
      </c>
      <c r="V2095" s="1"/>
      <c r="W2095" s="1">
        <v>1</v>
      </c>
      <c r="X2095" s="27"/>
      <c r="Y2095" s="27">
        <v>3.39</v>
      </c>
      <c r="Z2095" s="28"/>
      <c r="AA2095" s="28">
        <v>1000</v>
      </c>
      <c r="AB2095" s="1" t="s">
        <v>13</v>
      </c>
    </row>
    <row r="2096" spans="1:28">
      <c r="A2096" t="s">
        <v>580</v>
      </c>
      <c r="B2096" s="29" t="s">
        <v>2908</v>
      </c>
      <c r="C2096" s="26" t="s">
        <v>2909</v>
      </c>
      <c r="D2096" s="1">
        <v>323</v>
      </c>
      <c r="E2096" t="s">
        <v>642</v>
      </c>
      <c r="F2096" s="3" t="s">
        <v>2901</v>
      </c>
      <c r="G2096" s="1">
        <v>36.9</v>
      </c>
      <c r="H2096" t="s">
        <v>2932</v>
      </c>
      <c r="I2096" t="s">
        <v>2953</v>
      </c>
      <c r="J2096" s="1">
        <v>4</v>
      </c>
      <c r="K2096" s="1">
        <v>1003.9169000000001</v>
      </c>
      <c r="L2096" s="1"/>
      <c r="M2096" s="1" t="str">
        <f>HYPERLINK("http://ms.phosphosite.org:5080/cgi-bin/plot-msms.cgi?MassType=1&amp;NumAxis=1&amp;Mod1=147&amp;Mod22=170&amp;Mod36=147&amp;Pep=MGMGNNYSGGYGTPDGLGGYGRGGGGSGGYYGQGGMSGGGWR&amp;Dta=/var/www/html/dta/yong/23613.12145.4.dta&amp;Global_Mod=CS57.0215", "12145")</f>
        <v>12145</v>
      </c>
      <c r="N2096" s="27"/>
      <c r="O2096" s="27">
        <v>50.98</v>
      </c>
      <c r="P2096" s="27"/>
      <c r="Q2096" s="27">
        <v>4.5209999999999999</v>
      </c>
      <c r="R2096" s="27"/>
      <c r="S2096" s="27">
        <v>0.6421</v>
      </c>
      <c r="T2096" s="27"/>
      <c r="U2096" s="27">
        <v>0.28820000000000001</v>
      </c>
      <c r="V2096" s="1"/>
      <c r="W2096" s="1">
        <v>2</v>
      </c>
      <c r="X2096" s="27"/>
      <c r="Y2096" s="27">
        <v>3.08</v>
      </c>
      <c r="Z2096" s="28"/>
      <c r="AA2096" s="28">
        <v>1000</v>
      </c>
      <c r="AB2096" s="1" t="s">
        <v>13</v>
      </c>
    </row>
    <row r="2097" spans="1:28">
      <c r="A2097" t="s">
        <v>580</v>
      </c>
      <c r="B2097" s="29" t="s">
        <v>2908</v>
      </c>
      <c r="C2097" s="26" t="s">
        <v>2909</v>
      </c>
      <c r="D2097" s="1">
        <v>323</v>
      </c>
      <c r="E2097" t="s">
        <v>642</v>
      </c>
      <c r="F2097" s="3" t="s">
        <v>2901</v>
      </c>
      <c r="G2097" s="1">
        <v>36.9</v>
      </c>
      <c r="H2097" t="s">
        <v>2932</v>
      </c>
      <c r="I2097" t="s">
        <v>2953</v>
      </c>
      <c r="J2097" s="1">
        <v>4</v>
      </c>
      <c r="K2097" s="1">
        <v>1003.9169000000001</v>
      </c>
      <c r="L2097" s="1"/>
      <c r="M2097" s="1" t="str">
        <f>HYPERLINK("http://ms.phosphosite.org:5080/cgi-bin/plot-msms.cgi?MassType=1&amp;NumAxis=1&amp;Mod1=147&amp;Mod22=170&amp;Mod36=147&amp;Pep=MGMGNNYSGGYGTPDGLGGYGRGGGGSGGYYGQGGMSGGGWR&amp;Dta=/var/www/html/dta/yong/23613.11775.4.dta&amp;Global_Mod=CS57.0215", "11775")</f>
        <v>11775</v>
      </c>
      <c r="N2097" s="27"/>
      <c r="O2097" s="27">
        <v>49.77</v>
      </c>
      <c r="P2097" s="27"/>
      <c r="Q2097" s="27">
        <v>4.5439999999999996</v>
      </c>
      <c r="R2097" s="27"/>
      <c r="S2097" s="27">
        <v>0.6653</v>
      </c>
      <c r="T2097" s="27"/>
      <c r="U2097" s="27">
        <v>0.31069999999999998</v>
      </c>
      <c r="V2097" s="1"/>
      <c r="W2097" s="1">
        <v>2</v>
      </c>
      <c r="X2097" s="27"/>
      <c r="Y2097" s="27">
        <v>3.19</v>
      </c>
      <c r="Z2097" s="28"/>
      <c r="AA2097" s="28">
        <v>1000</v>
      </c>
      <c r="AB2097" s="1" t="s">
        <v>13</v>
      </c>
    </row>
    <row r="2098" spans="1:28">
      <c r="A2098" t="s">
        <v>580</v>
      </c>
      <c r="B2098" s="29" t="s">
        <v>2908</v>
      </c>
      <c r="C2098" s="26" t="s">
        <v>2909</v>
      </c>
      <c r="D2098" s="1">
        <v>323</v>
      </c>
      <c r="E2098" t="s">
        <v>642</v>
      </c>
      <c r="F2098" s="3" t="s">
        <v>2901</v>
      </c>
      <c r="G2098" s="1">
        <v>36.9</v>
      </c>
      <c r="H2098" t="s">
        <v>2932</v>
      </c>
      <c r="I2098" t="s">
        <v>2953</v>
      </c>
      <c r="J2098" s="1">
        <v>4</v>
      </c>
      <c r="K2098" s="1">
        <v>1003.9169000000001</v>
      </c>
      <c r="L2098" s="1"/>
      <c r="M2098" s="1" t="str">
        <f>HYPERLINK("http://ms.phosphosite.org:5080/cgi-bin/plot-msms.cgi?MassType=1&amp;NumAxis=1&amp;Mod1=147&amp;Mod22=170&amp;Mod36=147&amp;Pep=MGMGNNYSGGYGTPDGLGGYGRGGGGSGGYYGQGGMSGGGWR&amp;Dta=/var/www/html/dta/yong/23613.12572.4.dta&amp;Global_Mod=CS57.0215", "12572")</f>
        <v>12572</v>
      </c>
      <c r="N2098" s="27"/>
      <c r="O2098" s="27">
        <v>52.45</v>
      </c>
      <c r="P2098" s="27"/>
      <c r="Q2098" s="27">
        <v>5.2919999999999998</v>
      </c>
      <c r="R2098" s="27"/>
      <c r="S2098" s="27">
        <v>-1.3621000000000001</v>
      </c>
      <c r="T2098" s="27"/>
      <c r="U2098" s="27">
        <v>0.23680000000000001</v>
      </c>
      <c r="V2098" s="1"/>
      <c r="W2098" s="1">
        <v>2</v>
      </c>
      <c r="X2098" s="27"/>
      <c r="Y2098" s="27">
        <v>2.9</v>
      </c>
      <c r="Z2098" s="28"/>
      <c r="AA2098" s="28">
        <v>1000</v>
      </c>
      <c r="AB2098" s="1" t="s">
        <v>13</v>
      </c>
    </row>
    <row r="2099" spans="1:28">
      <c r="A2099" t="s">
        <v>580</v>
      </c>
      <c r="B2099" s="29" t="s">
        <v>2908</v>
      </c>
      <c r="C2099" s="26" t="s">
        <v>2909</v>
      </c>
      <c r="D2099" s="1">
        <v>323</v>
      </c>
      <c r="E2099" t="s">
        <v>642</v>
      </c>
      <c r="F2099" s="3" t="s">
        <v>2901</v>
      </c>
      <c r="G2099" s="1">
        <v>36.9</v>
      </c>
      <c r="H2099" t="s">
        <v>2932</v>
      </c>
      <c r="I2099" t="s">
        <v>2953</v>
      </c>
      <c r="J2099" s="1">
        <v>4</v>
      </c>
      <c r="K2099" s="1">
        <v>1003.9169000000001</v>
      </c>
      <c r="L2099" s="1"/>
      <c r="M2099" s="1" t="str">
        <f>HYPERLINK("http://ms.phosphosite.org:5080/cgi-bin/plot-msms.cgi?MassType=1&amp;NumAxis=1&amp;Mod1=147&amp;Mod22=170&amp;Mod36=147&amp;Pep=MGMGNNYSGGYGTPDGLGGYGRGGGGSGGYYGQGGMSGGGWR&amp;Dta=/var/www/html/dta/yong/23613.11797.4.dta&amp;Global_Mod=CS57.0215", "11797")</f>
        <v>11797</v>
      </c>
      <c r="N2099" s="27"/>
      <c r="O2099" s="27">
        <v>49.84</v>
      </c>
      <c r="P2099" s="27"/>
      <c r="Q2099" s="27">
        <v>3.2770000000000001</v>
      </c>
      <c r="R2099" s="27"/>
      <c r="S2099" s="27">
        <v>0.39660000000000001</v>
      </c>
      <c r="T2099" s="27"/>
      <c r="U2099" s="27">
        <v>0.17419999999999999</v>
      </c>
      <c r="V2099" s="1"/>
      <c r="W2099" s="1">
        <v>2</v>
      </c>
      <c r="X2099" s="27"/>
      <c r="Y2099" s="27">
        <v>2.27</v>
      </c>
      <c r="Z2099" s="28"/>
      <c r="AA2099" s="28">
        <v>1000</v>
      </c>
      <c r="AB2099" s="1" t="s">
        <v>13</v>
      </c>
    </row>
    <row r="2100" spans="1:28">
      <c r="A2100" t="s">
        <v>580</v>
      </c>
      <c r="B2100" s="29" t="s">
        <v>2908</v>
      </c>
      <c r="C2100" s="26" t="s">
        <v>2909</v>
      </c>
      <c r="D2100" s="1">
        <v>323</v>
      </c>
      <c r="E2100" t="s">
        <v>642</v>
      </c>
      <c r="F2100" s="3" t="s">
        <v>2901</v>
      </c>
      <c r="G2100" s="1">
        <v>36.9</v>
      </c>
      <c r="H2100" t="s">
        <v>2932</v>
      </c>
      <c r="I2100" t="s">
        <v>2954</v>
      </c>
      <c r="J2100" s="1">
        <v>3</v>
      </c>
      <c r="K2100" s="1">
        <v>1332.8884</v>
      </c>
      <c r="L2100" s="1" t="str">
        <f>HYPERLINK("http://ms.phosphosite.org:5080/cgi-bin/plot-msms.cgi?MassType=1&amp;NumAxis=1&amp;Mod1=147&amp;Mod22=170&amp;Pep=MGMGNNYSGGYGTPDGLGGYGRGGGGSGGYYGQGGMSGGGWR&amp;Dta=/var/www/html/dta/yong/23612.12794.3.dta&amp;Global_Mod=CS57.0215", "12794")</f>
        <v>12794</v>
      </c>
      <c r="M2100" s="1"/>
      <c r="N2100" s="27">
        <v>53.53</v>
      </c>
      <c r="O2100" s="27"/>
      <c r="P2100" s="27">
        <v>4.5609999999999999</v>
      </c>
      <c r="Q2100" s="27"/>
      <c r="R2100" s="27">
        <v>0.65780000000000005</v>
      </c>
      <c r="S2100" s="27"/>
      <c r="T2100" s="27">
        <v>0.44840000000000002</v>
      </c>
      <c r="U2100" s="27"/>
      <c r="V2100" s="1">
        <v>1</v>
      </c>
      <c r="W2100" s="1"/>
      <c r="X2100" s="27">
        <v>3.81</v>
      </c>
      <c r="Y2100" s="27"/>
      <c r="Z2100" s="28">
        <v>1000</v>
      </c>
      <c r="AA2100" s="28"/>
      <c r="AB2100" s="1" t="s">
        <v>13</v>
      </c>
    </row>
    <row r="2101" spans="1:28">
      <c r="A2101" t="s">
        <v>580</v>
      </c>
      <c r="B2101" s="29" t="s">
        <v>2908</v>
      </c>
      <c r="C2101" s="26" t="s">
        <v>2909</v>
      </c>
      <c r="D2101" s="1">
        <v>323</v>
      </c>
      <c r="E2101" t="s">
        <v>642</v>
      </c>
      <c r="F2101" s="3" t="s">
        <v>2901</v>
      </c>
      <c r="G2101" s="1">
        <v>36.9</v>
      </c>
      <c r="H2101" t="s">
        <v>2932</v>
      </c>
      <c r="I2101" t="s">
        <v>2955</v>
      </c>
      <c r="J2101" s="1">
        <v>2</v>
      </c>
      <c r="K2101" s="1">
        <v>1011.9342</v>
      </c>
      <c r="L2101" s="1" t="str">
        <f>HYPERLINK("http://ms.phosphosite.org:5080/cgi-bin/plot-msms.cgi?MassType=1&amp;NumAxis=1&amp;Mod1=147&amp;Mod20=170&amp;Pep=MGNNYSGGYGTPDGLGGYGR&amp;Dta=/var/www/html/dta/yong/23612.9894.2.dta&amp;Global_Mod=CS57.0215", "9894")</f>
        <v>9894</v>
      </c>
      <c r="M2101" s="1" t="str">
        <f>HYPERLINK("http://ms.phosphosite.org:5080/cgi-bin/plot-msms.cgi?MassType=1&amp;NumAxis=1&amp;Mod1=147&amp;Mod20=170&amp;Pep=MGNNYSGGYGTPDGLGGYGR&amp;Dta=/var/www/html/dta/yong/23613.9957.2.dta&amp;Global_Mod=CS57.0215", "9957")</f>
        <v>9957</v>
      </c>
      <c r="N2101" s="27">
        <v>43.58</v>
      </c>
      <c r="O2101" s="27">
        <v>43.63</v>
      </c>
      <c r="P2101" s="27">
        <v>4.75</v>
      </c>
      <c r="Q2101" s="27">
        <v>4.3760000000000003</v>
      </c>
      <c r="R2101" s="27">
        <v>1.4157999999999999</v>
      </c>
      <c r="S2101" s="27">
        <v>0.66959999999999997</v>
      </c>
      <c r="T2101" s="27">
        <v>0.5645</v>
      </c>
      <c r="U2101" s="27">
        <v>0.58160000000000001</v>
      </c>
      <c r="V2101" s="1">
        <v>1</v>
      </c>
      <c r="W2101" s="1">
        <v>1</v>
      </c>
      <c r="X2101" s="27">
        <v>4.76</v>
      </c>
      <c r="Y2101" s="27">
        <v>4.87</v>
      </c>
      <c r="Z2101" s="28">
        <v>1000</v>
      </c>
      <c r="AA2101" s="28">
        <v>1000</v>
      </c>
      <c r="AB2101" s="1" t="s">
        <v>13</v>
      </c>
    </row>
    <row r="2102" spans="1:28">
      <c r="A2102" t="s">
        <v>580</v>
      </c>
      <c r="B2102" s="29" t="s">
        <v>2908</v>
      </c>
      <c r="C2102" s="26" t="s">
        <v>2909</v>
      </c>
      <c r="D2102" s="1">
        <v>323</v>
      </c>
      <c r="E2102" t="s">
        <v>642</v>
      </c>
      <c r="F2102" s="3" t="s">
        <v>2901</v>
      </c>
      <c r="G2102" s="1">
        <v>36.9</v>
      </c>
      <c r="H2102" t="s">
        <v>2932</v>
      </c>
      <c r="I2102" t="s">
        <v>2956</v>
      </c>
      <c r="J2102" s="1">
        <v>2</v>
      </c>
      <c r="K2102" s="1">
        <v>1105.9650999999999</v>
      </c>
      <c r="L2102" s="1" t="str">
        <f>HYPERLINK("http://ms.phosphosite.org:5080/cgi-bin/plot-msms.cgi?MassType=1&amp;NumAxis=1&amp;Mod3=147&amp;Mod22=170&amp;Pep=MGMGNNYSGGYGTPDGLGGYGR&amp;Dta=/var/www/html/dta/yong/23612.10606.2.dta&amp;Global_Mod=CS57.0215", "10606")</f>
        <v>10606</v>
      </c>
      <c r="M2102" s="1" t="str">
        <f>HYPERLINK("http://ms.phosphosite.org:5080/cgi-bin/plot-msms.cgi?MassType=1&amp;NumAxis=1&amp;Mod3=147&amp;Mod22=170&amp;Pep=MGMGNNYSGGYGTPDGLGGYGR&amp;Dta=/var/www/html/dta/yong/23613.11117.2.dta&amp;Global_Mod=CS57.0215", "11117")</f>
        <v>11117</v>
      </c>
      <c r="N2102" s="27">
        <v>46.11</v>
      </c>
      <c r="O2102" s="27">
        <v>47.6</v>
      </c>
      <c r="P2102" s="27">
        <v>5.5629999999999997</v>
      </c>
      <c r="Q2102" s="27">
        <v>5.41</v>
      </c>
      <c r="R2102" s="27">
        <v>1.4281999999999999</v>
      </c>
      <c r="S2102" s="27">
        <v>1.7769999999999999</v>
      </c>
      <c r="T2102" s="27">
        <v>0.56010000000000004</v>
      </c>
      <c r="U2102" s="27">
        <v>0.56369999999999998</v>
      </c>
      <c r="V2102" s="1">
        <v>1</v>
      </c>
      <c r="W2102" s="1">
        <v>1</v>
      </c>
      <c r="X2102" s="27">
        <v>4.87</v>
      </c>
      <c r="Y2102" s="27">
        <v>4.91</v>
      </c>
      <c r="Z2102" s="28">
        <v>1000</v>
      </c>
      <c r="AA2102" s="28">
        <v>1000</v>
      </c>
      <c r="AB2102" s="1" t="s">
        <v>13</v>
      </c>
    </row>
    <row r="2103" spans="1:28">
      <c r="A2103" t="s">
        <v>580</v>
      </c>
      <c r="B2103" s="29" t="s">
        <v>2908</v>
      </c>
      <c r="C2103" s="26" t="s">
        <v>2909</v>
      </c>
      <c r="D2103" s="1">
        <v>323</v>
      </c>
      <c r="E2103" t="s">
        <v>642</v>
      </c>
      <c r="F2103" s="3" t="s">
        <v>2901</v>
      </c>
      <c r="G2103" s="1">
        <v>36.9</v>
      </c>
      <c r="H2103" t="s">
        <v>2932</v>
      </c>
      <c r="I2103" t="s">
        <v>2956</v>
      </c>
      <c r="J2103" s="1">
        <v>2</v>
      </c>
      <c r="K2103" s="1">
        <v>1105.9650999999999</v>
      </c>
      <c r="L2103" s="1" t="str">
        <f>HYPERLINK("http://ms.phosphosite.org:5080/cgi-bin/plot-msms.cgi?MassType=1&amp;NumAxis=1&amp;Mod3=147&amp;Mod22=170&amp;Pep=MGMGNNYSGGYGTPDGLGGYGR&amp;Dta=/var/www/html/dta/yong/23612.10807.2.dta&amp;Global_Mod=CS57.0215", "10807")</f>
        <v>10807</v>
      </c>
      <c r="M2103" s="1" t="str">
        <f>HYPERLINK("http://ms.phosphosite.org:5080/cgi-bin/plot-msms.cgi?MassType=1&amp;NumAxis=1&amp;Mod3=147&amp;Mod22=170&amp;Pep=MGMGNNYSGGYGTPDGLGGYGR&amp;Dta=/var/www/html/dta/yong/23613.10484.2.dta&amp;Global_Mod=CS57.0215", "10484")</f>
        <v>10484</v>
      </c>
      <c r="N2103" s="27">
        <v>46.79</v>
      </c>
      <c r="O2103" s="27">
        <v>45.42</v>
      </c>
      <c r="P2103" s="27">
        <v>5.7</v>
      </c>
      <c r="Q2103" s="27">
        <v>6.0190000000000001</v>
      </c>
      <c r="R2103" s="27">
        <v>1.3039000000000001</v>
      </c>
      <c r="S2103" s="27">
        <v>1.1062000000000001</v>
      </c>
      <c r="T2103" s="27">
        <v>0.61719999999999997</v>
      </c>
      <c r="U2103" s="27">
        <v>0.61350000000000005</v>
      </c>
      <c r="V2103" s="1">
        <v>1</v>
      </c>
      <c r="W2103" s="1">
        <v>1</v>
      </c>
      <c r="X2103" s="27">
        <v>5.19</v>
      </c>
      <c r="Y2103" s="27">
        <v>5.31</v>
      </c>
      <c r="Z2103" s="28">
        <v>1000</v>
      </c>
      <c r="AA2103" s="28">
        <v>1000</v>
      </c>
      <c r="AB2103" s="1" t="s">
        <v>13</v>
      </c>
    </row>
    <row r="2104" spans="1:28">
      <c r="A2104" t="s">
        <v>580</v>
      </c>
      <c r="B2104" s="29" t="s">
        <v>2908</v>
      </c>
      <c r="C2104" s="26" t="s">
        <v>2909</v>
      </c>
      <c r="D2104" s="1">
        <v>323</v>
      </c>
      <c r="E2104" t="s">
        <v>642</v>
      </c>
      <c r="F2104" s="3" t="s">
        <v>2901</v>
      </c>
      <c r="G2104" s="1">
        <v>36.9</v>
      </c>
      <c r="H2104" t="s">
        <v>2932</v>
      </c>
      <c r="I2104" t="s">
        <v>2956</v>
      </c>
      <c r="J2104" s="1">
        <v>2</v>
      </c>
      <c r="K2104" s="1">
        <v>1105.9650999999999</v>
      </c>
      <c r="L2104" s="1" t="str">
        <f>HYPERLINK("http://ms.phosphosite.org:5080/cgi-bin/plot-msms.cgi?MassType=1&amp;NumAxis=1&amp;Mod3=147&amp;Mod22=170&amp;Pep=MGMGNNYSGGYGTPDGLGGYGR&amp;Dta=/var/www/html/dta/yong/23612.11034.2.dta&amp;Global_Mod=CS57.0215", "11034")</f>
        <v>11034</v>
      </c>
      <c r="M2104" s="1" t="str">
        <f>HYPERLINK("http://ms.phosphosite.org:5080/cgi-bin/plot-msms.cgi?MassType=1&amp;NumAxis=1&amp;Mod3=147&amp;Mod22=170&amp;Pep=MGMGNNYSGGYGTPDGLGGYGR&amp;Dta=/var/www/html/dta/yong/23613.10901.2.dta&amp;Global_Mod=CS57.0215", "10901")</f>
        <v>10901</v>
      </c>
      <c r="N2104" s="27">
        <v>47.57</v>
      </c>
      <c r="O2104" s="27">
        <v>46.86</v>
      </c>
      <c r="P2104" s="27">
        <v>5.149</v>
      </c>
      <c r="Q2104" s="27">
        <v>5.7430000000000003</v>
      </c>
      <c r="R2104" s="27">
        <v>1.4682999999999999</v>
      </c>
      <c r="S2104" s="27">
        <v>1.1801999999999999</v>
      </c>
      <c r="T2104" s="27">
        <v>0.55740000000000001</v>
      </c>
      <c r="U2104" s="27">
        <v>0.59840000000000004</v>
      </c>
      <c r="V2104" s="1">
        <v>1</v>
      </c>
      <c r="W2104" s="1">
        <v>1</v>
      </c>
      <c r="X2104" s="27">
        <v>4.78</v>
      </c>
      <c r="Y2104" s="27">
        <v>5.18</v>
      </c>
      <c r="Z2104" s="28">
        <v>1000</v>
      </c>
      <c r="AA2104" s="28">
        <v>1000</v>
      </c>
      <c r="AB2104" s="1" t="s">
        <v>13</v>
      </c>
    </row>
    <row r="2105" spans="1:28">
      <c r="A2105" t="s">
        <v>580</v>
      </c>
      <c r="B2105" s="29" t="s">
        <v>2908</v>
      </c>
      <c r="C2105" s="26" t="s">
        <v>2909</v>
      </c>
      <c r="D2105" s="1">
        <v>323</v>
      </c>
      <c r="E2105" t="s">
        <v>642</v>
      </c>
      <c r="F2105" s="3" t="s">
        <v>2901</v>
      </c>
      <c r="G2105" s="1">
        <v>36.9</v>
      </c>
      <c r="H2105" t="s">
        <v>2932</v>
      </c>
      <c r="I2105" t="s">
        <v>2956</v>
      </c>
      <c r="J2105" s="1">
        <v>2</v>
      </c>
      <c r="K2105" s="1">
        <v>1105.9650999999999</v>
      </c>
      <c r="L2105" s="1" t="str">
        <f>HYPERLINK("http://ms.phosphosite.org:5080/cgi-bin/plot-msms.cgi?MassType=1&amp;NumAxis=1&amp;Mod3=147&amp;Mod22=170&amp;Pep=MGMGNNYSGGYGTPDGLGGYGR&amp;Dta=/var/www/html/dta/yong/23612.10677.2.dta&amp;Global_Mod=CS57.0215", "10677")</f>
        <v>10677</v>
      </c>
      <c r="M2105" s="1" t="str">
        <f>HYPERLINK("http://ms.phosphosite.org:5080/cgi-bin/plot-msms.cgi?MassType=1&amp;NumAxis=1&amp;Mod3=147&amp;Mod22=170&amp;Pep=MGMGNNYSGGYGTPDGLGGYGR&amp;Dta=/var/www/html/dta/yong/23613.10767.2.dta&amp;Global_Mod=CS57.0215", "10767")</f>
        <v>10767</v>
      </c>
      <c r="N2105" s="27">
        <v>46.37</v>
      </c>
      <c r="O2105" s="27">
        <v>46.42</v>
      </c>
      <c r="P2105" s="27">
        <v>5.4950000000000001</v>
      </c>
      <c r="Q2105" s="27">
        <v>6.181</v>
      </c>
      <c r="R2105" s="27">
        <v>1.6238999999999999</v>
      </c>
      <c r="S2105" s="27">
        <v>1.8044</v>
      </c>
      <c r="T2105" s="27">
        <v>0.56279999999999997</v>
      </c>
      <c r="U2105" s="27">
        <v>0.61370000000000002</v>
      </c>
      <c r="V2105" s="1">
        <v>1</v>
      </c>
      <c r="W2105" s="1">
        <v>1</v>
      </c>
      <c r="X2105" s="27">
        <v>4.8600000000000003</v>
      </c>
      <c r="Y2105" s="27">
        <v>5.31</v>
      </c>
      <c r="Z2105" s="28">
        <v>1000</v>
      </c>
      <c r="AA2105" s="28">
        <v>1000</v>
      </c>
      <c r="AB2105" s="1" t="s">
        <v>13</v>
      </c>
    </row>
    <row r="2106" spans="1:28">
      <c r="A2106" t="s">
        <v>580</v>
      </c>
      <c r="B2106" s="29" t="s">
        <v>2908</v>
      </c>
      <c r="C2106" s="26" t="s">
        <v>2909</v>
      </c>
      <c r="D2106" s="1">
        <v>323</v>
      </c>
      <c r="E2106" t="s">
        <v>642</v>
      </c>
      <c r="F2106" s="3" t="s">
        <v>2901</v>
      </c>
      <c r="G2106" s="1">
        <v>36.9</v>
      </c>
      <c r="H2106" t="s">
        <v>2932</v>
      </c>
      <c r="I2106" t="s">
        <v>2957</v>
      </c>
      <c r="J2106" s="1">
        <v>3</v>
      </c>
      <c r="K2106" s="1">
        <v>1138.1278</v>
      </c>
      <c r="L2106" s="1" t="str">
        <f>HYPERLINK("http://ms.phosphosite.org:5080/cgi-bin/plot-msms.cgi?MassType=1&amp;NumAxis=1&amp;Mod3=147&amp;Mod22=170&amp;Mod36=147&amp;Pep=MGMGNNYSGGYGTPDGLGGYGRGGGGSGGYYGQGGM&amp;Dta=/var/www/html/dta/yong/23612.11214.3.dta&amp;Global_Mod=CS57.0215", "11214")</f>
        <v>11214</v>
      </c>
      <c r="M2106" s="1"/>
      <c r="N2106" s="27">
        <v>48.17</v>
      </c>
      <c r="O2106" s="27"/>
      <c r="P2106" s="27">
        <v>4.4189999999999996</v>
      </c>
      <c r="Q2106" s="27"/>
      <c r="R2106" s="27">
        <v>0.51549999999999996</v>
      </c>
      <c r="S2106" s="27"/>
      <c r="T2106" s="27">
        <v>0.44840000000000002</v>
      </c>
      <c r="U2106" s="27"/>
      <c r="V2106" s="1">
        <v>1</v>
      </c>
      <c r="W2106" s="1"/>
      <c r="X2106" s="27">
        <v>3.86</v>
      </c>
      <c r="Y2106" s="27"/>
      <c r="Z2106" s="28">
        <v>1000</v>
      </c>
      <c r="AA2106" s="28"/>
      <c r="AB2106" s="1" t="s">
        <v>13</v>
      </c>
    </row>
    <row r="2107" spans="1:28">
      <c r="A2107" t="s">
        <v>580</v>
      </c>
      <c r="B2107" s="29" t="s">
        <v>2908</v>
      </c>
      <c r="C2107" s="26" t="s">
        <v>2909</v>
      </c>
      <c r="D2107" s="1">
        <v>323</v>
      </c>
      <c r="E2107" t="s">
        <v>642</v>
      </c>
      <c r="F2107" s="3" t="s">
        <v>2901</v>
      </c>
      <c r="G2107" s="1">
        <v>36.9</v>
      </c>
      <c r="H2107" t="s">
        <v>2932</v>
      </c>
      <c r="I2107" t="s">
        <v>2958</v>
      </c>
      <c r="J2107" s="1">
        <v>3</v>
      </c>
      <c r="K2107" s="1">
        <v>1338.2201</v>
      </c>
      <c r="L2107" s="1" t="str">
        <f>HYPERLINK("http://ms.phosphosite.org:5080/cgi-bin/plot-msms.cgi?MassType=1&amp;NumAxis=1&amp;Mod3=147&amp;Mod22=170&amp;Mod36=147&amp;Pep=MGMGNNYSGGYGTPDGLGGYGRGGGGSGGYYGQGGMSGGGWR&amp;Dta=/var/www/html/dta/yong/23612.11657.3.dta&amp;Global_Mod=CS57.0215", "11657")</f>
        <v>11657</v>
      </c>
      <c r="M2107" s="1" t="str">
        <f>HYPERLINK("http://ms.phosphosite.org:5080/cgi-bin/plot-msms.cgi?MassType=1&amp;NumAxis=1&amp;Mod3=147&amp;Mod22=170&amp;Mod36=147&amp;Pep=MGMGNNYSGGYGTPDGLGGYGRGGGGSGGYYGQGGMSGGGWR&amp;Dta=/var/www/html/dta/yong/23613.12026.3.dta&amp;Global_Mod=CS57.0215", "12026")</f>
        <v>12026</v>
      </c>
      <c r="N2107" s="27">
        <v>49.68</v>
      </c>
      <c r="O2107" s="27">
        <v>50.57</v>
      </c>
      <c r="P2107" s="27">
        <v>4.8959999999999999</v>
      </c>
      <c r="Q2107" s="27">
        <v>4.0709999999999997</v>
      </c>
      <c r="R2107" s="27">
        <v>0.71089999999999998</v>
      </c>
      <c r="S2107" s="27">
        <v>1.2881</v>
      </c>
      <c r="T2107" s="27">
        <v>0.48680000000000001</v>
      </c>
      <c r="U2107" s="27">
        <v>0.41089999999999999</v>
      </c>
      <c r="V2107" s="1">
        <v>1</v>
      </c>
      <c r="W2107" s="1">
        <v>1</v>
      </c>
      <c r="X2107" s="27">
        <v>4.0599999999999996</v>
      </c>
      <c r="Y2107" s="27">
        <v>3.52</v>
      </c>
      <c r="Z2107" s="28">
        <v>1000</v>
      </c>
      <c r="AA2107" s="28">
        <v>1000</v>
      </c>
      <c r="AB2107" s="1" t="s">
        <v>13</v>
      </c>
    </row>
    <row r="2108" spans="1:28">
      <c r="A2108" t="s">
        <v>580</v>
      </c>
      <c r="B2108" s="29" t="s">
        <v>2908</v>
      </c>
      <c r="C2108" s="26" t="s">
        <v>2909</v>
      </c>
      <c r="D2108" s="1">
        <v>323</v>
      </c>
      <c r="E2108" t="s">
        <v>642</v>
      </c>
      <c r="F2108" s="3" t="s">
        <v>2901</v>
      </c>
      <c r="G2108" s="1">
        <v>36.9</v>
      </c>
      <c r="H2108" t="s">
        <v>2932</v>
      </c>
      <c r="I2108" t="s">
        <v>2958</v>
      </c>
      <c r="J2108" s="1">
        <v>3</v>
      </c>
      <c r="K2108" s="1">
        <v>1338.2201</v>
      </c>
      <c r="L2108" s="1" t="str">
        <f>HYPERLINK("http://ms.phosphosite.org:5080/cgi-bin/plot-msms.cgi?MassType=1&amp;NumAxis=1&amp;Mod3=147&amp;Mod22=170&amp;Mod36=147&amp;Pep=MGMGNNYSGGYGTPDGLGGYGRGGGGSGGYYGQGGMSGGGWR&amp;Dta=/var/www/html/dta/yong/23612.11522.3.dta&amp;Global_Mod=CS57.0215", "11522")</f>
        <v>11522</v>
      </c>
      <c r="M2108" s="1" t="str">
        <f>HYPERLINK("http://ms.phosphosite.org:5080/cgi-bin/plot-msms.cgi?MassType=1&amp;NumAxis=1&amp;Mod3=147&amp;Mod22=170&amp;Mod36=147&amp;Pep=MGMGNNYSGGYGTPDGLGGYGRGGGGSGGYYGQGGMSGGGWR&amp;Dta=/var/www/html/dta/yong/23613.11948.3.dta&amp;Global_Mod=CS57.0215", "11948")</f>
        <v>11948</v>
      </c>
      <c r="N2108" s="27">
        <v>49.23</v>
      </c>
      <c r="O2108" s="27">
        <v>50.33</v>
      </c>
      <c r="P2108" s="27">
        <v>4.4939999999999998</v>
      </c>
      <c r="Q2108" s="27">
        <v>5.2539999999999996</v>
      </c>
      <c r="R2108" s="27">
        <v>0.35849999999999999</v>
      </c>
      <c r="S2108" s="27">
        <v>1.1386000000000001</v>
      </c>
      <c r="T2108" s="27">
        <v>0.48670000000000002</v>
      </c>
      <c r="U2108" s="27">
        <v>0.51590000000000003</v>
      </c>
      <c r="V2108" s="1">
        <v>1</v>
      </c>
      <c r="W2108" s="1">
        <v>1</v>
      </c>
      <c r="X2108" s="27">
        <v>4</v>
      </c>
      <c r="Y2108" s="27">
        <v>4.28</v>
      </c>
      <c r="Z2108" s="28">
        <v>1000</v>
      </c>
      <c r="AA2108" s="28">
        <v>1000</v>
      </c>
      <c r="AB2108" s="1" t="s">
        <v>13</v>
      </c>
    </row>
    <row r="2109" spans="1:28">
      <c r="A2109" t="s">
        <v>580</v>
      </c>
      <c r="B2109" s="29" t="s">
        <v>2908</v>
      </c>
      <c r="C2109" s="26" t="s">
        <v>2909</v>
      </c>
      <c r="D2109" s="1">
        <v>323</v>
      </c>
      <c r="E2109" t="s">
        <v>642</v>
      </c>
      <c r="F2109" s="3" t="s">
        <v>2901</v>
      </c>
      <c r="G2109" s="1">
        <v>36.9</v>
      </c>
      <c r="H2109" t="s">
        <v>2932</v>
      </c>
      <c r="I2109" t="s">
        <v>2958</v>
      </c>
      <c r="J2109" s="1">
        <v>3</v>
      </c>
      <c r="K2109" s="1">
        <v>1338.2201</v>
      </c>
      <c r="L2109" s="1" t="str">
        <f>HYPERLINK("http://ms.phosphosite.org:5080/cgi-bin/plot-msms.cgi?MassType=1&amp;NumAxis=1&amp;Mod3=147&amp;Mod22=170&amp;Mod36=147&amp;Pep=MGMGNNYSGGYGTPDGLGGYGRGGGGSGGYYGQGGMSGGGWR&amp;Dta=/var/www/html/dta/yong/23612.11783.3.dta&amp;Global_Mod=CS57.0215", "11783")</f>
        <v>11783</v>
      </c>
      <c r="M2109" s="1" t="str">
        <f>HYPERLINK("http://ms.phosphosite.org:5080/cgi-bin/plot-msms.cgi?MassType=1&amp;NumAxis=1&amp;Mod3=147&amp;Mod22=170&amp;Mod36=147&amp;Pep=MGMGNNYSGGYGTPDGLGGYGRGGGGSGGYYGQGGMSGGGWR&amp;Dta=/var/www/html/dta/yong/23613.11712.3.dta&amp;Global_Mod=CS57.0215", "11712")</f>
        <v>11712</v>
      </c>
      <c r="N2109" s="27">
        <v>50.1</v>
      </c>
      <c r="O2109" s="27">
        <v>49.56</v>
      </c>
      <c r="P2109" s="27">
        <v>4.4420000000000002</v>
      </c>
      <c r="Q2109" s="27">
        <v>3.6280000000000001</v>
      </c>
      <c r="R2109" s="27">
        <v>0.95589999999999997</v>
      </c>
      <c r="S2109" s="27">
        <v>0.7036</v>
      </c>
      <c r="T2109" s="27">
        <v>0.44400000000000001</v>
      </c>
      <c r="U2109" s="27">
        <v>0.2717</v>
      </c>
      <c r="V2109" s="1">
        <v>1</v>
      </c>
      <c r="W2109" s="1">
        <v>1</v>
      </c>
      <c r="X2109" s="27">
        <v>3.75</v>
      </c>
      <c r="Y2109" s="27">
        <v>2.77</v>
      </c>
      <c r="Z2109" s="28">
        <v>1000</v>
      </c>
      <c r="AA2109" s="28">
        <v>1000</v>
      </c>
      <c r="AB2109" s="1" t="s">
        <v>13</v>
      </c>
    </row>
    <row r="2110" spans="1:28">
      <c r="A2110" t="s">
        <v>580</v>
      </c>
      <c r="B2110" s="29" t="s">
        <v>2908</v>
      </c>
      <c r="C2110" s="26" t="s">
        <v>2909</v>
      </c>
      <c r="D2110" s="1">
        <v>323</v>
      </c>
      <c r="E2110" t="s">
        <v>642</v>
      </c>
      <c r="F2110" s="3" t="s">
        <v>2901</v>
      </c>
      <c r="G2110" s="1">
        <v>36.9</v>
      </c>
      <c r="H2110" t="s">
        <v>2932</v>
      </c>
      <c r="I2110" t="s">
        <v>2958</v>
      </c>
      <c r="J2110" s="1">
        <v>3</v>
      </c>
      <c r="K2110" s="1">
        <v>1338.2201</v>
      </c>
      <c r="L2110" s="1" t="str">
        <f>HYPERLINK("http://ms.phosphosite.org:5080/cgi-bin/plot-msms.cgi?MassType=1&amp;NumAxis=1&amp;Mod3=147&amp;Mod22=170&amp;Mod36=147&amp;Pep=MGMGNNYSGGYGTPDGLGGYGRGGGGSGGYYGQGGMSGGGWR&amp;Dta=/var/www/html/dta/yong/23612.11798.3.dta&amp;Global_Mod=CS57.0215", "11798")</f>
        <v>11798</v>
      </c>
      <c r="M2110" s="1" t="str">
        <f>HYPERLINK("http://ms.phosphosite.org:5080/cgi-bin/plot-msms.cgi?MassType=1&amp;NumAxis=1&amp;Mod3=147&amp;Mod22=170&amp;Mod36=147&amp;Pep=MGMGNNYSGGYGTPDGLGGYGRGGGGSGGYYGQGGMSGGGWR&amp;Dta=/var/www/html/dta/yong/23613.11870.3.dta&amp;Global_Mod=CS57.0215", "11870")</f>
        <v>11870</v>
      </c>
      <c r="N2110" s="27">
        <v>50.16</v>
      </c>
      <c r="O2110" s="27">
        <v>50.08</v>
      </c>
      <c r="P2110" s="27">
        <v>3.8769999999999998</v>
      </c>
      <c r="Q2110" s="27">
        <v>4.8310000000000004</v>
      </c>
      <c r="R2110" s="27">
        <v>0.81320000000000003</v>
      </c>
      <c r="S2110" s="27">
        <v>0.72419999999999995</v>
      </c>
      <c r="T2110" s="27">
        <v>0.43909999999999999</v>
      </c>
      <c r="U2110" s="27">
        <v>0.40450000000000003</v>
      </c>
      <c r="V2110" s="1">
        <v>1</v>
      </c>
      <c r="W2110" s="1">
        <v>1</v>
      </c>
      <c r="X2110" s="27">
        <v>3.63</v>
      </c>
      <c r="Y2110" s="27">
        <v>3.67</v>
      </c>
      <c r="Z2110" s="28">
        <v>1000</v>
      </c>
      <c r="AA2110" s="28">
        <v>1000</v>
      </c>
      <c r="AB2110" s="1" t="s">
        <v>13</v>
      </c>
    </row>
    <row r="2111" spans="1:28">
      <c r="A2111" t="s">
        <v>580</v>
      </c>
      <c r="B2111" s="29" t="s">
        <v>2908</v>
      </c>
      <c r="C2111" s="26" t="s">
        <v>2909</v>
      </c>
      <c r="D2111" s="1">
        <v>323</v>
      </c>
      <c r="E2111" t="s">
        <v>642</v>
      </c>
      <c r="F2111" s="3" t="s">
        <v>2901</v>
      </c>
      <c r="G2111" s="1">
        <v>36.9</v>
      </c>
      <c r="H2111" t="s">
        <v>2932</v>
      </c>
      <c r="I2111" t="s">
        <v>2958</v>
      </c>
      <c r="J2111" s="1">
        <v>3</v>
      </c>
      <c r="K2111" s="1">
        <v>1338.2201</v>
      </c>
      <c r="L2111" s="1"/>
      <c r="M2111" s="1" t="str">
        <f>HYPERLINK("http://ms.phosphosite.org:5080/cgi-bin/plot-msms.cgi?MassType=1&amp;NumAxis=1&amp;Mod3=147&amp;Mod22=170&amp;Mod36=147&amp;Pep=MGMGNNYSGGYGTPDGLGGYGRGGGGSGGYYGQGGMSGGGWR&amp;Dta=/var/www/html/dta/yong/23613.11847.3.dta&amp;Global_Mod=CS57.0215", "11847")</f>
        <v>11847</v>
      </c>
      <c r="N2111" s="27"/>
      <c r="O2111" s="27">
        <v>50</v>
      </c>
      <c r="P2111" s="27"/>
      <c r="Q2111" s="27">
        <v>3.4</v>
      </c>
      <c r="R2111" s="27"/>
      <c r="S2111" s="27">
        <v>-0.39429999999999998</v>
      </c>
      <c r="T2111" s="27"/>
      <c r="U2111" s="27">
        <v>0.184</v>
      </c>
      <c r="V2111" s="1"/>
      <c r="W2111" s="1">
        <v>3</v>
      </c>
      <c r="X2111" s="27"/>
      <c r="Y2111" s="27">
        <v>2.2599999999999998</v>
      </c>
      <c r="Z2111" s="28"/>
      <c r="AA2111" s="28">
        <v>1000</v>
      </c>
      <c r="AB2111" s="1" t="s">
        <v>13</v>
      </c>
    </row>
    <row r="2112" spans="1:28">
      <c r="A2112" t="s">
        <v>580</v>
      </c>
      <c r="B2112" s="29" t="s">
        <v>2908</v>
      </c>
      <c r="C2112" s="26" t="s">
        <v>2909</v>
      </c>
      <c r="D2112" s="1">
        <v>323</v>
      </c>
      <c r="E2112" t="s">
        <v>642</v>
      </c>
      <c r="F2112" s="3" t="s">
        <v>2901</v>
      </c>
      <c r="G2112" s="1">
        <v>36.9</v>
      </c>
      <c r="H2112" t="s">
        <v>2932</v>
      </c>
      <c r="I2112" t="s">
        <v>2959</v>
      </c>
      <c r="J2112" s="1">
        <v>3</v>
      </c>
      <c r="K2112" s="1">
        <v>1332.8884</v>
      </c>
      <c r="L2112" s="1" t="str">
        <f>HYPERLINK("http://ms.phosphosite.org:5080/cgi-bin/plot-msms.cgi?MassType=1&amp;NumAxis=1&amp;Mod3=147&amp;Mod22=170&amp;Pep=MGMGNNYSGGYGTPDGLGGYGRGGGGSGGYYGQGGMSGGGWR&amp;Dta=/var/www/html/dta/yong/23612.12861.3.dta&amp;Global_Mod=CS57.0215", "12861")</f>
        <v>12861</v>
      </c>
      <c r="M2112" s="1"/>
      <c r="N2112" s="27">
        <v>53.75</v>
      </c>
      <c r="O2112" s="27"/>
      <c r="P2112" s="27">
        <v>3.97</v>
      </c>
      <c r="Q2112" s="27"/>
      <c r="R2112" s="27">
        <v>0.65780000000000005</v>
      </c>
      <c r="S2112" s="27"/>
      <c r="T2112" s="27">
        <v>0.26690000000000003</v>
      </c>
      <c r="U2112" s="27"/>
      <c r="V2112" s="1">
        <v>1</v>
      </c>
      <c r="W2112" s="1"/>
      <c r="X2112" s="27">
        <v>2.8</v>
      </c>
      <c r="Y2112" s="27"/>
      <c r="Z2112" s="28">
        <v>1000</v>
      </c>
      <c r="AA2112" s="28"/>
      <c r="AB2112" s="1" t="s">
        <v>13</v>
      </c>
    </row>
    <row r="2113" spans="1:28">
      <c r="A2113" t="s">
        <v>580</v>
      </c>
      <c r="B2113" s="29" t="s">
        <v>2908</v>
      </c>
      <c r="C2113" s="26" t="s">
        <v>2909</v>
      </c>
      <c r="D2113" s="1">
        <v>323</v>
      </c>
      <c r="E2113" t="s">
        <v>642</v>
      </c>
      <c r="F2113" s="3" t="s">
        <v>2901</v>
      </c>
      <c r="G2113" s="1">
        <v>36.9</v>
      </c>
      <c r="H2113" t="s">
        <v>2932</v>
      </c>
      <c r="I2113" t="s">
        <v>2959</v>
      </c>
      <c r="J2113" s="1">
        <v>3</v>
      </c>
      <c r="K2113" s="1">
        <v>1332.8884</v>
      </c>
      <c r="L2113" s="1" t="str">
        <f>HYPERLINK("http://ms.phosphosite.org:5080/cgi-bin/plot-msms.cgi?MassType=1&amp;NumAxis=1&amp;Mod3=147&amp;Mod22=170&amp;Pep=MGMGNNYSGGYGTPDGLGGYGRGGGGSGGYYGQGGMSGGGWR&amp;Dta=/var/www/html/dta/yong/23612.12608.3.dta&amp;Global_Mod=CS57.0215", "12608")</f>
        <v>12608</v>
      </c>
      <c r="M2113" s="1"/>
      <c r="N2113" s="27">
        <v>52.91</v>
      </c>
      <c r="O2113" s="27"/>
      <c r="P2113" s="27">
        <v>4.843</v>
      </c>
      <c r="Q2113" s="27"/>
      <c r="R2113" s="27">
        <v>0.82210000000000005</v>
      </c>
      <c r="S2113" s="27"/>
      <c r="T2113" s="27">
        <v>0.32990000000000003</v>
      </c>
      <c r="U2113" s="27"/>
      <c r="V2113" s="1">
        <v>1</v>
      </c>
      <c r="W2113" s="1"/>
      <c r="X2113" s="27">
        <v>3.27</v>
      </c>
      <c r="Y2113" s="27"/>
      <c r="Z2113" s="28">
        <v>1000</v>
      </c>
      <c r="AA2113" s="28"/>
      <c r="AB2113" s="1" t="s">
        <v>13</v>
      </c>
    </row>
    <row r="2114" spans="1:28">
      <c r="A2114" t="s">
        <v>580</v>
      </c>
      <c r="B2114" s="29" t="s">
        <v>2908</v>
      </c>
      <c r="C2114" s="26" t="s">
        <v>2909</v>
      </c>
      <c r="D2114" s="1">
        <v>323</v>
      </c>
      <c r="E2114" t="s">
        <v>642</v>
      </c>
      <c r="F2114" s="3" t="s">
        <v>2901</v>
      </c>
      <c r="G2114" s="1">
        <v>36.9</v>
      </c>
      <c r="H2114" t="s">
        <v>2932</v>
      </c>
      <c r="I2114" t="s">
        <v>2959</v>
      </c>
      <c r="J2114" s="1">
        <v>4</v>
      </c>
      <c r="K2114" s="1">
        <v>999.91809999999998</v>
      </c>
      <c r="L2114" s="1" t="str">
        <f>HYPERLINK("http://ms.phosphosite.org:5080/cgi-bin/plot-msms.cgi?MassType=1&amp;NumAxis=1&amp;Mod3=147&amp;Mod22=170&amp;Pep=MGMGNNYSGGYGTPDGLGGYGRGGGGSGGYYGQGGMSGGGWR&amp;Dta=/var/www/html/dta/yong/23612.12767.4.dta&amp;Global_Mod=CS57.0215", "12767")</f>
        <v>12767</v>
      </c>
      <c r="M2114" s="1" t="str">
        <f>HYPERLINK("http://ms.phosphosite.org:5080/cgi-bin/plot-msms.cgi?MassType=1&amp;NumAxis=1&amp;Mod3=147&amp;Mod22=170&amp;Pep=MGMGNNYSGGYGTPDGLGGYGRGGGGSGGYYGQGGMSGGGWR&amp;Dta=/var/www/html/dta/yong/23613.12719.4.dta&amp;Global_Mod=CS57.0215", "12719")</f>
        <v>12719</v>
      </c>
      <c r="N2114" s="27">
        <v>53.43</v>
      </c>
      <c r="O2114" s="27">
        <v>52.96</v>
      </c>
      <c r="P2114" s="27">
        <v>5.2690000000000001</v>
      </c>
      <c r="Q2114" s="27">
        <v>3.5920000000000001</v>
      </c>
      <c r="R2114" s="27">
        <v>0.2145</v>
      </c>
      <c r="S2114" s="27">
        <v>0.65529999999999999</v>
      </c>
      <c r="T2114" s="27">
        <v>0.37840000000000001</v>
      </c>
      <c r="U2114" s="27">
        <v>0.126</v>
      </c>
      <c r="V2114" s="1">
        <v>1</v>
      </c>
      <c r="W2114" s="1">
        <v>1</v>
      </c>
      <c r="X2114" s="27">
        <v>3.66</v>
      </c>
      <c r="Y2114" s="27">
        <v>2.09</v>
      </c>
      <c r="Z2114" s="28">
        <v>1000</v>
      </c>
      <c r="AA2114" s="28">
        <v>1000</v>
      </c>
      <c r="AB2114" s="1" t="s">
        <v>13</v>
      </c>
    </row>
    <row r="2115" spans="1:28">
      <c r="A2115" t="s">
        <v>580</v>
      </c>
      <c r="B2115" s="29" t="s">
        <v>2908</v>
      </c>
      <c r="C2115" s="26" t="s">
        <v>2909</v>
      </c>
      <c r="D2115" s="1">
        <v>323</v>
      </c>
      <c r="E2115" t="s">
        <v>642</v>
      </c>
      <c r="F2115" s="3" t="s">
        <v>2901</v>
      </c>
      <c r="G2115" s="1">
        <v>36.9</v>
      </c>
      <c r="H2115" t="s">
        <v>2932</v>
      </c>
      <c r="I2115" t="s">
        <v>2960</v>
      </c>
      <c r="J2115" s="1">
        <v>2</v>
      </c>
      <c r="K2115" s="1">
        <v>1097.9676999999999</v>
      </c>
      <c r="L2115" s="1" t="str">
        <f>HYPERLINK("http://ms.phosphosite.org:5080/cgi-bin/plot-msms.cgi?MassType=1&amp;NumAxis=1&amp;Mod22=170&amp;Pep=MGMGNNYSGGYGTPDGLGGYGR&amp;Dta=/var/www/html/dta/yong/23612.11950.2.dta&amp;Global_Mod=CS57.0215", "11950")</f>
        <v>11950</v>
      </c>
      <c r="M2115" s="1" t="str">
        <f>HYPERLINK("http://ms.phosphosite.org:5080/cgi-bin/plot-msms.cgi?MassType=1&amp;NumAxis=1&amp;Mod22=170&amp;Pep=MGMGNNYSGGYGTPDGLGGYGR&amp;Dta=/var/www/html/dta/yong/23613.12033.2.dta&amp;Global_Mod=CS57.0215", "12033")</f>
        <v>12033</v>
      </c>
      <c r="N2115" s="27">
        <v>50.62</v>
      </c>
      <c r="O2115" s="27">
        <v>50.59</v>
      </c>
      <c r="P2115" s="27">
        <v>5.2880000000000003</v>
      </c>
      <c r="Q2115" s="27">
        <v>5.5880000000000001</v>
      </c>
      <c r="R2115" s="27">
        <v>1.2505999999999999</v>
      </c>
      <c r="S2115" s="27">
        <v>1.2158</v>
      </c>
      <c r="T2115" s="27">
        <v>0.59909999999999997</v>
      </c>
      <c r="U2115" s="27">
        <v>0.54149999999999998</v>
      </c>
      <c r="V2115" s="1">
        <v>1</v>
      </c>
      <c r="W2115" s="1">
        <v>1</v>
      </c>
      <c r="X2115" s="27">
        <v>5.0199999999999996</v>
      </c>
      <c r="Y2115" s="27">
        <v>4.8600000000000003</v>
      </c>
      <c r="Z2115" s="28">
        <v>1000</v>
      </c>
      <c r="AA2115" s="28">
        <v>1000</v>
      </c>
      <c r="AB2115" s="1" t="s">
        <v>13</v>
      </c>
    </row>
    <row r="2116" spans="1:28">
      <c r="A2116" t="s">
        <v>580</v>
      </c>
      <c r="B2116" s="29" t="s">
        <v>2908</v>
      </c>
      <c r="C2116" s="26" t="s">
        <v>2909</v>
      </c>
      <c r="D2116" s="1">
        <v>323</v>
      </c>
      <c r="E2116" t="s">
        <v>642</v>
      </c>
      <c r="F2116" s="3" t="s">
        <v>2901</v>
      </c>
      <c r="G2116" s="1">
        <v>36.9</v>
      </c>
      <c r="H2116" t="s">
        <v>2932</v>
      </c>
      <c r="I2116" t="s">
        <v>2960</v>
      </c>
      <c r="J2116" s="1">
        <v>3</v>
      </c>
      <c r="K2116" s="1">
        <v>732.31420000000003</v>
      </c>
      <c r="L2116" s="1" t="str">
        <f>HYPERLINK("http://ms.phosphosite.org:5080/cgi-bin/plot-msms.cgi?MassType=1&amp;NumAxis=1&amp;Mod22=170&amp;Pep=MGMGNNYSGGYGTPDGLGGYGR&amp;Dta=/var/www/html/dta/yong/23612.11949.3.dta&amp;Global_Mod=CS57.0215", "11949")</f>
        <v>11949</v>
      </c>
      <c r="M2116" s="1" t="str">
        <f>HYPERLINK("http://ms.phosphosite.org:5080/cgi-bin/plot-msms.cgi?MassType=1&amp;NumAxis=1&amp;Mod22=170&amp;Pep=MGMGNNYSGGYGTPDGLGGYGR&amp;Dta=/var/www/html/dta/yong/23613.12036.3.dta&amp;Global_Mod=CS57.0215", "12036")</f>
        <v>12036</v>
      </c>
      <c r="N2116" s="27">
        <v>50.62</v>
      </c>
      <c r="O2116" s="27">
        <v>50.61</v>
      </c>
      <c r="P2116" s="27">
        <v>3.7480000000000002</v>
      </c>
      <c r="Q2116" s="27">
        <v>2.9950000000000001</v>
      </c>
      <c r="R2116" s="27">
        <v>0.78459999999999996</v>
      </c>
      <c r="S2116" s="27">
        <v>0.70830000000000004</v>
      </c>
      <c r="T2116" s="27">
        <v>0.45229999999999998</v>
      </c>
      <c r="U2116" s="27">
        <v>0.3135</v>
      </c>
      <c r="V2116" s="1">
        <v>1</v>
      </c>
      <c r="W2116" s="1">
        <v>1</v>
      </c>
      <c r="X2116" s="27">
        <v>4.08</v>
      </c>
      <c r="Y2116" s="27">
        <v>3.28</v>
      </c>
      <c r="Z2116" s="28">
        <v>1000</v>
      </c>
      <c r="AA2116" s="28">
        <v>1000</v>
      </c>
      <c r="AB2116" s="1" t="s">
        <v>13</v>
      </c>
    </row>
    <row r="2117" spans="1:28">
      <c r="A2117" t="s">
        <v>580</v>
      </c>
      <c r="B2117" s="29" t="s">
        <v>2908</v>
      </c>
      <c r="C2117" s="26" t="s">
        <v>2909</v>
      </c>
      <c r="D2117" s="1">
        <v>323</v>
      </c>
      <c r="E2117" t="s">
        <v>642</v>
      </c>
      <c r="F2117" s="3" t="s">
        <v>2901</v>
      </c>
      <c r="G2117" s="1">
        <v>36.9</v>
      </c>
      <c r="H2117" t="s">
        <v>2932</v>
      </c>
      <c r="I2117" t="s">
        <v>2961</v>
      </c>
      <c r="J2117" s="1">
        <v>3</v>
      </c>
      <c r="K2117" s="1">
        <v>1332.8884</v>
      </c>
      <c r="L2117" s="1" t="str">
        <f>HYPERLINK("http://ms.phosphosite.org:5080/cgi-bin/plot-msms.cgi?MassType=1&amp;NumAxis=1&amp;Mod22=170&amp;Mod36=147&amp;Pep=MGMGNNYSGGYGTPDGLGGYGRGGGGSGGYYGQGGMSGGGWR&amp;Dta=/var/www/html/dta/yong/23612.12653.3.dta&amp;Global_Mod=CS57.0215", "12653")</f>
        <v>12653</v>
      </c>
      <c r="M2117" s="1"/>
      <c r="N2117" s="27">
        <v>53.06</v>
      </c>
      <c r="O2117" s="27"/>
      <c r="P2117" s="27">
        <v>4.2699999999999996</v>
      </c>
      <c r="Q2117" s="27"/>
      <c r="R2117" s="27">
        <v>0.83209999999999995</v>
      </c>
      <c r="S2117" s="27"/>
      <c r="T2117" s="27">
        <v>0.30909999999999999</v>
      </c>
      <c r="U2117" s="27"/>
      <c r="V2117" s="1">
        <v>16</v>
      </c>
      <c r="W2117" s="1"/>
      <c r="X2117" s="27">
        <v>3.05</v>
      </c>
      <c r="Y2117" s="27"/>
      <c r="Z2117" s="28">
        <v>1000</v>
      </c>
      <c r="AA2117" s="28"/>
      <c r="AB2117" s="1" t="s">
        <v>13</v>
      </c>
    </row>
    <row r="2118" spans="1:28">
      <c r="A2118" t="s">
        <v>580</v>
      </c>
      <c r="B2118" s="29" t="s">
        <v>2908</v>
      </c>
      <c r="C2118" s="26" t="s">
        <v>2909</v>
      </c>
      <c r="D2118" s="1">
        <v>323</v>
      </c>
      <c r="E2118" t="s">
        <v>642</v>
      </c>
      <c r="F2118" s="3" t="s">
        <v>2901</v>
      </c>
      <c r="G2118" s="1">
        <v>36.9</v>
      </c>
      <c r="H2118" t="s">
        <v>2932</v>
      </c>
      <c r="I2118" t="s">
        <v>2961</v>
      </c>
      <c r="J2118" s="1">
        <v>3</v>
      </c>
      <c r="K2118" s="1">
        <v>1332.8884</v>
      </c>
      <c r="L2118" s="1" t="str">
        <f>HYPERLINK("http://ms.phosphosite.org:5080/cgi-bin/plot-msms.cgi?MassType=1&amp;NumAxis=1&amp;Mod22=170&amp;Mod36=147&amp;Pep=MGMGNNYSGGYGTPDGLGGYGRGGGGSGGYYGQGGMSGGGWR&amp;Dta=/var/www/html/dta/yong/23612.12510.3.dta&amp;Global_Mod=CS57.0215", "12510")</f>
        <v>12510</v>
      </c>
      <c r="M2118" s="1"/>
      <c r="N2118" s="27">
        <v>52.57</v>
      </c>
      <c r="O2118" s="27"/>
      <c r="P2118" s="27">
        <v>4.6909999999999998</v>
      </c>
      <c r="Q2118" s="27"/>
      <c r="R2118" s="27">
        <v>0.65390000000000004</v>
      </c>
      <c r="S2118" s="27"/>
      <c r="T2118" s="27">
        <v>0.43109999999999998</v>
      </c>
      <c r="U2118" s="27"/>
      <c r="V2118" s="1">
        <v>1</v>
      </c>
      <c r="W2118" s="1"/>
      <c r="X2118" s="27">
        <v>3.75</v>
      </c>
      <c r="Y2118" s="27"/>
      <c r="Z2118" s="28">
        <v>1000</v>
      </c>
      <c r="AA2118" s="28"/>
      <c r="AB2118" s="1" t="s">
        <v>13</v>
      </c>
    </row>
    <row r="2119" spans="1:28">
      <c r="A2119" t="s">
        <v>580</v>
      </c>
      <c r="B2119" s="29" t="s">
        <v>2908</v>
      </c>
      <c r="C2119" s="26" t="s">
        <v>2909</v>
      </c>
      <c r="D2119" s="1">
        <v>323</v>
      </c>
      <c r="E2119" t="s">
        <v>642</v>
      </c>
      <c r="F2119" s="3" t="s">
        <v>2901</v>
      </c>
      <c r="G2119" s="1">
        <v>36.9</v>
      </c>
      <c r="H2119" t="s">
        <v>2932</v>
      </c>
      <c r="I2119" t="s">
        <v>2961</v>
      </c>
      <c r="J2119" s="1">
        <v>4</v>
      </c>
      <c r="K2119" s="1">
        <v>999.91809999999998</v>
      </c>
      <c r="L2119" s="1"/>
      <c r="M2119" s="1" t="str">
        <f>HYPERLINK("http://ms.phosphosite.org:5080/cgi-bin/plot-msms.cgi?MassType=1&amp;NumAxis=1&amp;Mod22=170&amp;Mod36=147&amp;Pep=MGMGNNYSGGYGTPDGLGGYGRGGGGSGGYYGQGGMSGGGWR&amp;Dta=/var/www/html/dta/yong/23613.12993.4.dta&amp;Global_Mod=CS57.0215", "12993")</f>
        <v>12993</v>
      </c>
      <c r="N2119" s="27"/>
      <c r="O2119" s="27">
        <v>53.9</v>
      </c>
      <c r="P2119" s="27"/>
      <c r="Q2119" s="27">
        <v>3.0049999999999999</v>
      </c>
      <c r="R2119" s="27"/>
      <c r="S2119" s="27">
        <v>1.1748000000000001</v>
      </c>
      <c r="T2119" s="27"/>
      <c r="U2119" s="27">
        <v>2.63E-2</v>
      </c>
      <c r="V2119" s="1"/>
      <c r="W2119" s="1">
        <v>74</v>
      </c>
      <c r="X2119" s="27"/>
      <c r="Y2119" s="27">
        <v>1.41</v>
      </c>
      <c r="Z2119" s="28"/>
      <c r="AA2119" s="28">
        <v>1000</v>
      </c>
      <c r="AB2119" s="1" t="s">
        <v>13</v>
      </c>
    </row>
    <row r="2120" spans="1:28">
      <c r="A2120" t="s">
        <v>580</v>
      </c>
      <c r="B2120" s="29" t="s">
        <v>2908</v>
      </c>
      <c r="C2120" s="26" t="s">
        <v>2909</v>
      </c>
      <c r="D2120" s="1">
        <v>323</v>
      </c>
      <c r="E2120" t="s">
        <v>642</v>
      </c>
      <c r="F2120" s="3" t="s">
        <v>2901</v>
      </c>
      <c r="G2120" s="1">
        <v>36.9</v>
      </c>
      <c r="H2120" t="s">
        <v>2932</v>
      </c>
      <c r="I2120" t="s">
        <v>2961</v>
      </c>
      <c r="J2120" s="1">
        <v>4</v>
      </c>
      <c r="K2120" s="1">
        <v>999.91809999999998</v>
      </c>
      <c r="L2120" s="1"/>
      <c r="M2120" s="1" t="str">
        <f>HYPERLINK("http://ms.phosphosite.org:5080/cgi-bin/plot-msms.cgi?MassType=1&amp;NumAxis=1&amp;Mod22=170&amp;Mod36=147&amp;Pep=MGMGNNYSGGYGTPDGLGGYGRGGGGSGGYYGQGGMSGGGWR&amp;Dta=/var/www/html/dta/yong/23613.12623.4.dta&amp;Global_Mod=CS57.0215", "12623")</f>
        <v>12623</v>
      </c>
      <c r="N2120" s="27"/>
      <c r="O2120" s="27">
        <v>52.62</v>
      </c>
      <c r="P2120" s="27"/>
      <c r="Q2120" s="27">
        <v>5.2270000000000003</v>
      </c>
      <c r="R2120" s="27"/>
      <c r="S2120" s="27">
        <v>0.85899999999999999</v>
      </c>
      <c r="T2120" s="27"/>
      <c r="U2120" s="27">
        <v>0.39489999999999997</v>
      </c>
      <c r="V2120" s="1"/>
      <c r="W2120" s="1">
        <v>1</v>
      </c>
      <c r="X2120" s="27"/>
      <c r="Y2120" s="27">
        <v>3.74</v>
      </c>
      <c r="Z2120" s="28"/>
      <c r="AA2120" s="28">
        <v>1000</v>
      </c>
      <c r="AB2120" s="1" t="s">
        <v>13</v>
      </c>
    </row>
    <row r="2121" spans="1:28">
      <c r="A2121" t="s">
        <v>580</v>
      </c>
      <c r="B2121" s="29" t="s">
        <v>2908</v>
      </c>
      <c r="C2121" s="26" t="s">
        <v>2909</v>
      </c>
      <c r="D2121" s="1">
        <v>323</v>
      </c>
      <c r="E2121" t="s">
        <v>642</v>
      </c>
      <c r="F2121" s="3" t="s">
        <v>2901</v>
      </c>
      <c r="G2121" s="1">
        <v>36.9</v>
      </c>
      <c r="H2121" t="s">
        <v>2932</v>
      </c>
      <c r="I2121" t="s">
        <v>2962</v>
      </c>
      <c r="J2121" s="1">
        <v>2</v>
      </c>
      <c r="K2121" s="1">
        <v>852.88430000000005</v>
      </c>
      <c r="L2121" s="1" t="str">
        <f>HYPERLINK("http://ms.phosphosite.org:5080/cgi-bin/plot-msms.cgi?MassType=1&amp;NumAxis=1&amp;Mod17=170&amp;Pep=NYSGGYGTPDGLGGYGR&amp;Dta=/var/www/html/dta/yong/23612.9782.2.dta&amp;Global_Mod=CS57.0215", "9782")</f>
        <v>9782</v>
      </c>
      <c r="M2121" s="1" t="str">
        <f>HYPERLINK("http://ms.phosphosite.org:5080/cgi-bin/plot-msms.cgi?MassType=1&amp;NumAxis=1&amp;Mod17=170&amp;Pep=NYSGGYGTPDGLGGYGR&amp;Dta=/var/www/html/dta/yong/23613.9839.2.dta&amp;Global_Mod=CS57.0215", "9839")</f>
        <v>9839</v>
      </c>
      <c r="N2121" s="27">
        <v>43.23</v>
      </c>
      <c r="O2121" s="27">
        <v>43.26</v>
      </c>
      <c r="P2121" s="27">
        <v>3.4540000000000002</v>
      </c>
      <c r="Q2121" s="27">
        <v>3.673</v>
      </c>
      <c r="R2121" s="27">
        <v>0.75149999999999995</v>
      </c>
      <c r="S2121" s="27">
        <v>0.88529999999999998</v>
      </c>
      <c r="T2121" s="27">
        <v>0.46970000000000001</v>
      </c>
      <c r="U2121" s="27">
        <v>0.3644</v>
      </c>
      <c r="V2121" s="1">
        <v>1</v>
      </c>
      <c r="W2121" s="1">
        <v>2</v>
      </c>
      <c r="X2121" s="27">
        <v>4.1100000000000003</v>
      </c>
      <c r="Y2121" s="27">
        <v>3.68</v>
      </c>
      <c r="Z2121" s="28">
        <v>1000</v>
      </c>
      <c r="AA2121" s="28">
        <v>1000</v>
      </c>
      <c r="AB2121" s="1" t="s">
        <v>13</v>
      </c>
    </row>
    <row r="2122" spans="1:28">
      <c r="A2122" t="s">
        <v>580</v>
      </c>
      <c r="B2122" s="29" t="s">
        <v>2908</v>
      </c>
      <c r="C2122" s="26" t="s">
        <v>2909</v>
      </c>
      <c r="D2122" s="1">
        <v>323</v>
      </c>
      <c r="E2122" t="s">
        <v>642</v>
      </c>
      <c r="F2122" s="3" t="s">
        <v>2901</v>
      </c>
      <c r="G2122" s="1">
        <v>36.9</v>
      </c>
      <c r="H2122" t="s">
        <v>2932</v>
      </c>
      <c r="I2122" t="s">
        <v>2962</v>
      </c>
      <c r="J2122" s="1">
        <v>3</v>
      </c>
      <c r="K2122" s="1">
        <v>568.92529999999999</v>
      </c>
      <c r="L2122" s="1" t="str">
        <f>HYPERLINK("http://ms.phosphosite.org:5080/cgi-bin/plot-msms.cgi?MassType=1&amp;NumAxis=1&amp;Mod17=170&amp;Pep=NYSGGYGTPDGLGGYGR&amp;Dta=/var/www/html/dta/yong/23612.9921.3.dta&amp;Global_Mod=CS57.0215", "9921")</f>
        <v>9921</v>
      </c>
      <c r="M2122" s="1" t="str">
        <f>HYPERLINK("http://ms.phosphosite.org:5080/cgi-bin/plot-msms.cgi?MassType=1&amp;NumAxis=1&amp;Mod17=170&amp;Pep=NYSGGYGTPDGLGGYGR&amp;Dta=/var/www/html/dta/yong/23613.9985.3.dta&amp;Global_Mod=CS57.0215", "9985")</f>
        <v>9985</v>
      </c>
      <c r="N2122" s="27">
        <v>43.68</v>
      </c>
      <c r="O2122" s="27">
        <v>43.72</v>
      </c>
      <c r="P2122" s="27">
        <v>2.137</v>
      </c>
      <c r="Q2122" s="27">
        <v>2.972</v>
      </c>
      <c r="R2122" s="27">
        <v>0.46689999999999998</v>
      </c>
      <c r="S2122" s="27">
        <v>1.0434000000000001</v>
      </c>
      <c r="T2122" s="27">
        <v>0.126</v>
      </c>
      <c r="U2122" s="27">
        <v>0.2407</v>
      </c>
      <c r="V2122" s="1">
        <v>19</v>
      </c>
      <c r="W2122" s="1">
        <v>118</v>
      </c>
      <c r="X2122" s="27">
        <v>2.2200000000000002</v>
      </c>
      <c r="Y2122" s="27">
        <v>2.9</v>
      </c>
      <c r="Z2122" s="28">
        <v>1000</v>
      </c>
      <c r="AA2122" s="28">
        <v>1000</v>
      </c>
      <c r="AB2122" s="1" t="s">
        <v>13</v>
      </c>
    </row>
    <row r="2123" spans="1:28">
      <c r="A2123" t="s">
        <v>580</v>
      </c>
      <c r="B2123" s="29" t="s">
        <v>2908</v>
      </c>
      <c r="C2123" s="26" t="s">
        <v>2909</v>
      </c>
      <c r="D2123" s="1">
        <v>323</v>
      </c>
      <c r="E2123" t="s">
        <v>642</v>
      </c>
      <c r="F2123" s="3" t="s">
        <v>2901</v>
      </c>
      <c r="G2123" s="1">
        <v>36.9</v>
      </c>
      <c r="H2123" t="s">
        <v>2932</v>
      </c>
      <c r="I2123" t="s">
        <v>2963</v>
      </c>
      <c r="J2123" s="1">
        <v>3</v>
      </c>
      <c r="K2123" s="1">
        <v>1169.4994999999999</v>
      </c>
      <c r="L2123" s="1" t="str">
        <f>HYPERLINK("http://ms.phosphosite.org:5080/cgi-bin/plot-msms.cgi?MassType=1&amp;NumAxis=1&amp;Mod17=170&amp;Mod31=147&amp;Pep=NYSGGYGTPDGLGGYGRGGGGSGGYYGQGGMSGGGWR&amp;Dta=/var/www/html/dta/yong/23612.11242.3.dta&amp;Global_Mod=CS57.0215", "11242")</f>
        <v>11242</v>
      </c>
      <c r="M2123" s="1" t="str">
        <f>HYPERLINK("http://ms.phosphosite.org:5080/cgi-bin/plot-msms.cgi?MassType=1&amp;NumAxis=1&amp;Mod17=170&amp;Mod31=147&amp;Pep=NYSGGYGTPDGLGGYGRGGGGSGGYYGQGGMSGGGWR&amp;Dta=/var/www/html/dta/yong/23613.11378.3.dta&amp;Global_Mod=CS57.0215", "11378")</f>
        <v>11378</v>
      </c>
      <c r="N2123" s="27">
        <v>48.27</v>
      </c>
      <c r="O2123" s="27">
        <v>48.46</v>
      </c>
      <c r="P2123" s="27">
        <v>5.3259999999999996</v>
      </c>
      <c r="Q2123" s="27">
        <v>3.3959999999999999</v>
      </c>
      <c r="R2123" s="27">
        <v>1.2978000000000001</v>
      </c>
      <c r="S2123" s="27">
        <v>2.0135000000000001</v>
      </c>
      <c r="T2123" s="27">
        <v>0.52080000000000004</v>
      </c>
      <c r="U2123" s="27">
        <v>0.35399999999999998</v>
      </c>
      <c r="V2123" s="1">
        <v>1</v>
      </c>
      <c r="W2123" s="1">
        <v>1</v>
      </c>
      <c r="X2123" s="27">
        <v>4.34</v>
      </c>
      <c r="Y2123" s="27">
        <v>3.12</v>
      </c>
      <c r="Z2123" s="28">
        <v>1000</v>
      </c>
      <c r="AA2123" s="28">
        <v>1000</v>
      </c>
      <c r="AB2123" s="1" t="s">
        <v>13</v>
      </c>
    </row>
    <row r="2124" spans="1:28">
      <c r="A2124" t="s">
        <v>580</v>
      </c>
      <c r="B2124" s="29" t="s">
        <v>2908</v>
      </c>
      <c r="C2124" s="26" t="s">
        <v>2909</v>
      </c>
      <c r="D2124" s="1">
        <v>323</v>
      </c>
      <c r="E2124" t="s">
        <v>642</v>
      </c>
      <c r="F2124" s="3" t="s">
        <v>2901</v>
      </c>
      <c r="G2124" s="1">
        <v>36.9</v>
      </c>
      <c r="H2124" t="s">
        <v>2932</v>
      </c>
      <c r="I2124" t="s">
        <v>2963</v>
      </c>
      <c r="J2124" s="1">
        <v>3</v>
      </c>
      <c r="K2124" s="1">
        <v>1169.4994999999999</v>
      </c>
      <c r="L2124" s="1" t="str">
        <f>HYPERLINK("http://ms.phosphosite.org:5080/cgi-bin/plot-msms.cgi?MassType=1&amp;NumAxis=1&amp;Mod17=170&amp;Mod31=147&amp;Pep=NYSGGYGTPDGLGGYGRGGGGSGGYYGQGGMSGGGWR&amp;Dta=/var/www/html/dta/yong/23612.11249.3.dta&amp;Global_Mod=CS57.0215", "11249")</f>
        <v>11249</v>
      </c>
      <c r="M2124" s="1" t="str">
        <f>HYPERLINK("http://ms.phosphosite.org:5080/cgi-bin/plot-msms.cgi?MassType=1&amp;NumAxis=1&amp;Mod17=170&amp;Mod31=147&amp;Pep=NYSGGYGTPDGLGGYGRGGGGSGGYYGQGGMSGGGWR&amp;Dta=/var/www/html/dta/yong/23613.11325.3.dta&amp;Global_Mod=CS57.0215", "11325")</f>
        <v>11325</v>
      </c>
      <c r="N2124" s="27">
        <v>48.29</v>
      </c>
      <c r="O2124" s="27">
        <v>48.29</v>
      </c>
      <c r="P2124" s="27">
        <v>4.5019999999999998</v>
      </c>
      <c r="Q2124" s="27">
        <v>4.3259999999999996</v>
      </c>
      <c r="R2124" s="27">
        <v>1.2978000000000001</v>
      </c>
      <c r="S2124" s="27">
        <v>2.0135000000000001</v>
      </c>
      <c r="T2124" s="27">
        <v>0.3826</v>
      </c>
      <c r="U2124" s="27">
        <v>0.40960000000000002</v>
      </c>
      <c r="V2124" s="1">
        <v>1</v>
      </c>
      <c r="W2124" s="1">
        <v>1</v>
      </c>
      <c r="X2124" s="27">
        <v>3.5</v>
      </c>
      <c r="Y2124" s="27">
        <v>3.59</v>
      </c>
      <c r="Z2124" s="28">
        <v>1000</v>
      </c>
      <c r="AA2124" s="28">
        <v>1000</v>
      </c>
      <c r="AB2124" s="1" t="s">
        <v>13</v>
      </c>
    </row>
    <row r="2125" spans="1:28">
      <c r="A2125" t="s">
        <v>580</v>
      </c>
      <c r="B2125" s="29" t="s">
        <v>2908</v>
      </c>
      <c r="C2125" s="26" t="s">
        <v>2909</v>
      </c>
      <c r="D2125" s="1">
        <v>323</v>
      </c>
      <c r="E2125" t="s">
        <v>642</v>
      </c>
      <c r="F2125" s="3" t="s">
        <v>2901</v>
      </c>
      <c r="G2125" s="1">
        <v>36.9</v>
      </c>
      <c r="H2125" t="s">
        <v>2932</v>
      </c>
      <c r="I2125" t="s">
        <v>2963</v>
      </c>
      <c r="J2125" s="1">
        <v>4</v>
      </c>
      <c r="K2125" s="1">
        <v>877.37639999999999</v>
      </c>
      <c r="L2125" s="1"/>
      <c r="M2125" s="1" t="str">
        <f>HYPERLINK("http://ms.phosphosite.org:5080/cgi-bin/plot-msms.cgi?MassType=1&amp;NumAxis=1&amp;Mod17=170&amp;Mod31=147&amp;Pep=NYSGGYGTPDGLGGYGRGGGGSGGYYGQGGMSGGGWR&amp;Dta=/var/www/html/dta/yong/23613.11351.4.dta&amp;Global_Mod=CS57.0215", "11351")</f>
        <v>11351</v>
      </c>
      <c r="N2125" s="27"/>
      <c r="O2125" s="27">
        <v>48.37</v>
      </c>
      <c r="P2125" s="27"/>
      <c r="Q2125" s="27">
        <v>4.8179999999999996</v>
      </c>
      <c r="R2125" s="27"/>
      <c r="S2125" s="27">
        <v>1.3311999999999999</v>
      </c>
      <c r="T2125" s="27"/>
      <c r="U2125" s="27">
        <v>0.18260000000000001</v>
      </c>
      <c r="V2125" s="1"/>
      <c r="W2125" s="1">
        <v>1</v>
      </c>
      <c r="X2125" s="27"/>
      <c r="Y2125" s="27">
        <v>2.65</v>
      </c>
      <c r="Z2125" s="28"/>
      <c r="AA2125" s="28">
        <v>1000</v>
      </c>
      <c r="AB2125" s="1" t="s">
        <v>13</v>
      </c>
    </row>
    <row r="2126" spans="1:28">
      <c r="A2126" t="s">
        <v>580</v>
      </c>
      <c r="B2126" s="29" t="s">
        <v>2908</v>
      </c>
      <c r="C2126" s="26" t="s">
        <v>2909</v>
      </c>
      <c r="D2126" s="1">
        <v>323</v>
      </c>
      <c r="E2126" t="s">
        <v>642</v>
      </c>
      <c r="F2126" s="3" t="s">
        <v>2901</v>
      </c>
      <c r="G2126" s="1">
        <v>36.9</v>
      </c>
      <c r="H2126" t="s">
        <v>2932</v>
      </c>
      <c r="I2126" t="s">
        <v>2964</v>
      </c>
      <c r="J2126" s="1">
        <v>2</v>
      </c>
      <c r="K2126" s="1">
        <v>714.33109999999999</v>
      </c>
      <c r="L2126" s="1" t="str">
        <f>HYPERLINK("http://ms.phosphosite.org:5080/cgi-bin/plot-msms.cgi?MassType=1&amp;NumAxis=1&amp;Mod15=170&amp;Pep=SGGYGTPDGLGGYGR&amp;Dta=/var/www/html/dta/yong/23612.8804.2.dta&amp;Global_Mod=CS57.0215", "8804")</f>
        <v>8804</v>
      </c>
      <c r="M2126" s="1" t="str">
        <f>HYPERLINK("http://ms.phosphosite.org:5080/cgi-bin/plot-msms.cgi?MassType=1&amp;NumAxis=1&amp;Mod15=170&amp;Pep=SGGYGTPDGLGGYGR&amp;Dta=/var/www/html/dta/yong/23613.8844.2.dta&amp;Global_Mod=CS57.0215", "8844")</f>
        <v>8844</v>
      </c>
      <c r="N2126" s="27">
        <v>39.71</v>
      </c>
      <c r="O2126" s="27">
        <v>39.78</v>
      </c>
      <c r="P2126" s="27">
        <v>2.5470000000000002</v>
      </c>
      <c r="Q2126" s="27">
        <v>3.073</v>
      </c>
      <c r="R2126" s="27">
        <v>0.29239999999999999</v>
      </c>
      <c r="S2126" s="27">
        <v>0.26190000000000002</v>
      </c>
      <c r="T2126" s="27">
        <v>0.3543</v>
      </c>
      <c r="U2126" s="27">
        <v>0.40410000000000001</v>
      </c>
      <c r="V2126" s="1">
        <v>1</v>
      </c>
      <c r="W2126" s="1">
        <v>1</v>
      </c>
      <c r="X2126" s="27">
        <v>3.4</v>
      </c>
      <c r="Y2126" s="27">
        <v>3.79</v>
      </c>
      <c r="Z2126" s="28">
        <v>1000</v>
      </c>
      <c r="AA2126" s="28">
        <v>1000</v>
      </c>
      <c r="AB2126" s="1" t="s">
        <v>13</v>
      </c>
    </row>
    <row r="2127" spans="1:28">
      <c r="A2127" t="s">
        <v>580</v>
      </c>
      <c r="B2127" s="29" t="s">
        <v>2908</v>
      </c>
      <c r="C2127" s="26" t="s">
        <v>2909</v>
      </c>
      <c r="D2127" s="1">
        <v>323</v>
      </c>
      <c r="E2127" t="s">
        <v>642</v>
      </c>
      <c r="F2127" s="3" t="s">
        <v>2901</v>
      </c>
      <c r="G2127" s="1">
        <v>36.9</v>
      </c>
      <c r="H2127" t="s">
        <v>2932</v>
      </c>
      <c r="I2127" t="s">
        <v>2965</v>
      </c>
      <c r="J2127" s="1">
        <v>3</v>
      </c>
      <c r="K2127" s="1">
        <v>1077.1306999999999</v>
      </c>
      <c r="L2127" s="1" t="str">
        <f>HYPERLINK("http://ms.phosphosite.org:5080/cgi-bin/plot-msms.cgi?MassType=1&amp;NumAxis=1&amp;Mod15=170&amp;Mod29=147&amp;Pep=SGGYGTPDGLGGYGRGGGGSGGYYGQGGMSGGGWR&amp;Dta=/var/www/html/dta/yong/23612.10660.3.dta&amp;Global_Mod=CS57.0215", "10660")</f>
        <v>10660</v>
      </c>
      <c r="M2127" s="1" t="str">
        <f>HYPERLINK("http://ms.phosphosite.org:5080/cgi-bin/plot-msms.cgi?MassType=1&amp;NumAxis=1&amp;Mod15=170&amp;Mod29=147&amp;Pep=SGGYGTPDGLGGYGRGGGGSGGYYGQGGMSGGGWR&amp;Dta=/var/www/html/dta/yong/23613.10734.3.dta&amp;Global_Mod=CS57.0215", "10734")</f>
        <v>10734</v>
      </c>
      <c r="N2127" s="27">
        <v>46.31</v>
      </c>
      <c r="O2127" s="27">
        <v>46.31</v>
      </c>
      <c r="P2127" s="27">
        <v>3.819</v>
      </c>
      <c r="Q2127" s="27">
        <v>5.157</v>
      </c>
      <c r="R2127" s="27">
        <v>1.3744000000000001</v>
      </c>
      <c r="S2127" s="27">
        <v>0.71819999999999995</v>
      </c>
      <c r="T2127" s="27">
        <v>0.35189999999999999</v>
      </c>
      <c r="U2127" s="27">
        <v>0.60529999999999995</v>
      </c>
      <c r="V2127" s="1">
        <v>1</v>
      </c>
      <c r="W2127" s="1">
        <v>1</v>
      </c>
      <c r="X2127" s="27">
        <v>3.23</v>
      </c>
      <c r="Y2127" s="27">
        <v>4.8099999999999996</v>
      </c>
      <c r="Z2127" s="28">
        <v>1000</v>
      </c>
      <c r="AA2127" s="28">
        <v>1000</v>
      </c>
      <c r="AB2127" s="1" t="s">
        <v>13</v>
      </c>
    </row>
    <row r="2128" spans="1:28">
      <c r="A2128" t="s">
        <v>580</v>
      </c>
      <c r="B2128" s="29" t="s">
        <v>2908</v>
      </c>
      <c r="C2128" s="26" t="s">
        <v>2909</v>
      </c>
      <c r="D2128" s="1">
        <v>323</v>
      </c>
      <c r="E2128" t="s">
        <v>642</v>
      </c>
      <c r="F2128" s="3" t="s">
        <v>2901</v>
      </c>
      <c r="G2128" s="1">
        <v>36.9</v>
      </c>
      <c r="H2128" t="s">
        <v>2932</v>
      </c>
      <c r="I2128" t="s">
        <v>2965</v>
      </c>
      <c r="J2128" s="1">
        <v>3</v>
      </c>
      <c r="K2128" s="1">
        <v>1077.1306999999999</v>
      </c>
      <c r="L2128" s="1" t="str">
        <f>HYPERLINK("http://ms.phosphosite.org:5080/cgi-bin/plot-msms.cgi?MassType=1&amp;NumAxis=1&amp;Mod15=170&amp;Mod29=147&amp;Pep=SGGYGTPDGLGGYGRGGGGSGGYYGQGGMSGGGWR&amp;Dta=/var/www/html/dta/yong/23612.10693.3.dta&amp;Global_Mod=CS57.0215", "10693")</f>
        <v>10693</v>
      </c>
      <c r="M2128" s="1"/>
      <c r="N2128" s="27">
        <v>46.42</v>
      </c>
      <c r="O2128" s="27"/>
      <c r="P2128" s="27">
        <v>2.7280000000000002</v>
      </c>
      <c r="Q2128" s="27"/>
      <c r="R2128" s="27">
        <v>1.3744000000000001</v>
      </c>
      <c r="S2128" s="27"/>
      <c r="T2128" s="27">
        <v>8.3000000000000001E-3</v>
      </c>
      <c r="U2128" s="27"/>
      <c r="V2128" s="1">
        <v>1</v>
      </c>
      <c r="W2128" s="1"/>
      <c r="X2128" s="27">
        <v>1.32</v>
      </c>
      <c r="Y2128" s="27"/>
      <c r="Z2128" s="28">
        <v>1000</v>
      </c>
      <c r="AA2128" s="28"/>
      <c r="AB2128" s="1" t="s">
        <v>13</v>
      </c>
    </row>
    <row r="2129" spans="1:28">
      <c r="A2129" t="s">
        <v>580</v>
      </c>
      <c r="B2129" s="29" t="s">
        <v>2908</v>
      </c>
      <c r="C2129" s="26" t="s">
        <v>2909</v>
      </c>
      <c r="D2129" s="1">
        <v>323</v>
      </c>
      <c r="E2129" t="s">
        <v>642</v>
      </c>
      <c r="F2129" s="3" t="s">
        <v>2901</v>
      </c>
      <c r="G2129" s="1">
        <v>36.9</v>
      </c>
      <c r="H2129" t="s">
        <v>2932</v>
      </c>
      <c r="I2129" t="s">
        <v>2966</v>
      </c>
      <c r="J2129" s="1">
        <v>2</v>
      </c>
      <c r="K2129" s="1">
        <v>795.86279999999999</v>
      </c>
      <c r="L2129" s="1" t="str">
        <f>HYPERLINK("http://ms.phosphosite.org:5080/cgi-bin/plot-msms.cgi?MassType=1&amp;NumAxis=1&amp;Mod16=170&amp;Pep=YSGGYGTPDGLGGYGR&amp;Dta=/var/www/html/dta/yong/23612.9685.2.dta&amp;Global_Mod=CS57.0215", "9685")</f>
        <v>9685</v>
      </c>
      <c r="M2129" s="1" t="str">
        <f>HYPERLINK("http://ms.phosphosite.org:5080/cgi-bin/plot-msms.cgi?MassType=1&amp;NumAxis=1&amp;Mod16=170&amp;Pep=YSGGYGTPDGLGGYGR&amp;Dta=/var/www/html/dta/yong/23613.9742.2.dta&amp;Global_Mod=CS57.0215", "9742")</f>
        <v>9742</v>
      </c>
      <c r="N2129" s="27">
        <v>42.89</v>
      </c>
      <c r="O2129" s="27">
        <v>42.92</v>
      </c>
      <c r="P2129" s="27">
        <v>4.8109999999999999</v>
      </c>
      <c r="Q2129" s="27">
        <v>4.4160000000000004</v>
      </c>
      <c r="R2129" s="27">
        <v>0.94359999999999999</v>
      </c>
      <c r="S2129" s="27">
        <v>0.84599999999999997</v>
      </c>
      <c r="T2129" s="27">
        <v>0.55030000000000001</v>
      </c>
      <c r="U2129" s="27">
        <v>0.55579999999999996</v>
      </c>
      <c r="V2129" s="1">
        <v>1</v>
      </c>
      <c r="W2129" s="1">
        <v>1</v>
      </c>
      <c r="X2129" s="27">
        <v>4.7699999999999996</v>
      </c>
      <c r="Y2129" s="27">
        <v>4.79</v>
      </c>
      <c r="Z2129" s="28">
        <v>1000</v>
      </c>
      <c r="AA2129" s="28">
        <v>1000</v>
      </c>
      <c r="AB2129" s="1" t="s">
        <v>13</v>
      </c>
    </row>
    <row r="2130" spans="1:28">
      <c r="A2130" t="s">
        <v>580</v>
      </c>
      <c r="B2130" s="29" t="s">
        <v>2967</v>
      </c>
      <c r="C2130" s="26" t="s">
        <v>2968</v>
      </c>
      <c r="D2130" s="1">
        <v>377</v>
      </c>
      <c r="E2130" t="s">
        <v>2969</v>
      </c>
      <c r="F2130" s="3" t="s">
        <v>2970</v>
      </c>
      <c r="G2130" s="1">
        <v>50.9</v>
      </c>
      <c r="H2130" t="s">
        <v>2971</v>
      </c>
      <c r="I2130" t="s">
        <v>2972</v>
      </c>
      <c r="J2130" s="1">
        <v>2</v>
      </c>
      <c r="K2130" s="1">
        <v>956.41079999999999</v>
      </c>
      <c r="L2130" s="1" t="str">
        <f>HYPERLINK("http://ms.phosphosite.org:5080/cgi-bin/plot-msms.cgi?MassType=1&amp;NumAxis=1&amp;Mod18=170&amp;Pep=AYEPQGGSGYDYSYAGGR&amp;Dta=/var/www/html/dta/yong/23612.8330.2.dta&amp;Global_Mod=CS57.0215", "8330")</f>
        <v>8330</v>
      </c>
      <c r="M2130" s="1" t="str">
        <f>HYPERLINK("http://ms.phosphosite.org:5080/cgi-bin/plot-msms.cgi?MassType=1&amp;NumAxis=1&amp;Mod18=170&amp;Pep=AYEPQGGSGYDYSYAGGR&amp;Dta=/var/www/html/dta/yong/23613.8375.2.dta&amp;Global_Mod=CS57.0215", "8375")</f>
        <v>8375</v>
      </c>
      <c r="N2130" s="27">
        <v>38.049999999999997</v>
      </c>
      <c r="O2130" s="27">
        <v>38.130000000000003</v>
      </c>
      <c r="P2130" s="27">
        <v>4.6310000000000002</v>
      </c>
      <c r="Q2130" s="27">
        <v>4.7430000000000003</v>
      </c>
      <c r="R2130" s="27">
        <v>1.0139</v>
      </c>
      <c r="S2130" s="27">
        <v>0.86760000000000004</v>
      </c>
      <c r="T2130" s="27">
        <v>0.55659999999999998</v>
      </c>
      <c r="U2130" s="27">
        <v>0.52780000000000005</v>
      </c>
      <c r="V2130" s="1">
        <v>1</v>
      </c>
      <c r="W2130" s="1">
        <v>1</v>
      </c>
      <c r="X2130" s="27">
        <v>3.93</v>
      </c>
      <c r="Y2130" s="27">
        <v>3.81</v>
      </c>
      <c r="Z2130" s="28">
        <v>1000</v>
      </c>
      <c r="AA2130" s="28">
        <v>1000</v>
      </c>
      <c r="AB2130" s="1" t="s">
        <v>13</v>
      </c>
    </row>
    <row r="2131" spans="1:28">
      <c r="A2131" t="s">
        <v>580</v>
      </c>
      <c r="B2131" s="29" t="s">
        <v>2967</v>
      </c>
      <c r="C2131" s="26" t="s">
        <v>2968</v>
      </c>
      <c r="D2131" s="1">
        <v>377</v>
      </c>
      <c r="E2131" t="s">
        <v>2969</v>
      </c>
      <c r="F2131" s="3" t="s">
        <v>2970</v>
      </c>
      <c r="G2131" s="1">
        <v>50.9</v>
      </c>
      <c r="H2131" t="s">
        <v>2971</v>
      </c>
      <c r="I2131" t="s">
        <v>2972</v>
      </c>
      <c r="J2131" s="1">
        <v>2</v>
      </c>
      <c r="K2131" s="1">
        <v>956.41079999999999</v>
      </c>
      <c r="L2131" s="1" t="str">
        <f>HYPERLINK("http://ms.phosphosite.org:5080/cgi-bin/plot-msms.cgi?MassType=1&amp;NumAxis=1&amp;Mod18=170&amp;Pep=AYEPQGGSGYDYSYAGGR&amp;Dta=/var/www/html/dta/yong/23612.8323.2.dta&amp;Global_Mod=CS57.0215", "8323")</f>
        <v>8323</v>
      </c>
      <c r="M2131" s="1"/>
      <c r="N2131" s="27">
        <v>38.01</v>
      </c>
      <c r="O2131" s="27"/>
      <c r="P2131" s="27">
        <v>4.8010000000000002</v>
      </c>
      <c r="Q2131" s="27"/>
      <c r="R2131" s="27">
        <v>1.0139</v>
      </c>
      <c r="S2131" s="27"/>
      <c r="T2131" s="27">
        <v>0.49880000000000002</v>
      </c>
      <c r="U2131" s="27"/>
      <c r="V2131" s="1">
        <v>1</v>
      </c>
      <c r="W2131" s="1"/>
      <c r="X2131" s="27">
        <v>3.68</v>
      </c>
      <c r="Y2131" s="27"/>
      <c r="Z2131" s="28">
        <v>1000</v>
      </c>
      <c r="AA2131" s="28"/>
      <c r="AB2131" s="1" t="s">
        <v>13</v>
      </c>
    </row>
    <row r="2132" spans="1:28">
      <c r="A2132" t="s">
        <v>580</v>
      </c>
      <c r="B2132" s="29" t="s">
        <v>2967</v>
      </c>
      <c r="C2132" s="26" t="s">
        <v>2968</v>
      </c>
      <c r="D2132" s="1">
        <v>377</v>
      </c>
      <c r="E2132" t="s">
        <v>2969</v>
      </c>
      <c r="F2132" s="3" t="s">
        <v>2970</v>
      </c>
      <c r="G2132" s="1">
        <v>50.9</v>
      </c>
      <c r="H2132" t="s">
        <v>2971</v>
      </c>
      <c r="I2132" t="s">
        <v>2972</v>
      </c>
      <c r="J2132" s="1">
        <v>3</v>
      </c>
      <c r="K2132" s="1">
        <v>637.94299999999998</v>
      </c>
      <c r="L2132" s="1" t="str">
        <f>HYPERLINK("http://ms.phosphosite.org:5080/cgi-bin/plot-msms.cgi?MassType=1&amp;NumAxis=1&amp;Mod18=170&amp;Pep=AYEPQGGSGYDYSYAGGR&amp;Dta=/var/www/html/dta/yong/23612.8338.3.dta&amp;Global_Mod=CS57.0215", "8338")</f>
        <v>8338</v>
      </c>
      <c r="M2132" s="1" t="str">
        <f>HYPERLINK("http://ms.phosphosite.org:5080/cgi-bin/plot-msms.cgi?MassType=1&amp;NumAxis=1&amp;Mod18=170&amp;Pep=AYEPQGGSGYDYSYAGGR&amp;Dta=/var/www/html/dta/yong/23613.8380.3.dta&amp;Global_Mod=CS57.0215", "8380")</f>
        <v>8380</v>
      </c>
      <c r="N2132" s="27">
        <v>38.07</v>
      </c>
      <c r="O2132" s="27">
        <v>38.14</v>
      </c>
      <c r="P2132" s="27">
        <v>2.4279999999999999</v>
      </c>
      <c r="Q2132" s="27">
        <v>3.0990000000000002</v>
      </c>
      <c r="R2132" s="27">
        <v>0.44059999999999999</v>
      </c>
      <c r="S2132" s="27">
        <v>0.24349999999999999</v>
      </c>
      <c r="T2132" s="27">
        <v>0.10489999999999999</v>
      </c>
      <c r="U2132" s="27">
        <v>0.3236</v>
      </c>
      <c r="V2132" s="1">
        <v>2</v>
      </c>
      <c r="W2132" s="1">
        <v>3</v>
      </c>
      <c r="X2132" s="27">
        <v>1.36</v>
      </c>
      <c r="Y2132" s="27">
        <v>2.52</v>
      </c>
      <c r="Z2132" s="28">
        <v>1000</v>
      </c>
      <c r="AA2132" s="28">
        <v>1000</v>
      </c>
      <c r="AB2132" s="1" t="s">
        <v>13</v>
      </c>
    </row>
    <row r="2133" spans="1:28">
      <c r="A2133" t="s">
        <v>580</v>
      </c>
      <c r="B2133" s="29" t="s">
        <v>2967</v>
      </c>
      <c r="C2133" s="26" t="s">
        <v>2968</v>
      </c>
      <c r="D2133" s="1">
        <v>377</v>
      </c>
      <c r="E2133" t="s">
        <v>2969</v>
      </c>
      <c r="F2133" s="3" t="s">
        <v>2970</v>
      </c>
      <c r="G2133" s="1">
        <v>50.9</v>
      </c>
      <c r="H2133" t="s">
        <v>2971</v>
      </c>
      <c r="I2133" t="s">
        <v>2973</v>
      </c>
      <c r="J2133" s="1">
        <v>3</v>
      </c>
      <c r="K2133" s="1">
        <v>1270.6146000000001</v>
      </c>
      <c r="L2133" s="1" t="str">
        <f>HYPERLINK("http://ms.phosphosite.org:5080/cgi-bin/plot-msms.cgi?MassType=1&amp;NumAxis=1&amp;Mod18=170&amp;Pep=AYEPQGGSGYDYSYAGGRGSYGDLGGPIITTQVTIPK&amp;Dta=/var/www/html/dta/yong/23612.15441.3.dta&amp;Global_Mod=CS57.0215", "15441")</f>
        <v>15441</v>
      </c>
      <c r="M2133" s="1" t="str">
        <f>HYPERLINK("http://ms.phosphosite.org:5080/cgi-bin/plot-msms.cgi?MassType=1&amp;NumAxis=1&amp;Mod18=170&amp;Pep=AYEPQGGSGYDYSYAGGRGSYGDLGGPIITTQVTIPK&amp;Dta=/var/www/html/dta/yong/23613.15500.3.dta&amp;Global_Mod=CS57.0215", "15500")</f>
        <v>15500</v>
      </c>
      <c r="N2133" s="27">
        <v>63.29</v>
      </c>
      <c r="O2133" s="27">
        <v>63.22</v>
      </c>
      <c r="P2133" s="27">
        <v>5.7329999999999997</v>
      </c>
      <c r="Q2133" s="27">
        <v>5.5010000000000003</v>
      </c>
      <c r="R2133" s="27">
        <v>1.3068</v>
      </c>
      <c r="S2133" s="27">
        <v>1.244</v>
      </c>
      <c r="T2133" s="27">
        <v>0.51659999999999995</v>
      </c>
      <c r="U2133" s="27">
        <v>0.41549999999999998</v>
      </c>
      <c r="V2133" s="1">
        <v>1</v>
      </c>
      <c r="W2133" s="1">
        <v>1</v>
      </c>
      <c r="X2133" s="27">
        <v>3.59</v>
      </c>
      <c r="Y2133" s="27">
        <v>3.01</v>
      </c>
      <c r="Z2133" s="28">
        <v>1000</v>
      </c>
      <c r="AA2133" s="28">
        <v>1000</v>
      </c>
      <c r="AB2133" s="1" t="s">
        <v>13</v>
      </c>
    </row>
    <row r="2134" spans="1:28">
      <c r="A2134" t="s">
        <v>580</v>
      </c>
      <c r="B2134" s="29" t="s">
        <v>2967</v>
      </c>
      <c r="C2134" s="26" t="s">
        <v>2968</v>
      </c>
      <c r="D2134" s="1">
        <v>377</v>
      </c>
      <c r="E2134" t="s">
        <v>2969</v>
      </c>
      <c r="F2134" s="3" t="s">
        <v>2970</v>
      </c>
      <c r="G2134" s="1">
        <v>50.9</v>
      </c>
      <c r="H2134" t="s">
        <v>2971</v>
      </c>
      <c r="I2134" t="s">
        <v>2973</v>
      </c>
      <c r="J2134" s="1">
        <v>3</v>
      </c>
      <c r="K2134" s="1">
        <v>1270.6146000000001</v>
      </c>
      <c r="L2134" s="1"/>
      <c r="M2134" s="1" t="str">
        <f>HYPERLINK("http://ms.phosphosite.org:5080/cgi-bin/plot-msms.cgi?MassType=1&amp;NumAxis=1&amp;Mod18=170&amp;Pep=AYEPQGGSGYDYSYAGGRGSYGDLGGPIITTQVTIPK&amp;Dta=/var/www/html/dta/yong/23613.15483.3.dta&amp;Global_Mod=CS57.0215", "15483")</f>
        <v>15483</v>
      </c>
      <c r="N2134" s="27"/>
      <c r="O2134" s="27">
        <v>63.15</v>
      </c>
      <c r="P2134" s="27"/>
      <c r="Q2134" s="27">
        <v>5.2510000000000003</v>
      </c>
      <c r="R2134" s="27"/>
      <c r="S2134" s="27">
        <v>1.244</v>
      </c>
      <c r="T2134" s="27"/>
      <c r="U2134" s="27">
        <v>0.52780000000000005</v>
      </c>
      <c r="V2134" s="1"/>
      <c r="W2134" s="1">
        <v>1</v>
      </c>
      <c r="X2134" s="27"/>
      <c r="Y2134" s="27">
        <v>3.51</v>
      </c>
      <c r="Z2134" s="28"/>
      <c r="AA2134" s="28">
        <v>1000</v>
      </c>
      <c r="AB2134" s="1" t="s">
        <v>13</v>
      </c>
    </row>
    <row r="2135" spans="1:28">
      <c r="A2135" t="s">
        <v>580</v>
      </c>
      <c r="B2135" s="29" t="s">
        <v>2974</v>
      </c>
      <c r="C2135" s="26" t="s">
        <v>2975</v>
      </c>
      <c r="D2135" s="1">
        <v>639</v>
      </c>
      <c r="E2135" t="s">
        <v>645</v>
      </c>
      <c r="F2135" s="3" t="s">
        <v>2976</v>
      </c>
      <c r="G2135" s="1">
        <v>95.7</v>
      </c>
      <c r="H2135" t="s">
        <v>652</v>
      </c>
      <c r="I2135" t="s">
        <v>2977</v>
      </c>
      <c r="J2135" s="1">
        <v>2</v>
      </c>
      <c r="K2135" s="1">
        <v>465.233</v>
      </c>
      <c r="L2135" s="1"/>
      <c r="M2135" s="1" t="str">
        <f>HYPERLINK("http://ms.phosphosite.org:5080/cgi-bin/plot-msms.cgi?MassType=1&amp;NumAxis=1&amp;Mod7=170&amp;Pep=GPPGGNRGGF&amp;Dta=/var/www/html/dta/yong/23613.4822.2.dta&amp;Global_Mod=CS57.0215", "4822")</f>
        <v>4822</v>
      </c>
      <c r="N2135" s="27"/>
      <c r="O2135" s="27">
        <v>24.96</v>
      </c>
      <c r="P2135" s="27"/>
      <c r="Q2135" s="27">
        <v>1.665</v>
      </c>
      <c r="R2135" s="27"/>
      <c r="S2135" s="27">
        <v>0.29160000000000003</v>
      </c>
      <c r="T2135" s="27"/>
      <c r="U2135" s="27">
        <v>0.23619999999999999</v>
      </c>
      <c r="V2135" s="1"/>
      <c r="W2135" s="1">
        <v>1</v>
      </c>
      <c r="X2135" s="27"/>
      <c r="Y2135" s="27">
        <v>1.29</v>
      </c>
      <c r="Z2135" s="28"/>
      <c r="AA2135" s="28">
        <v>1000</v>
      </c>
      <c r="AB2135" s="1" t="s">
        <v>13</v>
      </c>
    </row>
    <row r="2136" spans="1:28">
      <c r="A2136" t="s">
        <v>580</v>
      </c>
      <c r="B2136" s="29" t="s">
        <v>2974</v>
      </c>
      <c r="C2136" s="26" t="s">
        <v>2975</v>
      </c>
      <c r="D2136" s="1">
        <v>639</v>
      </c>
      <c r="E2136" t="s">
        <v>645</v>
      </c>
      <c r="F2136" s="3" t="s">
        <v>2976</v>
      </c>
      <c r="G2136" s="1">
        <v>95.7</v>
      </c>
      <c r="H2136" t="s">
        <v>652</v>
      </c>
      <c r="I2136" t="s">
        <v>2978</v>
      </c>
      <c r="J2136" s="1">
        <v>2</v>
      </c>
      <c r="K2136" s="1">
        <v>586.28380000000004</v>
      </c>
      <c r="L2136" s="1" t="str">
        <f>HYPERLINK("http://ms.phosphosite.org:5080/cgi-bin/plot-msms.cgi?MassType=1&amp;NumAxis=1&amp;Mod7=170&amp;Pep=GPPGGNRGGFQN&amp;Dta=/var/www/html/dta/yong/23612.3495.2.dta&amp;Global_Mod=CS57.0215", "3495")</f>
        <v>3495</v>
      </c>
      <c r="M2136" s="1" t="str">
        <f>HYPERLINK("http://ms.phosphosite.org:5080/cgi-bin/plot-msms.cgi?MassType=1&amp;NumAxis=1&amp;Mod7=170&amp;Pep=GPPGGNRGGFQN&amp;Dta=/var/www/html/dta/yong/23613.3543.2.dta&amp;Global_Mod=CS57.0215", "3543")</f>
        <v>3543</v>
      </c>
      <c r="N2136" s="27">
        <v>20.010000000000002</v>
      </c>
      <c r="O2136" s="27">
        <v>20.02</v>
      </c>
      <c r="P2136" s="27">
        <v>2.629</v>
      </c>
      <c r="Q2136" s="27">
        <v>2.8559999999999999</v>
      </c>
      <c r="R2136" s="27">
        <v>0.92749999999999999</v>
      </c>
      <c r="S2136" s="27">
        <v>0.62170000000000003</v>
      </c>
      <c r="T2136" s="27">
        <v>0.31840000000000002</v>
      </c>
      <c r="U2136" s="27">
        <v>0.2848</v>
      </c>
      <c r="V2136" s="1">
        <v>2</v>
      </c>
      <c r="W2136" s="1">
        <v>2</v>
      </c>
      <c r="X2136" s="27">
        <v>1.86</v>
      </c>
      <c r="Y2136" s="27">
        <v>1.75</v>
      </c>
      <c r="Z2136" s="28">
        <v>1000</v>
      </c>
      <c r="AA2136" s="28">
        <v>1000</v>
      </c>
      <c r="AB2136" s="1" t="s">
        <v>13</v>
      </c>
    </row>
    <row r="2137" spans="1:28">
      <c r="A2137" t="s">
        <v>580</v>
      </c>
      <c r="B2137" s="2" t="s">
        <v>2979</v>
      </c>
      <c r="C2137" t="s">
        <v>2980</v>
      </c>
      <c r="D2137" s="1">
        <v>656</v>
      </c>
      <c r="E2137" t="s">
        <v>2981</v>
      </c>
      <c r="F2137" s="3" t="s">
        <v>2982</v>
      </c>
      <c r="G2137" s="1">
        <v>85.1</v>
      </c>
      <c r="H2137" t="s">
        <v>2983</v>
      </c>
      <c r="I2137" t="s">
        <v>2984</v>
      </c>
      <c r="J2137" s="1">
        <v>2</v>
      </c>
      <c r="K2137" s="1">
        <v>589.80489999999998</v>
      </c>
      <c r="L2137" s="1" t="str">
        <f>HYPERLINK("http://ms.phosphosite.org:5080/cgi-bin/plot-msms.cgi?MassType=1&amp;NumAxis=1&amp;Mod2=170&amp;Pep=SRGQGYVGGQR&amp;Dta=/var/www/html/dta/yong/23612.1870.2.dta&amp;Global_Mod=CS57.0215", "1870")</f>
        <v>1870</v>
      </c>
      <c r="M2137" s="1" t="str">
        <f>HYPERLINK("http://ms.phosphosite.org:5080/cgi-bin/plot-msms.cgi?MassType=1&amp;NumAxis=1&amp;Mod2=170&amp;Pep=SRGQGYVGGQR&amp;Dta=/var/www/html/dta/yong/23613.1896.2.dta&amp;Global_Mod=CS57.0215", "1896")</f>
        <v>1896</v>
      </c>
      <c r="N2137" s="27">
        <v>13.89</v>
      </c>
      <c r="O2137" s="27">
        <v>13.82</v>
      </c>
      <c r="P2137" s="27">
        <v>3.1850000000000001</v>
      </c>
      <c r="Q2137" s="27">
        <v>3.1269999999999998</v>
      </c>
      <c r="R2137" s="27">
        <v>0.81489999999999996</v>
      </c>
      <c r="S2137" s="27">
        <v>0.94540000000000002</v>
      </c>
      <c r="T2137" s="27">
        <v>0.1721</v>
      </c>
      <c r="U2137" s="27">
        <v>0.29499999999999998</v>
      </c>
      <c r="V2137" s="1">
        <v>1</v>
      </c>
      <c r="W2137" s="1">
        <v>1</v>
      </c>
      <c r="X2137" s="27">
        <v>1.31</v>
      </c>
      <c r="Y2137" s="27">
        <v>1.88</v>
      </c>
      <c r="Z2137" s="28">
        <v>1000</v>
      </c>
      <c r="AA2137" s="28">
        <v>1000</v>
      </c>
      <c r="AB2137" s="1" t="s">
        <v>13</v>
      </c>
    </row>
    <row r="2138" spans="1:28">
      <c r="A2138" t="s">
        <v>580</v>
      </c>
      <c r="B2138" s="2" t="s">
        <v>2979</v>
      </c>
      <c r="C2138" t="s">
        <v>2980</v>
      </c>
      <c r="D2138" s="1">
        <v>688</v>
      </c>
      <c r="E2138" t="s">
        <v>2981</v>
      </c>
      <c r="F2138" s="3" t="s">
        <v>2982</v>
      </c>
      <c r="G2138" s="1">
        <v>85.1</v>
      </c>
      <c r="H2138" t="s">
        <v>2985</v>
      </c>
      <c r="I2138" t="s">
        <v>2986</v>
      </c>
      <c r="J2138" s="1">
        <v>3</v>
      </c>
      <c r="K2138" s="1">
        <v>657.97850000000005</v>
      </c>
      <c r="L2138" s="1" t="str">
        <f>HYPERLINK("http://ms.phosphosite.org:5080/cgi-bin/plot-msms.cgi?MassType=1&amp;NumAxis=1&amp;Mod17=170&amp;Pep=AYGQQYWGQPGNRGGYR&amp;Dta=/var/www/html/dta/yong/23612.8438.3.dta&amp;Global_Mod=CS57.0215", "8438")</f>
        <v>8438</v>
      </c>
      <c r="M2138" s="1"/>
      <c r="N2138" s="27">
        <v>38.42</v>
      </c>
      <c r="O2138" s="27"/>
      <c r="P2138" s="27">
        <v>2.2610000000000001</v>
      </c>
      <c r="Q2138" s="27"/>
      <c r="R2138" s="27">
        <v>0.20300000000000001</v>
      </c>
      <c r="S2138" s="27"/>
      <c r="T2138" s="27">
        <v>0.25569999999999998</v>
      </c>
      <c r="U2138" s="27"/>
      <c r="V2138" s="1">
        <v>1</v>
      </c>
      <c r="W2138" s="1"/>
      <c r="X2138" s="27">
        <v>1.54</v>
      </c>
      <c r="Y2138" s="27"/>
      <c r="Z2138" s="28">
        <v>1000</v>
      </c>
      <c r="AA2138" s="28"/>
      <c r="AB2138" s="1" t="s">
        <v>13</v>
      </c>
    </row>
    <row r="2139" spans="1:28">
      <c r="A2139" t="s">
        <v>580</v>
      </c>
      <c r="B2139" s="2" t="s">
        <v>2979</v>
      </c>
      <c r="C2139" t="s">
        <v>2980</v>
      </c>
      <c r="D2139" s="1" t="s">
        <v>2987</v>
      </c>
      <c r="E2139" t="s">
        <v>2981</v>
      </c>
      <c r="F2139" s="3" t="s">
        <v>2982</v>
      </c>
      <c r="G2139" s="1">
        <v>85.1</v>
      </c>
      <c r="H2139" t="s">
        <v>2988</v>
      </c>
      <c r="I2139" t="s">
        <v>2989</v>
      </c>
      <c r="J2139" s="1">
        <v>3</v>
      </c>
      <c r="K2139" s="1">
        <v>565.26340000000005</v>
      </c>
      <c r="L2139" s="1" t="str">
        <f>HYPERLINK("http://ms.phosphosite.org:5080/cgi-bin/plot-msms.cgi?MassType=1&amp;NumAxis=1&amp;Mod3=170&amp;Mod12=170&amp;Pep=YYRNYYGYQGYR&amp;Dta=/var/www/html/dta/yong/23612.8066.3.dta&amp;Global_Mod=CS57.0215", "8066")</f>
        <v>8066</v>
      </c>
      <c r="M2139" s="1" t="str">
        <f>HYPERLINK("http://ms.phosphosite.org:5080/cgi-bin/plot-msms.cgi?MassType=1&amp;NumAxis=1&amp;Mod3=170&amp;Mod12=170&amp;Pep=YYRNYYGYQGYR&amp;Dta=/var/www/html/dta/yong/23613.8093.3.dta&amp;Global_Mod=CS57.0215", "8093")</f>
        <v>8093</v>
      </c>
      <c r="N2139" s="27">
        <v>37.06</v>
      </c>
      <c r="O2139" s="27">
        <v>37.06</v>
      </c>
      <c r="P2139" s="27">
        <v>3.431</v>
      </c>
      <c r="Q2139" s="27">
        <v>3.4039999999999999</v>
      </c>
      <c r="R2139" s="27">
        <v>0.49959999999999999</v>
      </c>
      <c r="S2139" s="27">
        <v>1.2121</v>
      </c>
      <c r="T2139" s="27">
        <v>0.2009</v>
      </c>
      <c r="U2139" s="27">
        <v>0.2175</v>
      </c>
      <c r="V2139" s="1">
        <v>1</v>
      </c>
      <c r="W2139" s="1">
        <v>1</v>
      </c>
      <c r="X2139" s="27">
        <v>1.56</v>
      </c>
      <c r="Y2139" s="27">
        <v>1.58</v>
      </c>
      <c r="Z2139" s="28" t="s">
        <v>1306</v>
      </c>
      <c r="AA2139" s="28" t="s">
        <v>1306</v>
      </c>
      <c r="AB2139" s="1" t="s">
        <v>13</v>
      </c>
    </row>
    <row r="2140" spans="1:28">
      <c r="A2140" t="s">
        <v>580</v>
      </c>
      <c r="B2140" s="2" t="s">
        <v>2979</v>
      </c>
      <c r="C2140" t="s">
        <v>2980</v>
      </c>
      <c r="D2140" s="1" t="s">
        <v>2987</v>
      </c>
      <c r="E2140" t="s">
        <v>2981</v>
      </c>
      <c r="F2140" s="3" t="s">
        <v>2982</v>
      </c>
      <c r="G2140" s="1">
        <v>85.1</v>
      </c>
      <c r="H2140" t="s">
        <v>2988</v>
      </c>
      <c r="I2140" t="s">
        <v>2989</v>
      </c>
      <c r="J2140" s="1">
        <v>3</v>
      </c>
      <c r="K2140" s="1">
        <v>565.26340000000005</v>
      </c>
      <c r="L2140" s="1" t="str">
        <f>HYPERLINK("http://ms.phosphosite.org:5080/cgi-bin/plot-msms.cgi?MassType=1&amp;NumAxis=1&amp;Mod3=170&amp;Mod12=170&amp;Pep=YYRNYYGYQGYR&amp;Dta=/var/www/html/dta/yong/23612.8056.3.dta&amp;Global_Mod=CS57.0215", "8056")</f>
        <v>8056</v>
      </c>
      <c r="M2140" s="1"/>
      <c r="N2140" s="27">
        <v>37</v>
      </c>
      <c r="O2140" s="27"/>
      <c r="P2140" s="27">
        <v>3.3620000000000001</v>
      </c>
      <c r="Q2140" s="27"/>
      <c r="R2140" s="27">
        <v>-0.60299999999999998</v>
      </c>
      <c r="S2140" s="27"/>
      <c r="T2140" s="27">
        <v>0.16969999999999999</v>
      </c>
      <c r="U2140" s="27"/>
      <c r="V2140" s="1">
        <v>2</v>
      </c>
      <c r="W2140" s="1"/>
      <c r="X2140" s="27">
        <v>1.34</v>
      </c>
      <c r="Y2140" s="27"/>
      <c r="Z2140" s="28" t="s">
        <v>1306</v>
      </c>
      <c r="AA2140" s="28"/>
      <c r="AB2140" s="1" t="s">
        <v>13</v>
      </c>
    </row>
    <row r="2141" spans="1:28">
      <c r="A2141" t="s">
        <v>580</v>
      </c>
      <c r="B2141" s="2" t="s">
        <v>2979</v>
      </c>
      <c r="C2141" t="s">
        <v>2980</v>
      </c>
      <c r="D2141" s="1">
        <v>747</v>
      </c>
      <c r="E2141" t="s">
        <v>2981</v>
      </c>
      <c r="F2141" s="3" t="s">
        <v>2982</v>
      </c>
      <c r="G2141" s="1">
        <v>85.1</v>
      </c>
      <c r="H2141" t="s">
        <v>2990</v>
      </c>
      <c r="I2141" t="s">
        <v>2991</v>
      </c>
      <c r="J2141" s="1">
        <v>2</v>
      </c>
      <c r="K2141" s="1">
        <v>599.26980000000003</v>
      </c>
      <c r="L2141" s="1" t="str">
        <f>HYPERLINK("http://ms.phosphosite.org:5080/cgi-bin/plot-msms.cgi?MassType=1&amp;NumAxis=1&amp;Mod9=170&amp;Pep=NYYGYQGYR&amp;Dta=/var/www/html/dta/yong/23612.7732.2.dta&amp;Global_Mod=CS57.0215", "7732")</f>
        <v>7732</v>
      </c>
      <c r="M2141" s="1" t="str">
        <f>HYPERLINK("http://ms.phosphosite.org:5080/cgi-bin/plot-msms.cgi?MassType=1&amp;NumAxis=1&amp;Mod9=170&amp;Pep=NYYGYQGYR&amp;Dta=/var/www/html/dta/yong/23613.7782.2.dta&amp;Global_Mod=CS57.0215", "7782")</f>
        <v>7782</v>
      </c>
      <c r="N2141" s="27">
        <v>35.89</v>
      </c>
      <c r="O2141" s="27">
        <v>35.96</v>
      </c>
      <c r="P2141" s="27">
        <v>2.7530000000000001</v>
      </c>
      <c r="Q2141" s="27">
        <v>2.4590000000000001</v>
      </c>
      <c r="R2141" s="27">
        <v>0.67100000000000004</v>
      </c>
      <c r="S2141" s="27">
        <v>0.2021</v>
      </c>
      <c r="T2141" s="27">
        <v>0.41710000000000003</v>
      </c>
      <c r="U2141" s="27">
        <v>0.25890000000000002</v>
      </c>
      <c r="V2141" s="1">
        <v>1</v>
      </c>
      <c r="W2141" s="1">
        <v>1</v>
      </c>
      <c r="X2141" s="27">
        <v>2.66</v>
      </c>
      <c r="Y2141" s="27">
        <v>1.8</v>
      </c>
      <c r="Z2141" s="28">
        <v>1000</v>
      </c>
      <c r="AA2141" s="28">
        <v>1000</v>
      </c>
      <c r="AB2141" s="1" t="s">
        <v>13</v>
      </c>
    </row>
    <row r="2142" spans="1:28">
      <c r="A2142" t="s">
        <v>580</v>
      </c>
      <c r="B2142" s="2" t="s">
        <v>2979</v>
      </c>
      <c r="C2142" t="s">
        <v>2980</v>
      </c>
      <c r="D2142" s="1">
        <v>684</v>
      </c>
      <c r="E2142" t="s">
        <v>2981</v>
      </c>
      <c r="F2142" s="3" t="s">
        <v>2982</v>
      </c>
      <c r="G2142" s="1">
        <v>85.1</v>
      </c>
      <c r="H2142" t="s">
        <v>2985</v>
      </c>
      <c r="I2142" t="s">
        <v>2992</v>
      </c>
      <c r="J2142" s="1">
        <v>2</v>
      </c>
      <c r="K2142" s="1">
        <v>769.86040000000003</v>
      </c>
      <c r="L2142" s="1" t="str">
        <f>HYPERLINK("http://ms.phosphosite.org:5080/cgi-bin/plot-msms.cgi?MassType=1&amp;NumAxis=1&amp;Mod13=170&amp;Pep=AYGQQYWGQPGNR&amp;Dta=/var/www/html/dta/yong/23612.9050.2.dta&amp;Global_Mod=CS57.0215", "9050")</f>
        <v>9050</v>
      </c>
      <c r="M2142" s="1" t="str">
        <f>HYPERLINK("http://ms.phosphosite.org:5080/cgi-bin/plot-msms.cgi?MassType=1&amp;NumAxis=1&amp;Mod13=170&amp;Pep=AYGQQYWGQPGNR&amp;Dta=/var/www/html/dta/yong/23613.9096.2.dta&amp;Global_Mod=CS57.0215", "9096")</f>
        <v>9096</v>
      </c>
      <c r="N2142" s="27">
        <v>40.6</v>
      </c>
      <c r="O2142" s="27">
        <v>40.659999999999997</v>
      </c>
      <c r="P2142" s="27">
        <v>2.6360000000000001</v>
      </c>
      <c r="Q2142" s="27">
        <v>2.82</v>
      </c>
      <c r="R2142" s="27">
        <v>0.92630000000000001</v>
      </c>
      <c r="S2142" s="27">
        <v>-0.52439999999999998</v>
      </c>
      <c r="T2142" s="27">
        <v>0.29409999999999997</v>
      </c>
      <c r="U2142" s="27">
        <v>0.38619999999999999</v>
      </c>
      <c r="V2142" s="1">
        <v>6</v>
      </c>
      <c r="W2142" s="1">
        <v>1</v>
      </c>
      <c r="X2142" s="27">
        <v>1.96</v>
      </c>
      <c r="Y2142" s="27">
        <v>2.41</v>
      </c>
      <c r="Z2142" s="28">
        <v>1000</v>
      </c>
      <c r="AA2142" s="28">
        <v>1000</v>
      </c>
      <c r="AB2142" s="1" t="s">
        <v>13</v>
      </c>
    </row>
    <row r="2143" spans="1:28">
      <c r="A2143" t="s">
        <v>580</v>
      </c>
      <c r="B2143" s="2" t="s">
        <v>2979</v>
      </c>
      <c r="C2143" t="s">
        <v>2980</v>
      </c>
      <c r="D2143" s="1">
        <v>684</v>
      </c>
      <c r="E2143" t="s">
        <v>2981</v>
      </c>
      <c r="F2143" s="3" t="s">
        <v>2982</v>
      </c>
      <c r="G2143" s="1">
        <v>85.1</v>
      </c>
      <c r="H2143" t="s">
        <v>2985</v>
      </c>
      <c r="I2143" t="s">
        <v>2993</v>
      </c>
      <c r="J2143" s="1">
        <v>3</v>
      </c>
      <c r="K2143" s="1">
        <v>657.97850000000005</v>
      </c>
      <c r="L2143" s="1"/>
      <c r="M2143" s="1" t="str">
        <f>HYPERLINK("http://ms.phosphosite.org:5080/cgi-bin/plot-msms.cgi?MassType=1&amp;NumAxis=1&amp;Mod13=170&amp;Pep=AYGQQYWGQPGNRGGYR&amp;Dta=/var/www/html/dta/yong/23613.8491.3.dta&amp;Global_Mod=CS57.0215", "8491")</f>
        <v>8491</v>
      </c>
      <c r="N2143" s="27"/>
      <c r="O2143" s="27">
        <v>38.54</v>
      </c>
      <c r="P2143" s="27"/>
      <c r="Q2143" s="27">
        <v>2.5179999999999998</v>
      </c>
      <c r="R2143" s="27"/>
      <c r="S2143" s="27">
        <v>0.72089999999999999</v>
      </c>
      <c r="T2143" s="27"/>
      <c r="U2143" s="27">
        <v>0.25230000000000002</v>
      </c>
      <c r="V2143" s="1"/>
      <c r="W2143" s="1">
        <v>1</v>
      </c>
      <c r="X2143" s="27"/>
      <c r="Y2143" s="27">
        <v>1.53</v>
      </c>
      <c r="Z2143" s="28"/>
      <c r="AA2143" s="28">
        <v>1000</v>
      </c>
      <c r="AB2143" s="1" t="s">
        <v>13</v>
      </c>
    </row>
    <row r="2144" spans="1:28">
      <c r="A2144" t="s">
        <v>580</v>
      </c>
      <c r="B2144" s="2" t="s">
        <v>2979</v>
      </c>
      <c r="C2144" t="s">
        <v>2980</v>
      </c>
      <c r="D2144" s="1">
        <v>738</v>
      </c>
      <c r="E2144" t="s">
        <v>2981</v>
      </c>
      <c r="F2144" s="3" t="s">
        <v>2982</v>
      </c>
      <c r="G2144" s="1">
        <v>85.1</v>
      </c>
      <c r="H2144" t="s">
        <v>2994</v>
      </c>
      <c r="I2144" t="s">
        <v>2995</v>
      </c>
      <c r="J2144" s="1">
        <v>3</v>
      </c>
      <c r="K2144" s="1">
        <v>560.59159999999997</v>
      </c>
      <c r="L2144" s="1" t="str">
        <f>HYPERLINK("http://ms.phosphosite.org:5080/cgi-bin/plot-msms.cgi?MassType=1&amp;NumAxis=1&amp;Mod3=170&amp;Pep=YYRNYYGYQGYR&amp;Dta=/var/www/html/dta/yong/23612.7868.3.dta&amp;Global_Mod=CS57.0215", "7868")</f>
        <v>7868</v>
      </c>
      <c r="M2144" s="1" t="str">
        <f>HYPERLINK("http://ms.phosphosite.org:5080/cgi-bin/plot-msms.cgi?MassType=1&amp;NumAxis=1&amp;Mod3=170&amp;Pep=YYRNYYGYQGYR&amp;Dta=/var/www/html/dta/yong/23613.7927.3.dta&amp;Global_Mod=CS57.0215", "7927")</f>
        <v>7927</v>
      </c>
      <c r="N2144" s="27">
        <v>36.340000000000003</v>
      </c>
      <c r="O2144" s="27">
        <v>36.479999999999997</v>
      </c>
      <c r="P2144" s="27">
        <v>2.7919999999999998</v>
      </c>
      <c r="Q2144" s="27">
        <v>2.4169999999999998</v>
      </c>
      <c r="R2144" s="27">
        <v>0.26229999999999998</v>
      </c>
      <c r="S2144" s="27">
        <v>0.31259999999999999</v>
      </c>
      <c r="T2144" s="27">
        <v>0.20380000000000001</v>
      </c>
      <c r="U2144" s="27">
        <v>0.1222</v>
      </c>
      <c r="V2144" s="1">
        <v>2</v>
      </c>
      <c r="W2144" s="1">
        <v>5</v>
      </c>
      <c r="X2144" s="27">
        <v>1.45</v>
      </c>
      <c r="Y2144" s="27">
        <v>0.94</v>
      </c>
      <c r="Z2144" s="28">
        <v>1000</v>
      </c>
      <c r="AA2144" s="28">
        <v>1000</v>
      </c>
      <c r="AB2144" s="1" t="s">
        <v>13</v>
      </c>
    </row>
    <row r="2145" spans="1:28">
      <c r="A2145" t="s">
        <v>580</v>
      </c>
      <c r="B2145" s="29" t="s">
        <v>2996</v>
      </c>
      <c r="C2145" s="26" t="s">
        <v>2997</v>
      </c>
      <c r="D2145" s="30" t="s">
        <v>2998</v>
      </c>
      <c r="E2145" t="s">
        <v>657</v>
      </c>
      <c r="F2145" s="3" t="s">
        <v>2999</v>
      </c>
      <c r="G2145" s="1">
        <v>48.2</v>
      </c>
      <c r="H2145" t="s">
        <v>3000</v>
      </c>
      <c r="I2145" t="s">
        <v>3001</v>
      </c>
      <c r="J2145" s="1">
        <v>3</v>
      </c>
      <c r="K2145" s="1">
        <v>1239.2529</v>
      </c>
      <c r="L2145" s="1" t="str">
        <f>HYPERLINK("http://ms.phosphosite.org:5080/cgi-bin/plot-msms.cgi?MassType=1&amp;NumAxis=1&amp;Mod6=147&amp;Mod7=147&amp;Mod29=170&amp;Mod31=170&amp;Pep=FLVPDMMDDICQEQFLELSYLNGVPEPSRGR&amp;Dta=/var/www/html/dta/yong/23612.18704.3.dta&amp;Global_Mod=CS57.0215", "18704")</f>
        <v>18704</v>
      </c>
      <c r="M2145" s="1" t="str">
        <f>HYPERLINK("http://ms.phosphosite.org:5080/cgi-bin/plot-msms.cgi?MassType=1&amp;NumAxis=1&amp;Mod6=147&amp;Mod7=147&amp;Mod29=170&amp;Mod31=170&amp;Pep=FLVPDMMDDICQEQFLELSYLNGVPEPSRGR&amp;Dta=/var/www/html/dta/yong/23613.18825.3.dta&amp;Global_Mod=CS57.0215", "18825")</f>
        <v>18825</v>
      </c>
      <c r="N2145" s="27">
        <v>77.349999999999994</v>
      </c>
      <c r="O2145" s="27">
        <v>77.489999999999995</v>
      </c>
      <c r="P2145" s="27">
        <v>3.1779999999999999</v>
      </c>
      <c r="Q2145" s="27">
        <v>3.4790000000000001</v>
      </c>
      <c r="R2145" s="27">
        <v>1.4054</v>
      </c>
      <c r="S2145" s="27">
        <v>1.3146</v>
      </c>
      <c r="T2145" s="27">
        <v>0.21479999999999999</v>
      </c>
      <c r="U2145" s="27">
        <v>0.1062</v>
      </c>
      <c r="V2145" s="1">
        <v>1</v>
      </c>
      <c r="W2145" s="1">
        <v>1</v>
      </c>
      <c r="X2145" s="27">
        <v>1.34</v>
      </c>
      <c r="Y2145" s="27">
        <v>0.88</v>
      </c>
      <c r="Z2145" s="28" t="s">
        <v>1306</v>
      </c>
      <c r="AA2145" s="28" t="s">
        <v>1306</v>
      </c>
      <c r="AB2145" s="1" t="s">
        <v>13</v>
      </c>
    </row>
    <row r="2146" spans="1:28">
      <c r="A2146" t="s">
        <v>580</v>
      </c>
      <c r="B2146" s="29" t="s">
        <v>2996</v>
      </c>
      <c r="C2146" s="26" t="s">
        <v>2997</v>
      </c>
      <c r="D2146" s="30" t="s">
        <v>2998</v>
      </c>
      <c r="E2146" t="s">
        <v>657</v>
      </c>
      <c r="F2146" s="3" t="s">
        <v>2999</v>
      </c>
      <c r="G2146" s="1">
        <v>48.2</v>
      </c>
      <c r="H2146" t="s">
        <v>3000</v>
      </c>
      <c r="I2146" t="s">
        <v>3001</v>
      </c>
      <c r="J2146" s="1">
        <v>3</v>
      </c>
      <c r="K2146" s="1">
        <v>1239.2529</v>
      </c>
      <c r="L2146" s="1" t="str">
        <f>HYPERLINK("http://ms.phosphosite.org:5080/cgi-bin/plot-msms.cgi?MassType=1&amp;NumAxis=1&amp;Mod6=147&amp;Mod7=147&amp;Mod29=170&amp;Mod31=170&amp;Pep=FLVPDMMDDICQEQFLELSYLNGVPEPSRGR&amp;Dta=/var/www/html/dta/yong/23612.18743.3.dta&amp;Global_Mod=CS57.0215", "18743")</f>
        <v>18743</v>
      </c>
      <c r="M2146" s="1" t="str">
        <f>HYPERLINK("http://ms.phosphosite.org:5080/cgi-bin/plot-msms.cgi?MassType=1&amp;NumAxis=1&amp;Mod6=147&amp;Mod7=147&amp;Mod29=170&amp;Mod31=170&amp;Pep=FLVPDMMDDICQEQFLELSYLNGVPEPSRGR&amp;Dta=/var/www/html/dta/yong/23613.18805.3.dta&amp;Global_Mod=CS57.0215", "18805")</f>
        <v>18805</v>
      </c>
      <c r="N2146" s="27">
        <v>77.53</v>
      </c>
      <c r="O2146" s="27">
        <v>77.400000000000006</v>
      </c>
      <c r="P2146" s="27">
        <v>3.2530000000000001</v>
      </c>
      <c r="Q2146" s="27">
        <v>3.198</v>
      </c>
      <c r="R2146" s="27">
        <v>1.8475999999999999</v>
      </c>
      <c r="S2146" s="27">
        <v>1.4765999999999999</v>
      </c>
      <c r="T2146" s="27">
        <v>0.29680000000000001</v>
      </c>
      <c r="U2146" s="27">
        <v>0.33019999999999999</v>
      </c>
      <c r="V2146" s="1">
        <v>1</v>
      </c>
      <c r="W2146" s="1">
        <v>1</v>
      </c>
      <c r="X2146" s="27">
        <v>1.73</v>
      </c>
      <c r="Y2146" s="27">
        <v>1.92</v>
      </c>
      <c r="Z2146" s="28" t="s">
        <v>1306</v>
      </c>
      <c r="AA2146" s="28" t="s">
        <v>1306</v>
      </c>
      <c r="AB2146" s="1" t="s">
        <v>13</v>
      </c>
    </row>
    <row r="2147" spans="1:28">
      <c r="A2147" t="s">
        <v>580</v>
      </c>
      <c r="B2147" s="29" t="s">
        <v>2996</v>
      </c>
      <c r="C2147" s="26" t="s">
        <v>2997</v>
      </c>
      <c r="D2147" s="30" t="s">
        <v>2998</v>
      </c>
      <c r="E2147" t="s">
        <v>657</v>
      </c>
      <c r="F2147" s="3" t="s">
        <v>2999</v>
      </c>
      <c r="G2147" s="1">
        <v>48.2</v>
      </c>
      <c r="H2147" t="s">
        <v>3000</v>
      </c>
      <c r="I2147" t="s">
        <v>3001</v>
      </c>
      <c r="J2147" s="1">
        <v>4</v>
      </c>
      <c r="K2147" s="1">
        <v>929.69150000000002</v>
      </c>
      <c r="L2147" s="1" t="str">
        <f>HYPERLINK("http://ms.phosphosite.org:5080/cgi-bin/plot-msms.cgi?MassType=1&amp;NumAxis=1&amp;Mod6=147&amp;Mod7=147&amp;Mod29=170&amp;Mod31=170&amp;Pep=FLVPDMMDDICQEQFLELSYLNGVPEPSRGR&amp;Dta=/var/www/html/dta/yong/23612.18705.4.dta&amp;Global_Mod=CS57.0215", "18705")</f>
        <v>18705</v>
      </c>
      <c r="M2147" s="1" t="str">
        <f>HYPERLINK("http://ms.phosphosite.org:5080/cgi-bin/plot-msms.cgi?MassType=1&amp;NumAxis=1&amp;Mod6=147&amp;Mod7=147&amp;Mod29=170&amp;Mod31=170&amp;Pep=FLVPDMMDDICQEQFLELSYLNGVPEPSRGR&amp;Dta=/var/www/html/dta/yong/23613.18811.4.dta&amp;Global_Mod=CS57.0215", "18811")</f>
        <v>18811</v>
      </c>
      <c r="N2147" s="27">
        <v>77.36</v>
      </c>
      <c r="O2147" s="27">
        <v>77.42</v>
      </c>
      <c r="P2147" s="27">
        <v>5.4050000000000002</v>
      </c>
      <c r="Q2147" s="27">
        <v>5.7939999999999996</v>
      </c>
      <c r="R2147" s="27">
        <v>1.2810999999999999</v>
      </c>
      <c r="S2147" s="27">
        <v>0.83979999999999999</v>
      </c>
      <c r="T2147" s="27">
        <v>0.34260000000000002</v>
      </c>
      <c r="U2147" s="27">
        <v>0.51929999999999998</v>
      </c>
      <c r="V2147" s="1">
        <v>1</v>
      </c>
      <c r="W2147" s="1">
        <v>1</v>
      </c>
      <c r="X2147" s="27">
        <v>2.46</v>
      </c>
      <c r="Y2147" s="27">
        <v>3.46</v>
      </c>
      <c r="Z2147" s="28" t="s">
        <v>1306</v>
      </c>
      <c r="AA2147" s="28" t="s">
        <v>1306</v>
      </c>
      <c r="AB2147" s="1" t="s">
        <v>13</v>
      </c>
    </row>
    <row r="2148" spans="1:28">
      <c r="A2148" t="s">
        <v>580</v>
      </c>
      <c r="B2148" s="29" t="s">
        <v>2996</v>
      </c>
      <c r="C2148" s="26" t="s">
        <v>2997</v>
      </c>
      <c r="D2148" s="30" t="s">
        <v>2998</v>
      </c>
      <c r="E2148" t="s">
        <v>657</v>
      </c>
      <c r="F2148" s="3" t="s">
        <v>2999</v>
      </c>
      <c r="G2148" s="1">
        <v>48.2</v>
      </c>
      <c r="H2148" t="s">
        <v>3000</v>
      </c>
      <c r="I2148" t="s">
        <v>3001</v>
      </c>
      <c r="J2148" s="1">
        <v>4</v>
      </c>
      <c r="K2148" s="1">
        <v>929.69150000000002</v>
      </c>
      <c r="L2148" s="1" t="str">
        <f>HYPERLINK("http://ms.phosphosite.org:5080/cgi-bin/plot-msms.cgi?MassType=1&amp;NumAxis=1&amp;Mod6=147&amp;Mod7=147&amp;Mod29=170&amp;Mod31=170&amp;Pep=FLVPDMMDDICQEQFLELSYLNGVPEPSRGR&amp;Dta=/var/www/html/dta/yong/23612.18768.4.dta&amp;Global_Mod=CS57.0215", "18768")</f>
        <v>18768</v>
      </c>
      <c r="M2148" s="1" t="str">
        <f>HYPERLINK("http://ms.phosphosite.org:5080/cgi-bin/plot-msms.cgi?MassType=1&amp;NumAxis=1&amp;Mod6=147&amp;Mod7=147&amp;Mod29=170&amp;Mod31=170&amp;Pep=FLVPDMMDDICQEQFLELSYLNGVPEPSRGR&amp;Dta=/var/www/html/dta/yong/23613.18844.4.dta&amp;Global_Mod=CS57.0215", "18844")</f>
        <v>18844</v>
      </c>
      <c r="N2148" s="27">
        <v>77.64</v>
      </c>
      <c r="O2148" s="27">
        <v>77.569999999999993</v>
      </c>
      <c r="P2148" s="27">
        <v>5.274</v>
      </c>
      <c r="Q2148" s="27">
        <v>4.6420000000000003</v>
      </c>
      <c r="R2148" s="27">
        <v>1.2810999999999999</v>
      </c>
      <c r="S2148" s="27">
        <v>0.83979999999999999</v>
      </c>
      <c r="T2148" s="27">
        <v>0.40799999999999997</v>
      </c>
      <c r="U2148" s="27">
        <v>0.37980000000000003</v>
      </c>
      <c r="V2148" s="1">
        <v>1</v>
      </c>
      <c r="W2148" s="1">
        <v>1</v>
      </c>
      <c r="X2148" s="27">
        <v>2.76</v>
      </c>
      <c r="Y2148" s="27">
        <v>2.54</v>
      </c>
      <c r="Z2148" s="28" t="s">
        <v>1306</v>
      </c>
      <c r="AA2148" s="28" t="s">
        <v>1306</v>
      </c>
      <c r="AB2148" s="1" t="s">
        <v>13</v>
      </c>
    </row>
    <row r="2149" spans="1:28">
      <c r="A2149" t="s">
        <v>580</v>
      </c>
      <c r="B2149" s="29" t="s">
        <v>2996</v>
      </c>
      <c r="C2149" s="26" t="s">
        <v>2997</v>
      </c>
      <c r="D2149" s="30" t="s">
        <v>2998</v>
      </c>
      <c r="E2149" t="s">
        <v>657</v>
      </c>
      <c r="F2149" s="3" t="s">
        <v>2999</v>
      </c>
      <c r="G2149" s="1">
        <v>48.2</v>
      </c>
      <c r="H2149" t="s">
        <v>3000</v>
      </c>
      <c r="I2149" t="s">
        <v>3002</v>
      </c>
      <c r="J2149" s="1">
        <v>2</v>
      </c>
      <c r="K2149" s="1">
        <v>730.38620000000003</v>
      </c>
      <c r="L2149" s="1" t="str">
        <f>HYPERLINK("http://ms.phosphosite.org:5080/cgi-bin/plot-msms.cgi?MassType=1&amp;NumAxis=1&amp;Mod11=170&amp;Mod13=170&amp;Pep=SYLNGVPEPSRGR&amp;Dta=/var/www/html/dta/yong/23612.7445.2.dta&amp;Global_Mod=CS57.0215", "7445")</f>
        <v>7445</v>
      </c>
      <c r="M2149" s="1" t="str">
        <f>HYPERLINK("http://ms.phosphosite.org:5080/cgi-bin/plot-msms.cgi?MassType=1&amp;NumAxis=1&amp;Mod11=170&amp;Mod13=170&amp;Pep=SYLNGVPEPSRGR&amp;Dta=/var/www/html/dta/yong/23613.7519.2.dta&amp;Global_Mod=CS57.0215", "7519")</f>
        <v>7519</v>
      </c>
      <c r="N2149" s="27">
        <v>34.880000000000003</v>
      </c>
      <c r="O2149" s="27">
        <v>34.979999999999997</v>
      </c>
      <c r="P2149" s="27">
        <v>2.0539999999999998</v>
      </c>
      <c r="Q2149" s="27">
        <v>1.9470000000000001</v>
      </c>
      <c r="R2149" s="27">
        <v>0.94199999999999995</v>
      </c>
      <c r="S2149" s="27">
        <v>0.67649999999999999</v>
      </c>
      <c r="T2149" s="27">
        <v>0.18890000000000001</v>
      </c>
      <c r="U2149" s="27">
        <v>0.13700000000000001</v>
      </c>
      <c r="V2149" s="1">
        <v>209</v>
      </c>
      <c r="W2149" s="1">
        <v>52</v>
      </c>
      <c r="X2149" s="27">
        <v>1.03</v>
      </c>
      <c r="Y2149" s="27">
        <v>0.91</v>
      </c>
      <c r="Z2149" s="28" t="s">
        <v>1306</v>
      </c>
      <c r="AA2149" s="28" t="s">
        <v>1306</v>
      </c>
      <c r="AB2149" s="1" t="s">
        <v>13</v>
      </c>
    </row>
    <row r="2150" spans="1:28">
      <c r="A2150" t="s">
        <v>580</v>
      </c>
      <c r="B2150" s="29" t="s">
        <v>2996</v>
      </c>
      <c r="C2150" s="26" t="s">
        <v>2997</v>
      </c>
      <c r="D2150" s="30" t="s">
        <v>2998</v>
      </c>
      <c r="E2150" t="s">
        <v>657</v>
      </c>
      <c r="F2150" s="3" t="s">
        <v>2999</v>
      </c>
      <c r="G2150" s="1">
        <v>48.2</v>
      </c>
      <c r="H2150" t="s">
        <v>3000</v>
      </c>
      <c r="I2150" t="s">
        <v>3002</v>
      </c>
      <c r="J2150" s="1">
        <v>2</v>
      </c>
      <c r="K2150" s="1">
        <v>730.38620000000003</v>
      </c>
      <c r="L2150" s="1"/>
      <c r="M2150" s="1" t="str">
        <f>HYPERLINK("http://ms.phosphosite.org:5080/cgi-bin/plot-msms.cgi?MassType=1&amp;NumAxis=1&amp;Mod11=170&amp;Mod13=170&amp;Pep=SYLNGVPEPSRGR&amp;Dta=/var/www/html/dta/yong/23613.7503.2.dta&amp;Global_Mod=CS57.0215", "7503")</f>
        <v>7503</v>
      </c>
      <c r="N2150" s="27"/>
      <c r="O2150" s="27">
        <v>34.93</v>
      </c>
      <c r="P2150" s="27"/>
      <c r="Q2150" s="27">
        <v>2.3650000000000002</v>
      </c>
      <c r="R2150" s="27"/>
      <c r="S2150" s="27">
        <v>0.67649999999999999</v>
      </c>
      <c r="T2150" s="27"/>
      <c r="U2150" s="27">
        <v>0.16</v>
      </c>
      <c r="V2150" s="1"/>
      <c r="W2150" s="1">
        <v>43</v>
      </c>
      <c r="X2150" s="27"/>
      <c r="Y2150" s="27">
        <v>1.1100000000000001</v>
      </c>
      <c r="Z2150" s="28"/>
      <c r="AA2150" s="28" t="s">
        <v>1306</v>
      </c>
      <c r="AB2150" s="1" t="s">
        <v>13</v>
      </c>
    </row>
    <row r="2151" spans="1:28">
      <c r="A2151" t="s">
        <v>580</v>
      </c>
      <c r="B2151" s="2" t="s">
        <v>3003</v>
      </c>
      <c r="C2151" t="s">
        <v>3004</v>
      </c>
      <c r="D2151" s="1" t="s">
        <v>3005</v>
      </c>
      <c r="E2151" t="s">
        <v>3006</v>
      </c>
      <c r="F2151" s="3" t="s">
        <v>3007</v>
      </c>
      <c r="G2151" s="1">
        <v>73.099999999999994</v>
      </c>
      <c r="H2151" t="s">
        <v>3008</v>
      </c>
      <c r="I2151" t="s">
        <v>3009</v>
      </c>
      <c r="J2151" s="1">
        <v>3</v>
      </c>
      <c r="K2151" s="1">
        <v>576.95809999999994</v>
      </c>
      <c r="L2151" s="1" t="str">
        <f>HYPERLINK("http://ms.phosphosite.org:5080/cgi-bin/plot-msms.cgi?MassType=1&amp;NumAxis=1&amp;Mod12=147&amp;Mod17=170&amp;Mod19=170&amp;Pep=SGPPGPPGGPGMPPGGRGR&amp;Dta=/var/www/html/dta/yong/23612.4364.3.dta&amp;Global_Mod=CS57.0215", "4364")</f>
        <v>4364</v>
      </c>
      <c r="M2151" s="1"/>
      <c r="N2151" s="27">
        <v>23.38</v>
      </c>
      <c r="O2151" s="27"/>
      <c r="P2151" s="27">
        <v>1.754</v>
      </c>
      <c r="Q2151" s="27"/>
      <c r="R2151" s="27">
        <v>0.1216</v>
      </c>
      <c r="S2151" s="27"/>
      <c r="T2151" s="27">
        <v>3.04E-2</v>
      </c>
      <c r="U2151" s="27"/>
      <c r="V2151" s="1">
        <v>21</v>
      </c>
      <c r="W2151" s="1"/>
      <c r="X2151" s="27">
        <v>0.73</v>
      </c>
      <c r="Y2151" s="27"/>
      <c r="Z2151" s="28" t="s">
        <v>1306</v>
      </c>
      <c r="AA2151" s="28"/>
      <c r="AB2151" s="1" t="s">
        <v>13</v>
      </c>
    </row>
    <row r="2152" spans="1:28">
      <c r="A2152" t="s">
        <v>580</v>
      </c>
      <c r="B2152" s="2" t="s">
        <v>3003</v>
      </c>
      <c r="C2152" t="s">
        <v>3004</v>
      </c>
      <c r="D2152" s="1" t="s">
        <v>3005</v>
      </c>
      <c r="E2152" t="s">
        <v>3006</v>
      </c>
      <c r="F2152" s="3" t="s">
        <v>3007</v>
      </c>
      <c r="G2152" s="1">
        <v>73.099999999999994</v>
      </c>
      <c r="H2152" t="s">
        <v>3008</v>
      </c>
      <c r="I2152" t="s">
        <v>3010</v>
      </c>
      <c r="J2152" s="1">
        <v>3</v>
      </c>
      <c r="K2152" s="1">
        <v>571.62649999999996</v>
      </c>
      <c r="L2152" s="1"/>
      <c r="M2152" s="1" t="str">
        <f>HYPERLINK("http://ms.phosphosite.org:5080/cgi-bin/plot-msms.cgi?MassType=1&amp;NumAxis=1&amp;Mod17=170&amp;Mod19=170&amp;Pep=SGPPGPPGGPGMPPGGRGR&amp;Dta=/var/www/html/dta/yong/23613.5857.3.dta&amp;Global_Mod=CS57.0215", "5857")</f>
        <v>5857</v>
      </c>
      <c r="N2152" s="27"/>
      <c r="O2152" s="27">
        <v>28.83</v>
      </c>
      <c r="P2152" s="27"/>
      <c r="Q2152" s="27">
        <v>1.8440000000000001</v>
      </c>
      <c r="R2152" s="27"/>
      <c r="S2152" s="27">
        <v>5.7200000000000001E-2</v>
      </c>
      <c r="T2152" s="27"/>
      <c r="U2152" s="27">
        <v>0.13600000000000001</v>
      </c>
      <c r="V2152" s="1"/>
      <c r="W2152" s="1">
        <v>15</v>
      </c>
      <c r="X2152" s="27"/>
      <c r="Y2152" s="27">
        <v>1.24</v>
      </c>
      <c r="Z2152" s="28"/>
      <c r="AA2152" s="28" t="s">
        <v>1306</v>
      </c>
      <c r="AB2152" s="1" t="s">
        <v>13</v>
      </c>
    </row>
    <row r="2153" spans="1:28">
      <c r="A2153" t="s">
        <v>580</v>
      </c>
      <c r="B2153" s="2" t="s">
        <v>3003</v>
      </c>
      <c r="C2153" t="s">
        <v>3004</v>
      </c>
      <c r="D2153" s="1" t="s">
        <v>3005</v>
      </c>
      <c r="E2153" t="s">
        <v>3006</v>
      </c>
      <c r="F2153" s="3" t="s">
        <v>3007</v>
      </c>
      <c r="G2153" s="1">
        <v>73.099999999999994</v>
      </c>
      <c r="H2153" t="s">
        <v>3008</v>
      </c>
      <c r="I2153" t="s">
        <v>3010</v>
      </c>
      <c r="J2153" s="1">
        <v>3</v>
      </c>
      <c r="K2153" s="1">
        <v>571.62649999999996</v>
      </c>
      <c r="L2153" s="1"/>
      <c r="M2153" s="1" t="str">
        <f>HYPERLINK("http://ms.phosphosite.org:5080/cgi-bin/plot-msms.cgi?MassType=1&amp;NumAxis=1&amp;Mod17=170&amp;Mod19=170&amp;Pep=SGPPGPPGGPGMPPGGRGR&amp;Dta=/var/www/html/dta/yong/23613.5993.3.dta&amp;Global_Mod=CS57.0215", "5993")</f>
        <v>5993</v>
      </c>
      <c r="N2153" s="27"/>
      <c r="O2153" s="27">
        <v>29.36</v>
      </c>
      <c r="P2153" s="27"/>
      <c r="Q2153" s="27">
        <v>1.7270000000000001</v>
      </c>
      <c r="R2153" s="27"/>
      <c r="S2153" s="27">
        <v>0.78390000000000004</v>
      </c>
      <c r="T2153" s="27"/>
      <c r="U2153" s="27">
        <v>0.13270000000000001</v>
      </c>
      <c r="V2153" s="1"/>
      <c r="W2153" s="1">
        <v>98</v>
      </c>
      <c r="X2153" s="27"/>
      <c r="Y2153" s="27">
        <v>1.1499999999999999</v>
      </c>
      <c r="Z2153" s="28"/>
      <c r="AA2153" s="28" t="s">
        <v>1306</v>
      </c>
      <c r="AB2153" s="1" t="s">
        <v>13</v>
      </c>
    </row>
    <row r="2154" spans="1:28">
      <c r="A2154" t="s">
        <v>580</v>
      </c>
      <c r="B2154" s="2" t="s">
        <v>3003</v>
      </c>
      <c r="C2154" t="s">
        <v>3004</v>
      </c>
      <c r="D2154" s="1">
        <v>415</v>
      </c>
      <c r="E2154" t="s">
        <v>3006</v>
      </c>
      <c r="F2154" s="3" t="s">
        <v>3007</v>
      </c>
      <c r="G2154" s="1">
        <v>73.099999999999994</v>
      </c>
      <c r="H2154" t="s">
        <v>3011</v>
      </c>
      <c r="I2154" t="s">
        <v>3012</v>
      </c>
      <c r="J2154" s="1">
        <v>2</v>
      </c>
      <c r="K2154" s="1">
        <v>765.84130000000005</v>
      </c>
      <c r="L2154" s="1" t="str">
        <f>HYPERLINK("http://ms.phosphosite.org:5080/cgi-bin/plot-msms.cgi?MassType=1&amp;NumAxis=1&amp;Mod2=170&amp;Mod14=147&amp;Pep=GRGQGNWGPPGGEMT&amp;Dta=/var/www/html/dta/yong/23612.6488.2.dta&amp;Global_Mod=CS57.0215", "6488")</f>
        <v>6488</v>
      </c>
      <c r="M2154" s="1" t="str">
        <f>HYPERLINK("http://ms.phosphosite.org:5080/cgi-bin/plot-msms.cgi?MassType=1&amp;NumAxis=1&amp;Mod2=170&amp;Mod14=147&amp;Pep=GRGQGNWGPPGGEMT&amp;Dta=/var/www/html/dta/yong/23613.6528.2.dta&amp;Global_Mod=CS57.0215", "6528")</f>
        <v>6528</v>
      </c>
      <c r="N2154" s="27">
        <v>31.36</v>
      </c>
      <c r="O2154" s="27">
        <v>31.32</v>
      </c>
      <c r="P2154" s="27">
        <v>3.7069999999999999</v>
      </c>
      <c r="Q2154" s="27">
        <v>3.698</v>
      </c>
      <c r="R2154" s="27">
        <v>2.0539999999999998</v>
      </c>
      <c r="S2154" s="27">
        <v>1.4124000000000001</v>
      </c>
      <c r="T2154" s="27">
        <v>0.53200000000000003</v>
      </c>
      <c r="U2154" s="27">
        <v>0.55840000000000001</v>
      </c>
      <c r="V2154" s="1">
        <v>1</v>
      </c>
      <c r="W2154" s="1">
        <v>1</v>
      </c>
      <c r="X2154" s="27">
        <v>3.52</v>
      </c>
      <c r="Y2154" s="27">
        <v>3.68</v>
      </c>
      <c r="Z2154" s="28">
        <v>1000</v>
      </c>
      <c r="AA2154" s="28">
        <v>1000</v>
      </c>
      <c r="AB2154" s="1" t="s">
        <v>13</v>
      </c>
    </row>
    <row r="2155" spans="1:28">
      <c r="A2155" t="s">
        <v>580</v>
      </c>
      <c r="B2155" s="2" t="s">
        <v>3003</v>
      </c>
      <c r="C2155" t="s">
        <v>3004</v>
      </c>
      <c r="D2155" s="1">
        <v>415</v>
      </c>
      <c r="E2155" t="s">
        <v>3006</v>
      </c>
      <c r="F2155" s="3" t="s">
        <v>3007</v>
      </c>
      <c r="G2155" s="1">
        <v>73.099999999999994</v>
      </c>
      <c r="H2155" t="s">
        <v>3011</v>
      </c>
      <c r="I2155" t="s">
        <v>3012</v>
      </c>
      <c r="J2155" s="1">
        <v>2</v>
      </c>
      <c r="K2155" s="1">
        <v>765.84130000000005</v>
      </c>
      <c r="L2155" s="1" t="str">
        <f>HYPERLINK("http://ms.phosphosite.org:5080/cgi-bin/plot-msms.cgi?MassType=1&amp;NumAxis=1&amp;Mod2=170&amp;Mod14=147&amp;Pep=GRGQGNWGPPGGEMT&amp;Dta=/var/www/html/dta/yong/23612.6468.2.dta&amp;Global_Mod=CS57.0215", "6468")</f>
        <v>6468</v>
      </c>
      <c r="M2155" s="1"/>
      <c r="N2155" s="27">
        <v>31.28</v>
      </c>
      <c r="O2155" s="27"/>
      <c r="P2155" s="27">
        <v>3.5150000000000001</v>
      </c>
      <c r="Q2155" s="27"/>
      <c r="R2155" s="27">
        <v>2.0539999999999998</v>
      </c>
      <c r="S2155" s="27"/>
      <c r="T2155" s="27">
        <v>0.47649999999999998</v>
      </c>
      <c r="U2155" s="27"/>
      <c r="V2155" s="1">
        <v>1</v>
      </c>
      <c r="W2155" s="1"/>
      <c r="X2155" s="27">
        <v>3.2</v>
      </c>
      <c r="Y2155" s="27"/>
      <c r="Z2155" s="28">
        <v>1000</v>
      </c>
      <c r="AA2155" s="28"/>
      <c r="AB2155" s="1" t="s">
        <v>13</v>
      </c>
    </row>
    <row r="2156" spans="1:28">
      <c r="A2156" t="s">
        <v>580</v>
      </c>
      <c r="B2156" s="2" t="s">
        <v>3003</v>
      </c>
      <c r="C2156" t="s">
        <v>3004</v>
      </c>
      <c r="D2156" s="1">
        <v>411</v>
      </c>
      <c r="E2156" t="s">
        <v>3006</v>
      </c>
      <c r="F2156" s="3" t="s">
        <v>3007</v>
      </c>
      <c r="G2156" s="1">
        <v>73.099999999999994</v>
      </c>
      <c r="H2156" t="s">
        <v>3013</v>
      </c>
      <c r="I2156" t="s">
        <v>3014</v>
      </c>
      <c r="J2156" s="1">
        <v>2</v>
      </c>
      <c r="K2156" s="1">
        <v>751.36450000000002</v>
      </c>
      <c r="L2156" s="1" t="str">
        <f>HYPERLINK("http://ms.phosphosite.org:5080/cgi-bin/plot-msms.cgi?MassType=1&amp;NumAxis=1&amp;Mod12=147&amp;Mod17=170&amp;Pep=SGPPGPPGGPGMPPGGR&amp;Dta=/var/www/html/dta/yong/23612.5365.2.dta&amp;Global_Mod=CS57.0215", "5365")</f>
        <v>5365</v>
      </c>
      <c r="M2156" s="1" t="str">
        <f>HYPERLINK("http://ms.phosphosite.org:5080/cgi-bin/plot-msms.cgi?MassType=1&amp;NumAxis=1&amp;Mod12=147&amp;Mod17=170&amp;Pep=SGPPGPPGGPGMPPGGR&amp;Dta=/var/www/html/dta/yong/23613.6016.2.dta&amp;Global_Mod=CS57.0215", "6016")</f>
        <v>6016</v>
      </c>
      <c r="N2156" s="27">
        <v>27.23</v>
      </c>
      <c r="O2156" s="27">
        <v>29.46</v>
      </c>
      <c r="P2156" s="27">
        <v>2.4929999999999999</v>
      </c>
      <c r="Q2156" s="27">
        <v>2.9670000000000001</v>
      </c>
      <c r="R2156" s="27">
        <v>0.73029999999999995</v>
      </c>
      <c r="S2156" s="27">
        <v>1.2430000000000001</v>
      </c>
      <c r="T2156" s="27">
        <v>0.33029999999999998</v>
      </c>
      <c r="U2156" s="27">
        <v>0.25290000000000001</v>
      </c>
      <c r="V2156" s="1">
        <v>1</v>
      </c>
      <c r="W2156" s="1">
        <v>1</v>
      </c>
      <c r="X2156" s="27">
        <v>2.52</v>
      </c>
      <c r="Y2156" s="27">
        <v>2.2000000000000002</v>
      </c>
      <c r="Z2156" s="28">
        <v>1000</v>
      </c>
      <c r="AA2156" s="28">
        <v>1000</v>
      </c>
      <c r="AB2156" s="1" t="s">
        <v>13</v>
      </c>
    </row>
    <row r="2157" spans="1:28">
      <c r="A2157" t="s">
        <v>580</v>
      </c>
      <c r="B2157" s="2" t="s">
        <v>3003</v>
      </c>
      <c r="C2157" t="s">
        <v>3004</v>
      </c>
      <c r="D2157" s="1">
        <v>411</v>
      </c>
      <c r="E2157" t="s">
        <v>3006</v>
      </c>
      <c r="F2157" s="3" t="s">
        <v>3007</v>
      </c>
      <c r="G2157" s="1">
        <v>73.099999999999994</v>
      </c>
      <c r="H2157" t="s">
        <v>3013</v>
      </c>
      <c r="I2157" t="s">
        <v>3014</v>
      </c>
      <c r="J2157" s="1">
        <v>2</v>
      </c>
      <c r="K2157" s="1">
        <v>751.36450000000002</v>
      </c>
      <c r="L2157" s="1" t="str">
        <f>HYPERLINK("http://ms.phosphosite.org:5080/cgi-bin/plot-msms.cgi?MassType=1&amp;NumAxis=1&amp;Mod12=147&amp;Mod17=170&amp;Pep=SGPPGPPGGPGMPPGGR&amp;Dta=/var/www/html/dta/yong/23612.5175.2.dta&amp;Global_Mod=CS57.0215", "5175")</f>
        <v>5175</v>
      </c>
      <c r="M2157" s="1" t="str">
        <f>HYPERLINK("http://ms.phosphosite.org:5080/cgi-bin/plot-msms.cgi?MassType=1&amp;NumAxis=1&amp;Mod12=147&amp;Mod17=170&amp;Pep=SGPPGPPGGPGMPPGGR&amp;Dta=/var/www/html/dta/yong/23613.5221.2.dta&amp;Global_Mod=CS57.0215", "5221")</f>
        <v>5221</v>
      </c>
      <c r="N2157" s="27">
        <v>26.47</v>
      </c>
      <c r="O2157" s="27">
        <v>26.47</v>
      </c>
      <c r="P2157" s="27">
        <v>3.0619999999999998</v>
      </c>
      <c r="Q2157" s="27">
        <v>3.74</v>
      </c>
      <c r="R2157" s="27">
        <v>0.65629999999999999</v>
      </c>
      <c r="S2157" s="27">
        <v>0.58320000000000005</v>
      </c>
      <c r="T2157" s="27">
        <v>0.36870000000000003</v>
      </c>
      <c r="U2157" s="27">
        <v>0.27539999999999998</v>
      </c>
      <c r="V2157" s="1">
        <v>1</v>
      </c>
      <c r="W2157" s="1">
        <v>1</v>
      </c>
      <c r="X2157" s="27">
        <v>2.83</v>
      </c>
      <c r="Y2157" s="27">
        <v>2.5</v>
      </c>
      <c r="Z2157" s="28">
        <v>1000</v>
      </c>
      <c r="AA2157" s="28">
        <v>1000</v>
      </c>
      <c r="AB2157" s="1" t="s">
        <v>13</v>
      </c>
    </row>
    <row r="2158" spans="1:28">
      <c r="A2158" t="s">
        <v>580</v>
      </c>
      <c r="B2158" s="2" t="s">
        <v>3003</v>
      </c>
      <c r="C2158" t="s">
        <v>3004</v>
      </c>
      <c r="D2158" s="1">
        <v>411</v>
      </c>
      <c r="E2158" t="s">
        <v>3006</v>
      </c>
      <c r="F2158" s="3" t="s">
        <v>3007</v>
      </c>
      <c r="G2158" s="1">
        <v>73.099999999999994</v>
      </c>
      <c r="H2158" t="s">
        <v>3013</v>
      </c>
      <c r="I2158" t="s">
        <v>3014</v>
      </c>
      <c r="J2158" s="1">
        <v>2</v>
      </c>
      <c r="K2158" s="1">
        <v>751.36450000000002</v>
      </c>
      <c r="L2158" s="1" t="str">
        <f>HYPERLINK("http://ms.phosphosite.org:5080/cgi-bin/plot-msms.cgi?MassType=1&amp;NumAxis=1&amp;Mod12=147&amp;Mod17=170&amp;Pep=SGPPGPPGGPGMPPGGR&amp;Dta=/var/www/html/dta/yong/23612.5651.2.dta&amp;Global_Mod=CS57.0215", "5651")</f>
        <v>5651</v>
      </c>
      <c r="M2158" s="1" t="str">
        <f>HYPERLINK("http://ms.phosphosite.org:5080/cgi-bin/plot-msms.cgi?MassType=1&amp;NumAxis=1&amp;Mod12=147&amp;Mod17=170&amp;Pep=SGPPGPPGGPGMPPGGR&amp;Dta=/var/www/html/dta/yong/23613.5411.2.dta&amp;Global_Mod=CS57.0215", "5411")</f>
        <v>5411</v>
      </c>
      <c r="N2158" s="27">
        <v>28.27</v>
      </c>
      <c r="O2158" s="27">
        <v>27.2</v>
      </c>
      <c r="P2158" s="27">
        <v>3.153</v>
      </c>
      <c r="Q2158" s="27">
        <v>2.5019999999999998</v>
      </c>
      <c r="R2158" s="27">
        <v>0.91610000000000003</v>
      </c>
      <c r="S2158" s="27">
        <v>0.59450000000000003</v>
      </c>
      <c r="T2158" s="27">
        <v>0.40789999999999998</v>
      </c>
      <c r="U2158" s="27">
        <v>0.24709999999999999</v>
      </c>
      <c r="V2158" s="1">
        <v>1</v>
      </c>
      <c r="W2158" s="1">
        <v>2</v>
      </c>
      <c r="X2158" s="27">
        <v>3.02</v>
      </c>
      <c r="Y2158" s="27">
        <v>2.11</v>
      </c>
      <c r="Z2158" s="28">
        <v>1000</v>
      </c>
      <c r="AA2158" s="28">
        <v>1000</v>
      </c>
      <c r="AB2158" s="1" t="s">
        <v>13</v>
      </c>
    </row>
    <row r="2159" spans="1:28">
      <c r="A2159" t="s">
        <v>580</v>
      </c>
      <c r="B2159" s="2" t="s">
        <v>3003</v>
      </c>
      <c r="C2159" t="s">
        <v>3004</v>
      </c>
      <c r="D2159" s="1">
        <v>411</v>
      </c>
      <c r="E2159" t="s">
        <v>3006</v>
      </c>
      <c r="F2159" s="3" t="s">
        <v>3007</v>
      </c>
      <c r="G2159" s="1">
        <v>73.099999999999994</v>
      </c>
      <c r="H2159" t="s">
        <v>3013</v>
      </c>
      <c r="I2159" t="s">
        <v>3014</v>
      </c>
      <c r="J2159" s="1">
        <v>2</v>
      </c>
      <c r="K2159" s="1">
        <v>751.36450000000002</v>
      </c>
      <c r="L2159" s="1" t="str">
        <f>HYPERLINK("http://ms.phosphosite.org:5080/cgi-bin/plot-msms.cgi?MassType=1&amp;NumAxis=1&amp;Mod12=147&amp;Mod17=170&amp;Pep=SGPPGPPGGPGMPPGGR&amp;Dta=/var/www/html/dta/yong/23612.5714.2.dta&amp;Global_Mod=CS57.0215", "5714")</f>
        <v>5714</v>
      </c>
      <c r="M2159" s="1" t="str">
        <f>HYPERLINK("http://ms.phosphosite.org:5080/cgi-bin/plot-msms.cgi?MassType=1&amp;NumAxis=1&amp;Mod12=147&amp;Mod17=170&amp;Pep=SGPPGPPGGPGMPPGGR&amp;Dta=/var/www/html/dta/yong/23613.5828.2.dta&amp;Global_Mod=CS57.0215", "5828")</f>
        <v>5828</v>
      </c>
      <c r="N2159" s="27">
        <v>28.5</v>
      </c>
      <c r="O2159" s="27">
        <v>28.72</v>
      </c>
      <c r="P2159" s="27">
        <v>3.1760000000000002</v>
      </c>
      <c r="Q2159" s="27">
        <v>3.0329999999999999</v>
      </c>
      <c r="R2159" s="27">
        <v>0.83109999999999995</v>
      </c>
      <c r="S2159" s="27">
        <v>0.72230000000000005</v>
      </c>
      <c r="T2159" s="27">
        <v>0.26700000000000002</v>
      </c>
      <c r="U2159" s="27">
        <v>0.33289999999999997</v>
      </c>
      <c r="V2159" s="1">
        <v>1</v>
      </c>
      <c r="W2159" s="1">
        <v>1</v>
      </c>
      <c r="X2159" s="27">
        <v>2.34</v>
      </c>
      <c r="Y2159" s="27">
        <v>2.63</v>
      </c>
      <c r="Z2159" s="28">
        <v>1000</v>
      </c>
      <c r="AA2159" s="28">
        <v>1000</v>
      </c>
      <c r="AB2159" s="1" t="s">
        <v>13</v>
      </c>
    </row>
    <row r="2160" spans="1:28">
      <c r="A2160" t="s">
        <v>580</v>
      </c>
      <c r="B2160" s="2" t="s">
        <v>3003</v>
      </c>
      <c r="C2160" t="s">
        <v>3004</v>
      </c>
      <c r="D2160" s="1">
        <v>411</v>
      </c>
      <c r="E2160" t="s">
        <v>3006</v>
      </c>
      <c r="F2160" s="3" t="s">
        <v>3007</v>
      </c>
      <c r="G2160" s="1">
        <v>73.099999999999994</v>
      </c>
      <c r="H2160" t="s">
        <v>3013</v>
      </c>
      <c r="I2160" t="s">
        <v>3014</v>
      </c>
      <c r="J2160" s="1">
        <v>2</v>
      </c>
      <c r="K2160" s="1">
        <v>751.36450000000002</v>
      </c>
      <c r="L2160" s="1" t="str">
        <f>HYPERLINK("http://ms.phosphosite.org:5080/cgi-bin/plot-msms.cgi?MassType=1&amp;NumAxis=1&amp;Mod12=147&amp;Mod17=170&amp;Pep=SGPPGPPGGPGMPPGGR&amp;Dta=/var/www/html/dta/yong/23612.5965.2.dta&amp;Global_Mod=CS57.0215", "5965")</f>
        <v>5965</v>
      </c>
      <c r="M2160" s="1" t="str">
        <f>HYPERLINK("http://ms.phosphosite.org:5080/cgi-bin/plot-msms.cgi?MassType=1&amp;NumAxis=1&amp;Mod12=147&amp;Mod17=170&amp;Pep=SGPPGPPGGPGMPPGGR&amp;Dta=/var/www/html/dta/yong/23613.5815.2.dta&amp;Global_Mod=CS57.0215", "5815")</f>
        <v>5815</v>
      </c>
      <c r="N2160" s="27">
        <v>29.44</v>
      </c>
      <c r="O2160" s="27">
        <v>28.67</v>
      </c>
      <c r="P2160" s="27">
        <v>2.8420000000000001</v>
      </c>
      <c r="Q2160" s="27">
        <v>2.5750000000000002</v>
      </c>
      <c r="R2160" s="27">
        <v>1.1931</v>
      </c>
      <c r="S2160" s="27">
        <v>0.67849999999999999</v>
      </c>
      <c r="T2160" s="27">
        <v>0.3417</v>
      </c>
      <c r="U2160" s="27">
        <v>0.33729999999999999</v>
      </c>
      <c r="V2160" s="1">
        <v>2</v>
      </c>
      <c r="W2160" s="1">
        <v>1</v>
      </c>
      <c r="X2160" s="27">
        <v>2.62</v>
      </c>
      <c r="Y2160" s="27">
        <v>2.56</v>
      </c>
      <c r="Z2160" s="28">
        <v>1000</v>
      </c>
      <c r="AA2160" s="28">
        <v>1000</v>
      </c>
      <c r="AB2160" s="1" t="s">
        <v>13</v>
      </c>
    </row>
    <row r="2161" spans="1:28">
      <c r="A2161" t="s">
        <v>580</v>
      </c>
      <c r="B2161" s="2" t="s">
        <v>3003</v>
      </c>
      <c r="C2161" t="s">
        <v>3004</v>
      </c>
      <c r="D2161" s="1">
        <v>411</v>
      </c>
      <c r="E2161" t="s">
        <v>3006</v>
      </c>
      <c r="F2161" s="3" t="s">
        <v>3007</v>
      </c>
      <c r="G2161" s="1">
        <v>73.099999999999994</v>
      </c>
      <c r="H2161" t="s">
        <v>3013</v>
      </c>
      <c r="I2161" t="s">
        <v>3014</v>
      </c>
      <c r="J2161" s="1">
        <v>2</v>
      </c>
      <c r="K2161" s="1">
        <v>751.36450000000002</v>
      </c>
      <c r="L2161" s="1" t="str">
        <f>HYPERLINK("http://ms.phosphosite.org:5080/cgi-bin/plot-msms.cgi?MassType=1&amp;NumAxis=1&amp;Mod12=147&amp;Mod17=170&amp;Pep=SGPPGPPGGPGMPPGGR&amp;Dta=/var/www/html/dta/yong/23612.5417.2.dta&amp;Global_Mod=CS57.0215", "5417")</f>
        <v>5417</v>
      </c>
      <c r="M2161" s="1" t="str">
        <f>HYPERLINK("http://ms.phosphosite.org:5080/cgi-bin/plot-msms.cgi?MassType=1&amp;NumAxis=1&amp;Mod12=147&amp;Mod17=170&amp;Pep=SGPPGPPGGPGMPPGGR&amp;Dta=/var/www/html/dta/yong/23613.5629.2.dta&amp;Global_Mod=CS57.0215", "5629")</f>
        <v>5629</v>
      </c>
      <c r="N2161" s="27">
        <v>27.4</v>
      </c>
      <c r="O2161" s="27">
        <v>27.98</v>
      </c>
      <c r="P2161" s="27">
        <v>2.762</v>
      </c>
      <c r="Q2161" s="27">
        <v>3.0430000000000001</v>
      </c>
      <c r="R2161" s="27">
        <v>0.74629999999999996</v>
      </c>
      <c r="S2161" s="27">
        <v>1.0723</v>
      </c>
      <c r="T2161" s="27">
        <v>0.36499999999999999</v>
      </c>
      <c r="U2161" s="27">
        <v>0.34660000000000002</v>
      </c>
      <c r="V2161" s="1">
        <v>1</v>
      </c>
      <c r="W2161" s="1">
        <v>1</v>
      </c>
      <c r="X2161" s="27">
        <v>2.75</v>
      </c>
      <c r="Y2161" s="27">
        <v>2.68</v>
      </c>
      <c r="Z2161" s="28">
        <v>1000</v>
      </c>
      <c r="AA2161" s="28">
        <v>1000</v>
      </c>
      <c r="AB2161" s="1" t="s">
        <v>13</v>
      </c>
    </row>
    <row r="2162" spans="1:28">
      <c r="A2162" t="s">
        <v>580</v>
      </c>
      <c r="B2162" s="2" t="s">
        <v>3003</v>
      </c>
      <c r="C2162" t="s">
        <v>3004</v>
      </c>
      <c r="D2162" s="1">
        <v>411</v>
      </c>
      <c r="E2162" t="s">
        <v>3006</v>
      </c>
      <c r="F2162" s="3" t="s">
        <v>3007</v>
      </c>
      <c r="G2162" s="1">
        <v>73.099999999999994</v>
      </c>
      <c r="H2162" t="s">
        <v>3013</v>
      </c>
      <c r="I2162" t="s">
        <v>3014</v>
      </c>
      <c r="J2162" s="1">
        <v>2</v>
      </c>
      <c r="K2162" s="1">
        <v>751.36450000000002</v>
      </c>
      <c r="L2162" s="1" t="str">
        <f>HYPERLINK("http://ms.phosphosite.org:5080/cgi-bin/plot-msms.cgi?MassType=1&amp;NumAxis=1&amp;Mod12=147&amp;Mod17=170&amp;Pep=SGPPGPPGGPGMPPGGR&amp;Dta=/var/www/html/dta/yong/23612.6006.2.dta&amp;Global_Mod=CS57.0215", "6006")</f>
        <v>6006</v>
      </c>
      <c r="M2162" s="1"/>
      <c r="N2162" s="27">
        <v>29.61</v>
      </c>
      <c r="O2162" s="27"/>
      <c r="P2162" s="27">
        <v>2.5779999999999998</v>
      </c>
      <c r="Q2162" s="27"/>
      <c r="R2162" s="27">
        <v>1.2072000000000001</v>
      </c>
      <c r="S2162" s="27"/>
      <c r="T2162" s="27">
        <v>0.31440000000000001</v>
      </c>
      <c r="U2162" s="27"/>
      <c r="V2162" s="1">
        <v>1</v>
      </c>
      <c r="W2162" s="1"/>
      <c r="X2162" s="27">
        <v>2.44</v>
      </c>
      <c r="Y2162" s="27"/>
      <c r="Z2162" s="28">
        <v>1000</v>
      </c>
      <c r="AA2162" s="28"/>
      <c r="AB2162" s="1" t="s">
        <v>13</v>
      </c>
    </row>
    <row r="2163" spans="1:28">
      <c r="A2163" t="s">
        <v>580</v>
      </c>
      <c r="B2163" s="2" t="s">
        <v>3003</v>
      </c>
      <c r="C2163" t="s">
        <v>3004</v>
      </c>
      <c r="D2163" s="1">
        <v>411</v>
      </c>
      <c r="E2163" t="s">
        <v>3006</v>
      </c>
      <c r="F2163" s="3" t="s">
        <v>3007</v>
      </c>
      <c r="G2163" s="1">
        <v>73.099999999999994</v>
      </c>
      <c r="H2163" t="s">
        <v>3013</v>
      </c>
      <c r="I2163" t="s">
        <v>3014</v>
      </c>
      <c r="J2163" s="1">
        <v>3</v>
      </c>
      <c r="K2163" s="1">
        <v>501.24540000000002</v>
      </c>
      <c r="L2163" s="1" t="str">
        <f>HYPERLINK("http://ms.phosphosite.org:5080/cgi-bin/plot-msms.cgi?MassType=1&amp;NumAxis=1&amp;Mod12=147&amp;Mod17=170&amp;Pep=SGPPGPPGGPGMPPGGR&amp;Dta=/var/www/html/dta/yong/23612.5180.3.dta&amp;Global_Mod=CS57.0215", "5180")</f>
        <v>5180</v>
      </c>
      <c r="M2163" s="1" t="str">
        <f>HYPERLINK("http://ms.phosphosite.org:5080/cgi-bin/plot-msms.cgi?MassType=1&amp;NumAxis=1&amp;Mod12=147&amp;Mod17=170&amp;Pep=SGPPGPPGGPGMPPGGR&amp;Dta=/var/www/html/dta/yong/23613.5224.3.dta&amp;Global_Mod=CS57.0215", "5224")</f>
        <v>5224</v>
      </c>
      <c r="N2163" s="27">
        <v>26.48</v>
      </c>
      <c r="O2163" s="27">
        <v>26.48</v>
      </c>
      <c r="P2163" s="27">
        <v>2.7730000000000001</v>
      </c>
      <c r="Q2163" s="27">
        <v>2.3039999999999998</v>
      </c>
      <c r="R2163" s="27">
        <v>0.22409999999999999</v>
      </c>
      <c r="S2163" s="27">
        <v>0.1268</v>
      </c>
      <c r="T2163" s="27">
        <v>0.3306</v>
      </c>
      <c r="U2163" s="27">
        <v>0.10299999999999999</v>
      </c>
      <c r="V2163" s="1">
        <v>1</v>
      </c>
      <c r="W2163" s="1">
        <v>1</v>
      </c>
      <c r="X2163" s="27">
        <v>2.64</v>
      </c>
      <c r="Y2163" s="27">
        <v>1.39</v>
      </c>
      <c r="Z2163" s="28">
        <v>1000</v>
      </c>
      <c r="AA2163" s="28">
        <v>1000</v>
      </c>
      <c r="AB2163" s="1" t="s">
        <v>13</v>
      </c>
    </row>
    <row r="2164" spans="1:28">
      <c r="A2164" t="s">
        <v>580</v>
      </c>
      <c r="B2164" s="2" t="s">
        <v>3003</v>
      </c>
      <c r="C2164" t="s">
        <v>3004</v>
      </c>
      <c r="D2164" s="1">
        <v>411</v>
      </c>
      <c r="E2164" t="s">
        <v>3006</v>
      </c>
      <c r="F2164" s="3" t="s">
        <v>3007</v>
      </c>
      <c r="G2164" s="1">
        <v>73.099999999999994</v>
      </c>
      <c r="H2164" t="s">
        <v>3013</v>
      </c>
      <c r="I2164" t="s">
        <v>3015</v>
      </c>
      <c r="J2164" s="1">
        <v>3</v>
      </c>
      <c r="K2164" s="1">
        <v>495.91379999999998</v>
      </c>
      <c r="L2164" s="1"/>
      <c r="M2164" s="1" t="str">
        <f>HYPERLINK("http://ms.phosphosite.org:5080/cgi-bin/plot-msms.cgi?MassType=1&amp;NumAxis=1&amp;Mod17=170&amp;Pep=SGPPGPPGGPGMPPGGR&amp;Dta=/var/www/html/dta/yong/23613.6831.3.dta&amp;Global_Mod=CS57.0215", "6831")</f>
        <v>6831</v>
      </c>
      <c r="N2164" s="27"/>
      <c r="O2164" s="27">
        <v>32.5</v>
      </c>
      <c r="P2164" s="27"/>
      <c r="Q2164" s="27">
        <v>2.0110000000000001</v>
      </c>
      <c r="R2164" s="27"/>
      <c r="S2164" s="27">
        <v>0.1326</v>
      </c>
      <c r="T2164" s="27"/>
      <c r="U2164" s="27">
        <v>1.06E-2</v>
      </c>
      <c r="V2164" s="1"/>
      <c r="W2164" s="1">
        <v>1</v>
      </c>
      <c r="X2164" s="27"/>
      <c r="Y2164" s="27">
        <v>0.88</v>
      </c>
      <c r="Z2164" s="28"/>
      <c r="AA2164" s="28">
        <v>1000</v>
      </c>
      <c r="AB2164" s="1" t="s">
        <v>13</v>
      </c>
    </row>
    <row r="2165" spans="1:28">
      <c r="A2165" t="s">
        <v>580</v>
      </c>
      <c r="B2165" s="2" t="s">
        <v>3003</v>
      </c>
      <c r="C2165" t="s">
        <v>3004</v>
      </c>
      <c r="D2165" s="1" t="s">
        <v>3016</v>
      </c>
      <c r="E2165" t="s">
        <v>3006</v>
      </c>
      <c r="F2165" s="3" t="s">
        <v>3007</v>
      </c>
      <c r="G2165" s="1">
        <v>73.099999999999994</v>
      </c>
      <c r="H2165" t="s">
        <v>3017</v>
      </c>
      <c r="I2165" t="s">
        <v>3018</v>
      </c>
      <c r="J2165" s="1">
        <v>3</v>
      </c>
      <c r="K2165" s="1">
        <v>586.60940000000005</v>
      </c>
      <c r="L2165" s="1"/>
      <c r="M2165" s="1" t="str">
        <f>HYPERLINK("http://ms.phosphosite.org:5080/cgi-bin/plot-msms.cgi?MassType=1&amp;NumAxis=1&amp;Mod2=170&amp;Mod4=170&amp;Mod16=147&amp;Pep=GRGRGQGNWGPPGGEMT&amp;Dta=/var/www/html/dta/yong/23613.5239.3.dta&amp;Global_Mod=CS57.0215", "5239")</f>
        <v>5239</v>
      </c>
      <c r="N2165" s="27"/>
      <c r="O2165" s="27">
        <v>26.53</v>
      </c>
      <c r="P2165" s="27"/>
      <c r="Q2165" s="27">
        <v>1.86</v>
      </c>
      <c r="R2165" s="27"/>
      <c r="S2165" s="27">
        <v>0.44350000000000001</v>
      </c>
      <c r="T2165" s="27"/>
      <c r="U2165" s="27">
        <v>0.14069999999999999</v>
      </c>
      <c r="V2165" s="1"/>
      <c r="W2165" s="1">
        <v>1</v>
      </c>
      <c r="X2165" s="27"/>
      <c r="Y2165" s="27">
        <v>1.1299999999999999</v>
      </c>
      <c r="Z2165" s="28"/>
      <c r="AA2165" s="28" t="s">
        <v>1306</v>
      </c>
      <c r="AB2165" s="1" t="s">
        <v>13</v>
      </c>
    </row>
    <row r="2166" spans="1:28">
      <c r="A2166" t="s">
        <v>580</v>
      </c>
      <c r="B2166" s="2" t="s">
        <v>3003</v>
      </c>
      <c r="C2166" t="s">
        <v>3004</v>
      </c>
      <c r="D2166" s="1">
        <v>442</v>
      </c>
      <c r="E2166" t="s">
        <v>3006</v>
      </c>
      <c r="F2166" s="3" t="s">
        <v>3007</v>
      </c>
      <c r="G2166" s="1">
        <v>73.099999999999994</v>
      </c>
      <c r="H2166" t="s">
        <v>3019</v>
      </c>
      <c r="I2166" t="s">
        <v>3020</v>
      </c>
      <c r="J2166" s="1">
        <v>2</v>
      </c>
      <c r="K2166" s="1">
        <v>394.726</v>
      </c>
      <c r="L2166" s="1"/>
      <c r="M2166" s="1" t="str">
        <f>HYPERLINK("http://ms.phosphosite.org:5080/cgi-bin/plot-msms.cgi?MassType=1&amp;NumAxis=1&amp;Mod7=170&amp;Pep=CGLVIGR&amp;Dta=/var/www/html/dta/yong/23613.7474.2.dta&amp;Global_Mod=CS57.0215", "7474")</f>
        <v>7474</v>
      </c>
      <c r="N2166" s="27"/>
      <c r="O2166" s="27">
        <v>34.85</v>
      </c>
      <c r="P2166" s="27"/>
      <c r="Q2166" s="27">
        <v>2.4590000000000001</v>
      </c>
      <c r="R2166" s="27"/>
      <c r="S2166" s="27">
        <v>-0.1865</v>
      </c>
      <c r="T2166" s="27"/>
      <c r="U2166" s="27">
        <v>1.5599999999999999E-2</v>
      </c>
      <c r="V2166" s="1"/>
      <c r="W2166" s="1">
        <v>5</v>
      </c>
      <c r="X2166" s="27"/>
      <c r="Y2166" s="27">
        <v>1.05</v>
      </c>
      <c r="Z2166" s="28"/>
      <c r="AA2166" s="28">
        <v>1000</v>
      </c>
      <c r="AB2166" s="1" t="s">
        <v>13</v>
      </c>
    </row>
    <row r="2167" spans="1:28">
      <c r="A2167" t="s">
        <v>580</v>
      </c>
      <c r="B2167" s="2" t="s">
        <v>3003</v>
      </c>
      <c r="C2167" t="s">
        <v>3004</v>
      </c>
      <c r="D2167" s="1">
        <v>442</v>
      </c>
      <c r="E2167" t="s">
        <v>3006</v>
      </c>
      <c r="F2167" s="3" t="s">
        <v>3007</v>
      </c>
      <c r="G2167" s="1">
        <v>73.099999999999994</v>
      </c>
      <c r="H2167" t="s">
        <v>3019</v>
      </c>
      <c r="I2167" t="s">
        <v>3021</v>
      </c>
      <c r="J2167" s="1">
        <v>2</v>
      </c>
      <c r="K2167" s="1">
        <v>686.87189999999998</v>
      </c>
      <c r="L2167" s="1" t="str">
        <f>HYPERLINK("http://ms.phosphosite.org:5080/cgi-bin/plot-msms.cgi?MassType=1&amp;NumAxis=1&amp;Mod7=170&amp;Pep=CGLVIGRGGENVK&amp;Dta=/var/www/html/dta/yong/23612.6337.2.dta&amp;Global_Mod=CS57.0215", "6337")</f>
        <v>6337</v>
      </c>
      <c r="M2167" s="1" t="str">
        <f>HYPERLINK("http://ms.phosphosite.org:5080/cgi-bin/plot-msms.cgi?MassType=1&amp;NumAxis=1&amp;Mod7=170&amp;Pep=CGLVIGRGGENVK&amp;Dta=/var/www/html/dta/yong/23613.6377.2.dta&amp;Global_Mod=CS57.0215", "6377")</f>
        <v>6377</v>
      </c>
      <c r="N2167" s="27">
        <v>30.79</v>
      </c>
      <c r="O2167" s="27">
        <v>30.77</v>
      </c>
      <c r="P2167" s="27">
        <v>3.8650000000000002</v>
      </c>
      <c r="Q2167" s="27">
        <v>3.7650000000000001</v>
      </c>
      <c r="R2167" s="27">
        <v>0.40129999999999999</v>
      </c>
      <c r="S2167" s="27">
        <v>0.31790000000000002</v>
      </c>
      <c r="T2167" s="27">
        <v>0.25659999999999999</v>
      </c>
      <c r="U2167" s="27">
        <v>0.29139999999999999</v>
      </c>
      <c r="V2167" s="1">
        <v>1</v>
      </c>
      <c r="W2167" s="1">
        <v>1</v>
      </c>
      <c r="X2167" s="27">
        <v>2.29</v>
      </c>
      <c r="Y2167" s="27">
        <v>2.4500000000000002</v>
      </c>
      <c r="Z2167" s="28">
        <v>1000</v>
      </c>
      <c r="AA2167" s="28">
        <v>1000</v>
      </c>
      <c r="AB2167" s="1" t="s">
        <v>13</v>
      </c>
    </row>
    <row r="2168" spans="1:28">
      <c r="A2168" t="s">
        <v>580</v>
      </c>
      <c r="B2168" s="2" t="s">
        <v>3003</v>
      </c>
      <c r="C2168" t="s">
        <v>3004</v>
      </c>
      <c r="D2168" s="1">
        <v>442</v>
      </c>
      <c r="E2168" t="s">
        <v>3006</v>
      </c>
      <c r="F2168" s="3" t="s">
        <v>3007</v>
      </c>
      <c r="G2168" s="1">
        <v>73.099999999999994</v>
      </c>
      <c r="H2168" t="s">
        <v>3019</v>
      </c>
      <c r="I2168" t="s">
        <v>3021</v>
      </c>
      <c r="J2168" s="1">
        <v>3</v>
      </c>
      <c r="K2168" s="1">
        <v>458.25040000000001</v>
      </c>
      <c r="L2168" s="1" t="str">
        <f>HYPERLINK("http://ms.phosphosite.org:5080/cgi-bin/plot-msms.cgi?MassType=1&amp;NumAxis=1&amp;Mod7=170&amp;Pep=CGLVIGRGGENVK&amp;Dta=/var/www/html/dta/yong/23612.6336.3.dta&amp;Global_Mod=CS57.0215", "6336")</f>
        <v>6336</v>
      </c>
      <c r="M2168" s="1" t="str">
        <f>HYPERLINK("http://ms.phosphosite.org:5080/cgi-bin/plot-msms.cgi?MassType=1&amp;NumAxis=1&amp;Mod7=170&amp;Pep=CGLVIGRGGENVK&amp;Dta=/var/www/html/dta/yong/23613.6396.3.dta&amp;Global_Mod=CS57.0215", "6396")</f>
        <v>6396</v>
      </c>
      <c r="N2168" s="27">
        <v>30.79</v>
      </c>
      <c r="O2168" s="27">
        <v>30.84</v>
      </c>
      <c r="P2168" s="27">
        <v>1.9019999999999999</v>
      </c>
      <c r="Q2168" s="27">
        <v>2.21</v>
      </c>
      <c r="R2168" s="27">
        <v>0.1028</v>
      </c>
      <c r="S2168" s="27">
        <v>0.1168</v>
      </c>
      <c r="T2168" s="27">
        <v>7.4700000000000003E-2</v>
      </c>
      <c r="U2168" s="27">
        <v>0.2155</v>
      </c>
      <c r="V2168" s="1">
        <v>43</v>
      </c>
      <c r="W2168" s="1">
        <v>1</v>
      </c>
      <c r="X2168" s="27">
        <v>1.03</v>
      </c>
      <c r="Y2168" s="27">
        <v>1.79</v>
      </c>
      <c r="Z2168" s="28">
        <v>1000</v>
      </c>
      <c r="AA2168" s="28">
        <v>1000</v>
      </c>
      <c r="AB2168" s="1" t="s">
        <v>13</v>
      </c>
    </row>
    <row r="2169" spans="1:28">
      <c r="A2169" t="s">
        <v>580</v>
      </c>
      <c r="B2169" s="2" t="s">
        <v>3003</v>
      </c>
      <c r="C2169" t="s">
        <v>3004</v>
      </c>
      <c r="D2169" s="1">
        <v>442</v>
      </c>
      <c r="E2169" t="s">
        <v>3006</v>
      </c>
      <c r="F2169" s="3" t="s">
        <v>3007</v>
      </c>
      <c r="G2169" s="1">
        <v>73.099999999999994</v>
      </c>
      <c r="H2169" t="s">
        <v>3019</v>
      </c>
      <c r="I2169" t="s">
        <v>3022</v>
      </c>
      <c r="J2169" s="1">
        <v>2</v>
      </c>
      <c r="K2169" s="1">
        <v>606.85659999999996</v>
      </c>
      <c r="L2169" s="1" t="str">
        <f>HYPERLINK("http://ms.phosphosite.org:5080/cgi-bin/plot-msms.cgi?MassType=1&amp;NumAxis=1&amp;Mod6=170&amp;Pep=GLVIGRGGENVK&amp;Dta=/var/www/html/dta/yong/23612.5735.2.dta&amp;Global_Mod=CS57.0215", "5735")</f>
        <v>5735</v>
      </c>
      <c r="M2169" s="1" t="str">
        <f>HYPERLINK("http://ms.phosphosite.org:5080/cgi-bin/plot-msms.cgi?MassType=1&amp;NumAxis=1&amp;Mod6=170&amp;Pep=GLVIGRGGENVK&amp;Dta=/var/www/html/dta/yong/23613.5775.2.dta&amp;Global_Mod=CS57.0215", "5775")</f>
        <v>5775</v>
      </c>
      <c r="N2169" s="27">
        <v>28.57</v>
      </c>
      <c r="O2169" s="27">
        <v>28.52</v>
      </c>
      <c r="P2169" s="27">
        <v>2.2440000000000002</v>
      </c>
      <c r="Q2169" s="27">
        <v>2.2829999999999999</v>
      </c>
      <c r="R2169" s="27">
        <v>-7.2700000000000001E-2</v>
      </c>
      <c r="S2169" s="27">
        <v>-8.4000000000000005E-2</v>
      </c>
      <c r="T2169" s="27">
        <v>0.1326</v>
      </c>
      <c r="U2169" s="27">
        <v>4.53E-2</v>
      </c>
      <c r="V2169" s="1">
        <v>39</v>
      </c>
      <c r="W2169" s="1">
        <v>32</v>
      </c>
      <c r="X2169" s="27">
        <v>1.33</v>
      </c>
      <c r="Y2169" s="27">
        <v>0.91</v>
      </c>
      <c r="Z2169" s="28">
        <v>1000</v>
      </c>
      <c r="AA2169" s="28">
        <v>1000</v>
      </c>
      <c r="AB2169" s="1" t="s">
        <v>13</v>
      </c>
    </row>
    <row r="2170" spans="1:28">
      <c r="A2170" t="s">
        <v>580</v>
      </c>
      <c r="B2170" s="2" t="s">
        <v>3003</v>
      </c>
      <c r="C2170" t="s">
        <v>3004</v>
      </c>
      <c r="D2170" s="1">
        <v>442</v>
      </c>
      <c r="E2170" t="s">
        <v>3006</v>
      </c>
      <c r="F2170" s="3" t="s">
        <v>3007</v>
      </c>
      <c r="G2170" s="1">
        <v>73.099999999999994</v>
      </c>
      <c r="H2170" t="s">
        <v>3019</v>
      </c>
      <c r="I2170" t="s">
        <v>3023</v>
      </c>
      <c r="J2170" s="1">
        <v>2</v>
      </c>
      <c r="K2170" s="1">
        <v>578.34590000000003</v>
      </c>
      <c r="L2170" s="1" t="str">
        <f>HYPERLINK("http://ms.phosphosite.org:5080/cgi-bin/plot-msms.cgi?MassType=1&amp;NumAxis=1&amp;Mod5=170&amp;Pep=LVIGRGGENVK&amp;Dta=/var/www/html/dta/yong/23612.4955.2.dta&amp;Global_Mod=CS57.0215", "4955")</f>
        <v>4955</v>
      </c>
      <c r="M2170" s="1" t="str">
        <f>HYPERLINK("http://ms.phosphosite.org:5080/cgi-bin/plot-msms.cgi?MassType=1&amp;NumAxis=1&amp;Mod5=170&amp;Pep=LVIGRGGENVK&amp;Dta=/var/www/html/dta/yong/23613.5019.2.dta&amp;Global_Mod=CS57.0215", "5019")</f>
        <v>5019</v>
      </c>
      <c r="N2170" s="27">
        <v>25.62</v>
      </c>
      <c r="O2170" s="27">
        <v>25.67</v>
      </c>
      <c r="P2170" s="27">
        <v>2.7890000000000001</v>
      </c>
      <c r="Q2170" s="27">
        <v>2.85</v>
      </c>
      <c r="R2170" s="27">
        <v>0.17</v>
      </c>
      <c r="S2170" s="27">
        <v>0.50190000000000001</v>
      </c>
      <c r="T2170" s="27">
        <v>8.6499999999999994E-2</v>
      </c>
      <c r="U2170" s="27">
        <v>0.1479</v>
      </c>
      <c r="V2170" s="1">
        <v>162</v>
      </c>
      <c r="W2170" s="1">
        <v>11</v>
      </c>
      <c r="X2170" s="27">
        <v>1.1499999999999999</v>
      </c>
      <c r="Y2170" s="27">
        <v>1.58</v>
      </c>
      <c r="Z2170" s="28">
        <v>1000</v>
      </c>
      <c r="AA2170" s="28">
        <v>1000</v>
      </c>
      <c r="AB2170" s="1" t="s">
        <v>13</v>
      </c>
    </row>
    <row r="2171" spans="1:28">
      <c r="A2171" t="s">
        <v>580</v>
      </c>
      <c r="B2171" s="2" t="s">
        <v>3024</v>
      </c>
      <c r="C2171" t="s">
        <v>3024</v>
      </c>
      <c r="D2171" s="1">
        <v>197</v>
      </c>
      <c r="E2171" t="s">
        <v>3025</v>
      </c>
      <c r="F2171" s="3" t="s">
        <v>3026</v>
      </c>
      <c r="G2171" s="1">
        <v>39.1</v>
      </c>
      <c r="H2171" t="s">
        <v>3027</v>
      </c>
      <c r="I2171" t="s">
        <v>3028</v>
      </c>
      <c r="J2171" s="1">
        <v>2</v>
      </c>
      <c r="K2171" s="1">
        <v>532.75570000000005</v>
      </c>
      <c r="L2171" s="1" t="str">
        <f>HYPERLINK("http://ms.phosphosite.org:5080/cgi-bin/plot-msms.cgi?MassType=1&amp;NumAxis=1&amp;Mod3=147&amp;Mod10=170&amp;Pep=EVMSPTGSAR&amp;Dta=/var/www/html/dta/yong/23612.2394.2.dta&amp;Global_Mod=CS57.0215", "2394")</f>
        <v>2394</v>
      </c>
      <c r="M2171" s="1" t="str">
        <f>HYPERLINK("http://ms.phosphosite.org:5080/cgi-bin/plot-msms.cgi?MassType=1&amp;NumAxis=1&amp;Mod3=147&amp;Mod10=170&amp;Pep=EVMSPTGSAR&amp;Dta=/var/www/html/dta/yong/23613.2432.2.dta&amp;Global_Mod=CS57.0215", "2432")</f>
        <v>2432</v>
      </c>
      <c r="N2171" s="27">
        <v>15.88</v>
      </c>
      <c r="O2171" s="27">
        <v>15.88</v>
      </c>
      <c r="P2171" s="27">
        <v>1.8080000000000001</v>
      </c>
      <c r="Q2171" s="27">
        <v>1.792</v>
      </c>
      <c r="R2171" s="27">
        <v>0.63219999999999998</v>
      </c>
      <c r="S2171" s="27">
        <v>0.40989999999999999</v>
      </c>
      <c r="T2171" s="27">
        <v>0.2122</v>
      </c>
      <c r="U2171" s="27">
        <v>0.20610000000000001</v>
      </c>
      <c r="V2171" s="1">
        <v>4</v>
      </c>
      <c r="W2171" s="1">
        <v>3</v>
      </c>
      <c r="X2171" s="27">
        <v>1.41</v>
      </c>
      <c r="Y2171" s="27">
        <v>1.35</v>
      </c>
      <c r="Z2171" s="28">
        <v>1000</v>
      </c>
      <c r="AA2171" s="28">
        <v>1000</v>
      </c>
      <c r="AB2171" s="1" t="s">
        <v>13</v>
      </c>
    </row>
    <row r="2172" spans="1:28">
      <c r="A2172" t="s">
        <v>580</v>
      </c>
      <c r="B2172" s="29" t="s">
        <v>3029</v>
      </c>
      <c r="C2172" s="26" t="s">
        <v>3030</v>
      </c>
      <c r="D2172" s="1">
        <v>146</v>
      </c>
      <c r="E2172" t="s">
        <v>3031</v>
      </c>
      <c r="F2172" s="3" t="s">
        <v>3032</v>
      </c>
      <c r="G2172" s="1">
        <v>18</v>
      </c>
      <c r="H2172" t="s">
        <v>3033</v>
      </c>
      <c r="I2172" t="s">
        <v>3034</v>
      </c>
      <c r="J2172" s="1">
        <v>3</v>
      </c>
      <c r="K2172" s="1">
        <v>621.94669999999996</v>
      </c>
      <c r="L2172" s="1"/>
      <c r="M2172" s="1" t="str">
        <f>HYPERLINK("http://ms.phosphosite.org:5080/cgi-bin/plot-msms.cgi?MassType=1&amp;NumAxis=1&amp;Mod11=170&amp;Pep=DEYRQDYDAGRGGYGK&amp;Dta=/var/www/html/dta/yong/23613.4592.3.dta&amp;Global_Mod=CS57.0215", "4592")</f>
        <v>4592</v>
      </c>
      <c r="N2172" s="27"/>
      <c r="O2172" s="27">
        <v>24.05</v>
      </c>
      <c r="P2172" s="27"/>
      <c r="Q2172" s="27">
        <v>2.5350000000000001</v>
      </c>
      <c r="R2172" s="27"/>
      <c r="S2172" s="27">
        <v>0.97360000000000002</v>
      </c>
      <c r="T2172" s="27"/>
      <c r="U2172" s="27">
        <v>0.1444</v>
      </c>
      <c r="V2172" s="1"/>
      <c r="W2172" s="1">
        <v>1</v>
      </c>
      <c r="X2172" s="27"/>
      <c r="Y2172" s="27">
        <v>0.77</v>
      </c>
      <c r="Z2172" s="28"/>
      <c r="AA2172" s="28">
        <v>55</v>
      </c>
      <c r="AB2172" s="1" t="s">
        <v>13</v>
      </c>
    </row>
    <row r="2173" spans="1:28">
      <c r="A2173" t="s">
        <v>580</v>
      </c>
      <c r="B2173" s="29" t="s">
        <v>3035</v>
      </c>
      <c r="C2173" s="26" t="s">
        <v>3036</v>
      </c>
      <c r="D2173" s="1">
        <v>17</v>
      </c>
      <c r="E2173" t="s">
        <v>674</v>
      </c>
      <c r="F2173" s="3" t="s">
        <v>3037</v>
      </c>
      <c r="G2173" s="1">
        <v>32.700000000000003</v>
      </c>
      <c r="H2173" t="s">
        <v>3038</v>
      </c>
      <c r="I2173" t="s">
        <v>3039</v>
      </c>
      <c r="J2173" s="1">
        <v>2</v>
      </c>
      <c r="K2173" s="1">
        <v>684.85820000000001</v>
      </c>
      <c r="L2173" s="1" t="str">
        <f>HYPERLINK("http://ms.phosphosite.org:5080/cgi-bin/plot-msms.cgi?MassType=1&amp;NumAxis=1&amp;Mod11=170&amp;Pep=AAAAAGAAGGRGSGPGR&amp;Dta=/var/www/html/dta/yong/23612.1496.2.dta&amp;Global_Mod=CS57.0215", "1496")</f>
        <v>1496</v>
      </c>
      <c r="M2173" s="1" t="str">
        <f>HYPERLINK("http://ms.phosphosite.org:5080/cgi-bin/plot-msms.cgi?MassType=1&amp;NumAxis=1&amp;Mod11=170&amp;Pep=AAAAAGAAGGRGSGPGR&amp;Dta=/var/www/html/dta/yong/23613.11400.2.dta&amp;Global_Mod=CS57.0215", "11400")</f>
        <v>11400</v>
      </c>
      <c r="N2173" s="27">
        <v>12.49</v>
      </c>
      <c r="O2173" s="27">
        <v>48.53</v>
      </c>
      <c r="P2173" s="27">
        <v>3.3109999999999999</v>
      </c>
      <c r="Q2173" s="27">
        <v>1.6910000000000001</v>
      </c>
      <c r="R2173" s="27">
        <v>1.0467</v>
      </c>
      <c r="S2173" s="27">
        <v>-0.26300000000000001</v>
      </c>
      <c r="T2173" s="27">
        <v>0.32150000000000001</v>
      </c>
      <c r="U2173" s="27">
        <v>0.1651</v>
      </c>
      <c r="V2173" s="1">
        <v>1</v>
      </c>
      <c r="W2173" s="1">
        <v>1</v>
      </c>
      <c r="X2173" s="27">
        <v>1.98</v>
      </c>
      <c r="Y2173" s="27">
        <v>0.86</v>
      </c>
      <c r="Z2173" s="28">
        <v>1000</v>
      </c>
      <c r="AA2173" s="28">
        <v>1000</v>
      </c>
      <c r="AB2173" s="1" t="s">
        <v>13</v>
      </c>
    </row>
    <row r="2174" spans="1:28">
      <c r="A2174" t="s">
        <v>580</v>
      </c>
      <c r="B2174" s="29" t="s">
        <v>3035</v>
      </c>
      <c r="C2174" s="26" t="s">
        <v>3036</v>
      </c>
      <c r="D2174" s="1">
        <v>17</v>
      </c>
      <c r="E2174" t="s">
        <v>674</v>
      </c>
      <c r="F2174" s="3" t="s">
        <v>3037</v>
      </c>
      <c r="G2174" s="1">
        <v>32.700000000000003</v>
      </c>
      <c r="H2174" t="s">
        <v>3038</v>
      </c>
      <c r="I2174" t="s">
        <v>3039</v>
      </c>
      <c r="J2174" s="1">
        <v>3</v>
      </c>
      <c r="K2174" s="1">
        <v>456.90789999999998</v>
      </c>
      <c r="L2174" s="1" t="str">
        <f>HYPERLINK("http://ms.phosphosite.org:5080/cgi-bin/plot-msms.cgi?MassType=1&amp;NumAxis=1&amp;Mod11=170&amp;Pep=AAAAAGAAGGRGSGPGR&amp;Dta=/var/www/html/dta/yong/23612.1487.3.dta&amp;Global_Mod=CS57.0215", "1487")</f>
        <v>1487</v>
      </c>
      <c r="M2174" s="1" t="str">
        <f>HYPERLINK("http://ms.phosphosite.org:5080/cgi-bin/plot-msms.cgi?MassType=1&amp;NumAxis=1&amp;Mod11=170&amp;Pep=AAAAAGAAGGRGSGPGR&amp;Dta=/var/www/html/dta/yong/23613.1509.3.dta&amp;Global_Mod=CS57.0215", "1509")</f>
        <v>1509</v>
      </c>
      <c r="N2174" s="27">
        <v>12.46</v>
      </c>
      <c r="O2174" s="27">
        <v>12.39</v>
      </c>
      <c r="P2174" s="27">
        <v>2.7749999999999999</v>
      </c>
      <c r="Q2174" s="27">
        <v>2.387</v>
      </c>
      <c r="R2174" s="27">
        <v>0.26850000000000002</v>
      </c>
      <c r="S2174" s="27">
        <v>0.4733</v>
      </c>
      <c r="T2174" s="27">
        <v>0.26419999999999999</v>
      </c>
      <c r="U2174" s="27">
        <v>0.13200000000000001</v>
      </c>
      <c r="V2174" s="1">
        <v>1</v>
      </c>
      <c r="W2174" s="1">
        <v>2</v>
      </c>
      <c r="X2174" s="27">
        <v>1.68</v>
      </c>
      <c r="Y2174" s="27">
        <v>0.91</v>
      </c>
      <c r="Z2174" s="28">
        <v>1000</v>
      </c>
      <c r="AA2174" s="28">
        <v>1000</v>
      </c>
      <c r="AB2174" s="1" t="s">
        <v>13</v>
      </c>
    </row>
    <row r="2175" spans="1:28">
      <c r="A2175" t="s">
        <v>580</v>
      </c>
      <c r="B2175" s="29" t="s">
        <v>3035</v>
      </c>
      <c r="C2175" s="26" t="s">
        <v>3036</v>
      </c>
      <c r="D2175" s="1">
        <v>17</v>
      </c>
      <c r="E2175" t="s">
        <v>674</v>
      </c>
      <c r="F2175" s="3" t="s">
        <v>3037</v>
      </c>
      <c r="G2175" s="1">
        <v>32.700000000000003</v>
      </c>
      <c r="H2175" t="s">
        <v>3038</v>
      </c>
      <c r="I2175" t="s">
        <v>3040</v>
      </c>
      <c r="J2175" s="1">
        <v>2</v>
      </c>
      <c r="K2175" s="1">
        <v>649.33960000000002</v>
      </c>
      <c r="L2175" s="1" t="str">
        <f>HYPERLINK("http://ms.phosphosite.org:5080/cgi-bin/plot-msms.cgi?MassType=1&amp;NumAxis=1&amp;Mod10=170&amp;Pep=AAAAGAAGGRGSGPGR&amp;Dta=/var/www/html/dta/yong/23612.1266.2.dta&amp;Global_Mod=CS57.0215", "1266")</f>
        <v>1266</v>
      </c>
      <c r="M2175" s="1"/>
      <c r="N2175" s="27">
        <v>11.6</v>
      </c>
      <c r="O2175" s="27"/>
      <c r="P2175" s="27">
        <v>2.246</v>
      </c>
      <c r="Q2175" s="27"/>
      <c r="R2175" s="27">
        <v>0.33989999999999998</v>
      </c>
      <c r="S2175" s="27"/>
      <c r="T2175" s="27">
        <v>0.13500000000000001</v>
      </c>
      <c r="U2175" s="27"/>
      <c r="V2175" s="1">
        <v>209</v>
      </c>
      <c r="W2175" s="1"/>
      <c r="X2175" s="27">
        <v>0.76</v>
      </c>
      <c r="Y2175" s="27"/>
      <c r="Z2175" s="28">
        <v>1000</v>
      </c>
      <c r="AA2175" s="28"/>
      <c r="AB2175" s="1" t="s">
        <v>13</v>
      </c>
    </row>
    <row r="2176" spans="1:28">
      <c r="A2176" t="s">
        <v>580</v>
      </c>
      <c r="B2176" s="29" t="s">
        <v>3035</v>
      </c>
      <c r="C2176" s="26" t="s">
        <v>3036</v>
      </c>
      <c r="D2176" s="1">
        <v>238</v>
      </c>
      <c r="E2176" t="s">
        <v>674</v>
      </c>
      <c r="F2176" s="3" t="s">
        <v>3037</v>
      </c>
      <c r="G2176" s="1">
        <v>32.700000000000003</v>
      </c>
      <c r="H2176" t="s">
        <v>3041</v>
      </c>
      <c r="I2176" t="s">
        <v>3042</v>
      </c>
      <c r="J2176" s="1">
        <v>3</v>
      </c>
      <c r="K2176" s="1">
        <v>545.63729999999998</v>
      </c>
      <c r="L2176" s="1" t="str">
        <f>HYPERLINK("http://ms.phosphosite.org:5080/cgi-bin/plot-msms.cgi?MassType=1&amp;NumAxis=1&amp;Mod12=170&amp;Pep=RTSLALDESLFRGR&amp;Dta=/var/www/html/dta/yong/23612.11324.3.dta&amp;Global_Mod=CS57.0215", "11324")</f>
        <v>11324</v>
      </c>
      <c r="M2176" s="1"/>
      <c r="N2176" s="27">
        <v>48.54</v>
      </c>
      <c r="O2176" s="27"/>
      <c r="P2176" s="27">
        <v>3.3250000000000002</v>
      </c>
      <c r="Q2176" s="27"/>
      <c r="R2176" s="27">
        <v>0.34610000000000002</v>
      </c>
      <c r="S2176" s="27"/>
      <c r="T2176" s="27">
        <v>0.2908</v>
      </c>
      <c r="U2176" s="27"/>
      <c r="V2176" s="1">
        <v>1</v>
      </c>
      <c r="W2176" s="1"/>
      <c r="X2176" s="27">
        <v>1.76</v>
      </c>
      <c r="Y2176" s="27"/>
      <c r="Z2176" s="28">
        <v>54</v>
      </c>
      <c r="AA2176" s="28"/>
      <c r="AB2176" s="1" t="s">
        <v>13</v>
      </c>
    </row>
    <row r="2177" spans="1:28">
      <c r="A2177" t="s">
        <v>580</v>
      </c>
      <c r="B2177" s="29" t="s">
        <v>3035</v>
      </c>
      <c r="C2177" s="26" t="s">
        <v>3036</v>
      </c>
      <c r="D2177" s="1">
        <v>238</v>
      </c>
      <c r="E2177" t="s">
        <v>674</v>
      </c>
      <c r="F2177" s="3" t="s">
        <v>3037</v>
      </c>
      <c r="G2177" s="1">
        <v>32.700000000000003</v>
      </c>
      <c r="H2177" t="s">
        <v>3041</v>
      </c>
      <c r="I2177" t="s">
        <v>679</v>
      </c>
      <c r="J2177" s="1">
        <v>2</v>
      </c>
      <c r="K2177" s="1">
        <v>633.34040000000005</v>
      </c>
      <c r="L2177" s="1" t="str">
        <f>HYPERLINK("http://ms.phosphosite.org:5080/cgi-bin/plot-msms.cgi?MassType=1&amp;NumAxis=1&amp;Mod11=170&amp;Pep=TSLALDESLFR&amp;Dta=/var/www/html/dta/yong/23612.15508.2.dta&amp;Global_Mod=CS57.0215", "15508")</f>
        <v>15508</v>
      </c>
      <c r="M2177" s="1"/>
      <c r="N2177" s="27">
        <v>63.56</v>
      </c>
      <c r="O2177" s="27"/>
      <c r="P2177" s="27">
        <v>2.956</v>
      </c>
      <c r="Q2177" s="27"/>
      <c r="R2177" s="27">
        <v>0.68520000000000003</v>
      </c>
      <c r="S2177" s="27"/>
      <c r="T2177" s="27">
        <v>0.24310000000000001</v>
      </c>
      <c r="U2177" s="27"/>
      <c r="V2177" s="1">
        <v>1</v>
      </c>
      <c r="W2177" s="1"/>
      <c r="X2177" s="27">
        <v>1.8</v>
      </c>
      <c r="Y2177" s="27"/>
      <c r="Z2177" s="28">
        <v>1000</v>
      </c>
      <c r="AA2177" s="28"/>
      <c r="AB2177" s="1" t="s">
        <v>13</v>
      </c>
    </row>
    <row r="2178" spans="1:28">
      <c r="A2178" t="s">
        <v>580</v>
      </c>
      <c r="B2178" s="2" t="s">
        <v>3043</v>
      </c>
      <c r="C2178" t="s">
        <v>3044</v>
      </c>
      <c r="D2178" s="1">
        <v>507</v>
      </c>
      <c r="E2178" t="s">
        <v>3045</v>
      </c>
      <c r="F2178" s="3" t="s">
        <v>3046</v>
      </c>
      <c r="G2178" s="1">
        <v>58.7</v>
      </c>
      <c r="H2178" t="s">
        <v>3047</v>
      </c>
      <c r="I2178" t="s">
        <v>3048</v>
      </c>
      <c r="J2178" s="1">
        <v>3</v>
      </c>
      <c r="K2178" s="1">
        <v>712.01059999999995</v>
      </c>
      <c r="L2178" s="1"/>
      <c r="M2178" s="1" t="str">
        <f>HYPERLINK("http://ms.phosphosite.org:5080/cgi-bin/plot-msms.cgi?MassType=1&amp;NumAxis=1&amp;Mod9=170&amp;Pep=SGGPGGFGRGSQGGNFEGPNKR&amp;Dta=/var/www/html/dta/yong/23613.5362.3.dta&amp;Global_Mod=CS57.0215", "5362")</f>
        <v>5362</v>
      </c>
      <c r="N2178" s="27"/>
      <c r="O2178" s="27">
        <v>27</v>
      </c>
      <c r="P2178" s="27"/>
      <c r="Q2178" s="27">
        <v>3.1469999999999998</v>
      </c>
      <c r="R2178" s="27"/>
      <c r="S2178" s="27">
        <v>1.4615</v>
      </c>
      <c r="T2178" s="27"/>
      <c r="U2178" s="27">
        <v>0.1351</v>
      </c>
      <c r="V2178" s="1"/>
      <c r="W2178" s="1">
        <v>2</v>
      </c>
      <c r="X2178" s="27"/>
      <c r="Y2178" s="27">
        <v>0.8</v>
      </c>
      <c r="Z2178" s="28"/>
      <c r="AA2178" s="28">
        <v>1000</v>
      </c>
      <c r="AB2178" s="1" t="s">
        <v>13</v>
      </c>
    </row>
    <row r="2179" spans="1:28">
      <c r="A2179" t="s">
        <v>580</v>
      </c>
      <c r="B2179" s="2" t="s">
        <v>3043</v>
      </c>
      <c r="C2179" t="s">
        <v>3044</v>
      </c>
      <c r="D2179" s="1">
        <v>507</v>
      </c>
      <c r="E2179" t="s">
        <v>3045</v>
      </c>
      <c r="F2179" s="3" t="s">
        <v>3046</v>
      </c>
      <c r="G2179" s="1">
        <v>58.7</v>
      </c>
      <c r="H2179" t="s">
        <v>3047</v>
      </c>
      <c r="I2179" t="s">
        <v>3049</v>
      </c>
      <c r="J2179" s="1">
        <v>3</v>
      </c>
      <c r="K2179" s="1">
        <v>773.03409999999997</v>
      </c>
      <c r="L2179" s="1" t="str">
        <f>HYPERLINK("http://ms.phosphosite.org:5080/cgi-bin/plot-msms.cgi?MassType=1&amp;NumAxis=1&amp;Mod10=147&amp;Mod25=170&amp;Pep=TGSETPQAPMSGVGPVSGGPGGFGR&amp;Dta=/var/www/html/dta/yong/23612.9817.3.dta&amp;Global_Mod=CS57.0215", "9817")</f>
        <v>9817</v>
      </c>
      <c r="M2179" s="1" t="str">
        <f>HYPERLINK("http://ms.phosphosite.org:5080/cgi-bin/plot-msms.cgi?MassType=1&amp;NumAxis=1&amp;Mod10=147&amp;Mod25=170&amp;Pep=TGSETPQAPMSGVGPVSGGPGGFGR&amp;Dta=/var/www/html/dta/yong/23613.9880.3.dta&amp;Global_Mod=CS57.0215", "9880")</f>
        <v>9880</v>
      </c>
      <c r="N2179" s="27">
        <v>43.34</v>
      </c>
      <c r="O2179" s="27">
        <v>43.39</v>
      </c>
      <c r="P2179" s="27">
        <v>3.6259999999999999</v>
      </c>
      <c r="Q2179" s="27">
        <v>3.1949999999999998</v>
      </c>
      <c r="R2179" s="27">
        <v>5.3800000000000001E-2</v>
      </c>
      <c r="S2179" s="27">
        <v>0.50529999999999997</v>
      </c>
      <c r="T2179" s="27">
        <v>0.34939999999999999</v>
      </c>
      <c r="U2179" s="27">
        <v>0.4143</v>
      </c>
      <c r="V2179" s="1">
        <v>3</v>
      </c>
      <c r="W2179" s="1">
        <v>19</v>
      </c>
      <c r="X2179" s="27">
        <v>2.35</v>
      </c>
      <c r="Y2179" s="27">
        <v>2.57</v>
      </c>
      <c r="Z2179" s="28">
        <v>1000</v>
      </c>
      <c r="AA2179" s="28">
        <v>1000</v>
      </c>
      <c r="AB2179" s="1" t="s">
        <v>13</v>
      </c>
    </row>
    <row r="2180" spans="1:28">
      <c r="A2180" t="s">
        <v>580</v>
      </c>
      <c r="B2180" s="2" t="s">
        <v>3043</v>
      </c>
      <c r="C2180" t="s">
        <v>3044</v>
      </c>
      <c r="D2180" s="1">
        <v>507</v>
      </c>
      <c r="E2180" t="s">
        <v>3045</v>
      </c>
      <c r="F2180" s="3" t="s">
        <v>3046</v>
      </c>
      <c r="G2180" s="1">
        <v>58.7</v>
      </c>
      <c r="H2180" t="s">
        <v>3047</v>
      </c>
      <c r="I2180" t="s">
        <v>3050</v>
      </c>
      <c r="J2180" s="1">
        <v>3</v>
      </c>
      <c r="K2180" s="1">
        <v>1163.8743999999999</v>
      </c>
      <c r="L2180" s="1" t="str">
        <f>HYPERLINK("http://ms.phosphosite.org:5080/cgi-bin/plot-msms.cgi?MassType=1&amp;NumAxis=1&amp;Mod10=147&amp;Mod25=170&amp;Pep=TGSETPQAPMSGVGPVSGGPGGFGRGSQGGNFEGPNK&amp;Dta=/var/www/html/dta/yong/23612.9694.3.dta&amp;Global_Mod=CS57.0215", "9694")</f>
        <v>9694</v>
      </c>
      <c r="M2180" s="1" t="str">
        <f>HYPERLINK("http://ms.phosphosite.org:5080/cgi-bin/plot-msms.cgi?MassType=1&amp;NumAxis=1&amp;Mod10=147&amp;Mod25=170&amp;Pep=TGSETPQAPMSGVGPVSGGPGGFGRGSQGGNFEGPNK&amp;Dta=/var/www/html/dta/yong/23613.9758.3.dta&amp;Global_Mod=CS57.0215", "9758")</f>
        <v>9758</v>
      </c>
      <c r="N2180" s="27">
        <v>42.91</v>
      </c>
      <c r="O2180" s="27">
        <v>42.97</v>
      </c>
      <c r="P2180" s="27">
        <v>3.3180000000000001</v>
      </c>
      <c r="Q2180" s="27">
        <v>3.2109999999999999</v>
      </c>
      <c r="R2180" s="27">
        <v>0.68759999999999999</v>
      </c>
      <c r="S2180" s="27">
        <v>0.5988</v>
      </c>
      <c r="T2180" s="27">
        <v>0.18</v>
      </c>
      <c r="U2180" s="27">
        <v>0.24629999999999999</v>
      </c>
      <c r="V2180" s="1">
        <v>1</v>
      </c>
      <c r="W2180" s="1">
        <v>4</v>
      </c>
      <c r="X2180" s="27">
        <v>1.1299999999999999</v>
      </c>
      <c r="Y2180" s="27">
        <v>1.41</v>
      </c>
      <c r="Z2180" s="28">
        <v>1000</v>
      </c>
      <c r="AA2180" s="28">
        <v>1000</v>
      </c>
      <c r="AB2180" s="1" t="s">
        <v>13</v>
      </c>
    </row>
    <row r="2181" spans="1:28">
      <c r="A2181" t="s">
        <v>580</v>
      </c>
      <c r="B2181" s="2" t="s">
        <v>3043</v>
      </c>
      <c r="C2181" t="s">
        <v>3044</v>
      </c>
      <c r="D2181" s="1">
        <v>507</v>
      </c>
      <c r="E2181" t="s">
        <v>3045</v>
      </c>
      <c r="F2181" s="3" t="s">
        <v>3046</v>
      </c>
      <c r="G2181" s="1">
        <v>58.7</v>
      </c>
      <c r="H2181" t="s">
        <v>3047</v>
      </c>
      <c r="I2181" t="s">
        <v>3051</v>
      </c>
      <c r="J2181" s="1">
        <v>4</v>
      </c>
      <c r="K2181" s="1">
        <v>908.18420000000003</v>
      </c>
      <c r="L2181" s="1" t="str">
        <f>HYPERLINK("http://ms.phosphosite.org:5080/cgi-bin/plot-msms.cgi?MassType=1&amp;NumAxis=1&amp;Mod25=170&amp;Pep=TGSETPQAPMSGVGPVSGGPGGFGRGSQGGNFEGPNKR&amp;Dta=/var/www/html/dta/yong/23612.10135.4.dta&amp;Global_Mod=CS57.0215", "10135")</f>
        <v>10135</v>
      </c>
      <c r="M2181" s="1" t="str">
        <f>HYPERLINK("http://ms.phosphosite.org:5080/cgi-bin/plot-msms.cgi?MassType=1&amp;NumAxis=1&amp;Mod25=170&amp;Pep=TGSETPQAPMSGVGPVSGGPGGFGRGSQGGNFEGPNKR&amp;Dta=/var/www/html/dta/yong/23613.10198.4.dta&amp;Global_Mod=CS57.0215", "10198")</f>
        <v>10198</v>
      </c>
      <c r="N2181" s="27">
        <v>44.45</v>
      </c>
      <c r="O2181" s="27">
        <v>44.45</v>
      </c>
      <c r="P2181" s="27">
        <v>3.8730000000000002</v>
      </c>
      <c r="Q2181" s="27">
        <v>3.3090000000000002</v>
      </c>
      <c r="R2181" s="27">
        <v>-0.39200000000000002</v>
      </c>
      <c r="S2181" s="27">
        <v>0.495</v>
      </c>
      <c r="T2181" s="27">
        <v>0.28620000000000001</v>
      </c>
      <c r="U2181" s="27">
        <v>0.2994</v>
      </c>
      <c r="V2181" s="1">
        <v>1</v>
      </c>
      <c r="W2181" s="1">
        <v>1</v>
      </c>
      <c r="X2181" s="27">
        <v>1.59</v>
      </c>
      <c r="Y2181" s="27">
        <v>1.54</v>
      </c>
      <c r="Z2181" s="28">
        <v>1000</v>
      </c>
      <c r="AA2181" s="28">
        <v>1000</v>
      </c>
      <c r="AB2181" s="1" t="s">
        <v>13</v>
      </c>
    </row>
    <row r="2182" spans="1:28">
      <c r="A2182" t="s">
        <v>580</v>
      </c>
      <c r="B2182" s="29" t="s">
        <v>3052</v>
      </c>
      <c r="C2182" s="26" t="s">
        <v>3052</v>
      </c>
      <c r="D2182" s="1">
        <v>462</v>
      </c>
      <c r="E2182" t="s">
        <v>3053</v>
      </c>
      <c r="F2182" s="3" t="s">
        <v>3054</v>
      </c>
      <c r="G2182" s="1">
        <v>114.1</v>
      </c>
      <c r="H2182" t="s">
        <v>3055</v>
      </c>
      <c r="I2182" t="s">
        <v>3056</v>
      </c>
      <c r="J2182" s="1">
        <v>2</v>
      </c>
      <c r="K2182" s="1">
        <v>449.27949999999998</v>
      </c>
      <c r="L2182" s="1"/>
      <c r="M2182" s="1" t="str">
        <f>HYPERLINK("http://ms.phosphosite.org:5080/cgi-bin/plot-msms.cgi?MassType=1&amp;NumAxis=1&amp;Mod8=170&amp;Pep=TGLGAPVRL&amp;Dta=/var/www/html/dta/yong/23613.10950.2.dta&amp;Global_Mod=CS57.0215", "10950")</f>
        <v>10950</v>
      </c>
      <c r="N2182" s="27"/>
      <c r="O2182" s="27">
        <v>47.02</v>
      </c>
      <c r="P2182" s="27"/>
      <c r="Q2182" s="27">
        <v>2.1320000000000001</v>
      </c>
      <c r="R2182" s="27"/>
      <c r="S2182" s="27">
        <v>0.38679999999999998</v>
      </c>
      <c r="T2182" s="27"/>
      <c r="U2182" s="27">
        <v>0.2044</v>
      </c>
      <c r="V2182" s="1"/>
      <c r="W2182" s="1">
        <v>3</v>
      </c>
      <c r="X2182" s="27"/>
      <c r="Y2182" s="27">
        <v>1.25</v>
      </c>
      <c r="Z2182" s="28"/>
      <c r="AA2182" s="28">
        <v>1000</v>
      </c>
      <c r="AB2182" s="1" t="s">
        <v>13</v>
      </c>
    </row>
    <row r="2183" spans="1:28">
      <c r="A2183" t="s">
        <v>580</v>
      </c>
      <c r="B2183" s="29" t="s">
        <v>3052</v>
      </c>
      <c r="C2183" s="26" t="s">
        <v>3052</v>
      </c>
      <c r="D2183" s="1">
        <v>462</v>
      </c>
      <c r="E2183" t="s">
        <v>3053</v>
      </c>
      <c r="F2183" s="3" t="s">
        <v>3054</v>
      </c>
      <c r="G2183" s="1">
        <v>114.1</v>
      </c>
      <c r="H2183" t="s">
        <v>3055</v>
      </c>
      <c r="I2183" t="s">
        <v>3057</v>
      </c>
      <c r="J2183" s="1">
        <v>2</v>
      </c>
      <c r="K2183" s="1">
        <v>868.51059999999995</v>
      </c>
      <c r="L2183" s="1" t="str">
        <f>HYPERLINK("http://ms.phosphosite.org:5080/cgi-bin/plot-msms.cgi?MassType=1&amp;NumAxis=1&amp;Mod8=170&amp;Mod10=147&amp;Pep=TGLGAPVRLMAPTPVLI&amp;Dta=/var/www/html/dta/yong/23612.17243.2.dta&amp;Global_Mod=CS57.0215", "17243")</f>
        <v>17243</v>
      </c>
      <c r="M2183" s="1" t="str">
        <f>HYPERLINK("http://ms.phosphosite.org:5080/cgi-bin/plot-msms.cgi?MassType=1&amp;NumAxis=1&amp;Mod8=170&amp;Mod10=147&amp;Pep=TGLGAPVRLMAPTPVLI&amp;Dta=/var/www/html/dta/yong/23613.17341.2.dta&amp;Global_Mod=CS57.0215", "17341")</f>
        <v>17341</v>
      </c>
      <c r="N2183" s="27">
        <v>70.81</v>
      </c>
      <c r="O2183" s="27">
        <v>70.8</v>
      </c>
      <c r="P2183" s="27">
        <v>2.5779999999999998</v>
      </c>
      <c r="Q2183" s="27">
        <v>3.371</v>
      </c>
      <c r="R2183" s="27">
        <v>1.1852</v>
      </c>
      <c r="S2183" s="27">
        <v>0.86839999999999995</v>
      </c>
      <c r="T2183" s="27">
        <v>0.36990000000000001</v>
      </c>
      <c r="U2183" s="27">
        <v>0.39250000000000002</v>
      </c>
      <c r="V2183" s="1">
        <v>1</v>
      </c>
      <c r="W2183" s="1">
        <v>4</v>
      </c>
      <c r="X2183" s="27">
        <v>2.0299999999999998</v>
      </c>
      <c r="Y2183" s="27">
        <v>2.31</v>
      </c>
      <c r="Z2183" s="28">
        <v>1000</v>
      </c>
      <c r="AA2183" s="28">
        <v>1000</v>
      </c>
      <c r="AB2183" s="1" t="s">
        <v>13</v>
      </c>
    </row>
    <row r="2184" spans="1:28">
      <c r="A2184" t="s">
        <v>580</v>
      </c>
      <c r="B2184" s="2" t="s">
        <v>3058</v>
      </c>
      <c r="C2184" t="s">
        <v>3058</v>
      </c>
      <c r="D2184" s="1">
        <v>903</v>
      </c>
      <c r="E2184" t="s">
        <v>3059</v>
      </c>
      <c r="F2184" s="3" t="s">
        <v>3060</v>
      </c>
      <c r="G2184" s="1">
        <v>107.4</v>
      </c>
      <c r="H2184" t="s">
        <v>3061</v>
      </c>
      <c r="I2184" t="s">
        <v>3062</v>
      </c>
      <c r="J2184" s="1">
        <v>4</v>
      </c>
      <c r="K2184" s="1">
        <v>797.39390000000003</v>
      </c>
      <c r="L2184" s="1" t="str">
        <f>HYPERLINK("http://ms.phosphosite.org:5080/cgi-bin/plot-msms.cgi?MassType=1&amp;NumAxis=1&amp;Mod6=170&amp;Pep=GGVAGRGGFAQGGHSQGHVVPGGGLEGGGVASQDR&amp;Dta=/var/www/html/dta/yong/23612.6802.4.dta&amp;Global_Mod=CS57.0215", "6802")</f>
        <v>6802</v>
      </c>
      <c r="M2184" s="1"/>
      <c r="N2184" s="27">
        <v>32.56</v>
      </c>
      <c r="O2184" s="27"/>
      <c r="P2184" s="27">
        <v>5.3860000000000001</v>
      </c>
      <c r="Q2184" s="27"/>
      <c r="R2184" s="27">
        <v>0.93240000000000001</v>
      </c>
      <c r="S2184" s="27"/>
      <c r="T2184" s="27">
        <v>0.3448</v>
      </c>
      <c r="U2184" s="27"/>
      <c r="V2184" s="1">
        <v>1</v>
      </c>
      <c r="W2184" s="1"/>
      <c r="X2184" s="27">
        <v>2.41</v>
      </c>
      <c r="Y2184" s="27"/>
      <c r="Z2184" s="28">
        <v>1000</v>
      </c>
      <c r="AA2184" s="28"/>
      <c r="AB2184" s="1" t="s">
        <v>13</v>
      </c>
    </row>
    <row r="2185" spans="1:28">
      <c r="A2185" t="s">
        <v>580</v>
      </c>
      <c r="B2185" s="2" t="s">
        <v>3058</v>
      </c>
      <c r="C2185" t="s">
        <v>3058</v>
      </c>
      <c r="D2185" s="1">
        <v>903</v>
      </c>
      <c r="E2185" t="s">
        <v>3059</v>
      </c>
      <c r="F2185" s="3" t="s">
        <v>3060</v>
      </c>
      <c r="G2185" s="1">
        <v>107.4</v>
      </c>
      <c r="H2185" t="s">
        <v>3061</v>
      </c>
      <c r="I2185" t="s">
        <v>3062</v>
      </c>
      <c r="J2185" s="1">
        <v>4</v>
      </c>
      <c r="K2185" s="1">
        <v>797.39390000000003</v>
      </c>
      <c r="L2185" s="1" t="str">
        <f>HYPERLINK("http://ms.phosphosite.org:5080/cgi-bin/plot-msms.cgi?MassType=1&amp;NumAxis=1&amp;Mod6=170&amp;Pep=GGVAGRGGFAQGGHSQGHVVPGGGLEGGGVASQDR&amp;Dta=/var/www/html/dta/yong/23612.6809.4.dta&amp;Global_Mod=CS57.0215", "6809")</f>
        <v>6809</v>
      </c>
      <c r="M2185" s="1"/>
      <c r="N2185" s="27">
        <v>32.590000000000003</v>
      </c>
      <c r="O2185" s="27"/>
      <c r="P2185" s="27">
        <v>5.09</v>
      </c>
      <c r="Q2185" s="27"/>
      <c r="R2185" s="27">
        <v>0.93240000000000001</v>
      </c>
      <c r="S2185" s="27"/>
      <c r="T2185" s="27">
        <v>0.4874</v>
      </c>
      <c r="U2185" s="27"/>
      <c r="V2185" s="1">
        <v>1</v>
      </c>
      <c r="W2185" s="1"/>
      <c r="X2185" s="27">
        <v>3.06</v>
      </c>
      <c r="Y2185" s="27"/>
      <c r="Z2185" s="28">
        <v>1000</v>
      </c>
      <c r="AA2185" s="28"/>
      <c r="AB2185" s="1" t="s">
        <v>13</v>
      </c>
    </row>
    <row r="2186" spans="1:28">
      <c r="A2186" t="s">
        <v>580</v>
      </c>
      <c r="B2186" s="2" t="s">
        <v>3058</v>
      </c>
      <c r="C2186" t="s">
        <v>3058</v>
      </c>
      <c r="D2186" s="1">
        <v>897</v>
      </c>
      <c r="E2186" t="s">
        <v>3059</v>
      </c>
      <c r="F2186" s="3" t="s">
        <v>3060</v>
      </c>
      <c r="G2186" s="1">
        <v>107.4</v>
      </c>
      <c r="H2186" t="s">
        <v>3063</v>
      </c>
      <c r="I2186" t="s">
        <v>3064</v>
      </c>
      <c r="J2186" s="1">
        <v>2</v>
      </c>
      <c r="K2186" s="1">
        <v>670.82240000000002</v>
      </c>
      <c r="L2186" s="1" t="str">
        <f>HYPERLINK("http://ms.phosphosite.org:5080/cgi-bin/plot-msms.cgi?MassType=1&amp;NumAxis=1&amp;Mod11=147&amp;Mod14=170&amp;Pep=GLSGPSGPGHMASR&amp;Dta=/var/www/html/dta/yong/23612.2768.2.dta&amp;Global_Mod=CS57.0215", "2768")</f>
        <v>2768</v>
      </c>
      <c r="M2186" s="1" t="str">
        <f>HYPERLINK("http://ms.phosphosite.org:5080/cgi-bin/plot-msms.cgi?MassType=1&amp;NumAxis=1&amp;Mod11=147&amp;Mod14=170&amp;Pep=GLSGPSGPGHMASR&amp;Dta=/var/www/html/dta/yong/23613.2805.2.dta&amp;Global_Mod=CS57.0215", "2805")</f>
        <v>2805</v>
      </c>
      <c r="N2186" s="27">
        <v>17.27</v>
      </c>
      <c r="O2186" s="27">
        <v>17.25</v>
      </c>
      <c r="P2186" s="27">
        <v>3.0070000000000001</v>
      </c>
      <c r="Q2186" s="27">
        <v>3.5019999999999998</v>
      </c>
      <c r="R2186" s="27">
        <v>1.2343999999999999</v>
      </c>
      <c r="S2186" s="27">
        <v>1.1244000000000001</v>
      </c>
      <c r="T2186" s="27">
        <v>0.45040000000000002</v>
      </c>
      <c r="U2186" s="27">
        <v>0.44829999999999998</v>
      </c>
      <c r="V2186" s="1">
        <v>1</v>
      </c>
      <c r="W2186" s="1">
        <v>1</v>
      </c>
      <c r="X2186" s="27">
        <v>2.77</v>
      </c>
      <c r="Y2186" s="27">
        <v>2.82</v>
      </c>
      <c r="Z2186" s="28">
        <v>1000</v>
      </c>
      <c r="AA2186" s="28">
        <v>1000</v>
      </c>
      <c r="AB2186" s="1" t="s">
        <v>13</v>
      </c>
    </row>
    <row r="2187" spans="1:28">
      <c r="A2187" t="s">
        <v>580</v>
      </c>
      <c r="B2187" s="29" t="s">
        <v>3065</v>
      </c>
      <c r="C2187" s="26" t="s">
        <v>3066</v>
      </c>
      <c r="D2187" s="1">
        <v>216</v>
      </c>
      <c r="E2187" t="s">
        <v>3067</v>
      </c>
      <c r="F2187" s="3" t="s">
        <v>3068</v>
      </c>
      <c r="G2187" s="1">
        <v>44.9</v>
      </c>
      <c r="H2187" t="s">
        <v>3069</v>
      </c>
      <c r="I2187" t="s">
        <v>3070</v>
      </c>
      <c r="J2187" s="1">
        <v>3</v>
      </c>
      <c r="K2187" s="1">
        <v>752.70500000000004</v>
      </c>
      <c r="L2187" s="1"/>
      <c r="M2187" s="1" t="str">
        <f>HYPERLINK("http://ms.phosphosite.org:5080/cgi-bin/plot-msms.cgi?MassType=1&amp;NumAxis=1&amp;Mod1=170&amp;Pep=RGGSGSHNWGTVKDELTESPK&amp;Dta=/var/www/html/dta/yong/23613.7364.3.dta&amp;Global_Mod=CS57.0215", "7364")</f>
        <v>7364</v>
      </c>
      <c r="N2187" s="27"/>
      <c r="O2187" s="27">
        <v>34.44</v>
      </c>
      <c r="P2187" s="27"/>
      <c r="Q2187" s="27">
        <v>3.2759999999999998</v>
      </c>
      <c r="R2187" s="27"/>
      <c r="S2187" s="27">
        <v>-1.5408999999999999</v>
      </c>
      <c r="T2187" s="27"/>
      <c r="U2187" s="27">
        <v>0.32500000000000001</v>
      </c>
      <c r="V2187" s="1"/>
      <c r="W2187" s="1">
        <v>1</v>
      </c>
      <c r="X2187" s="27"/>
      <c r="Y2187" s="27">
        <v>1.78</v>
      </c>
      <c r="Z2187" s="28"/>
      <c r="AA2187" s="28">
        <v>1000</v>
      </c>
      <c r="AB2187" s="1" t="s">
        <v>13</v>
      </c>
    </row>
    <row r="2188" spans="1:28">
      <c r="A2188" t="s">
        <v>580</v>
      </c>
      <c r="B2188" s="29" t="s">
        <v>3065</v>
      </c>
      <c r="C2188" s="26" t="s">
        <v>3066</v>
      </c>
      <c r="D2188" s="1">
        <v>216</v>
      </c>
      <c r="E2188" t="s">
        <v>3067</v>
      </c>
      <c r="F2188" s="3" t="s">
        <v>3068</v>
      </c>
      <c r="G2188" s="1">
        <v>44.9</v>
      </c>
      <c r="H2188" t="s">
        <v>3069</v>
      </c>
      <c r="I2188" t="s">
        <v>3070</v>
      </c>
      <c r="J2188" s="1">
        <v>4</v>
      </c>
      <c r="K2188" s="1">
        <v>564.78049999999996</v>
      </c>
      <c r="L2188" s="1" t="str">
        <f>HYPERLINK("http://ms.phosphosite.org:5080/cgi-bin/plot-msms.cgi?MassType=1&amp;NumAxis=1&amp;Mod1=170&amp;Pep=RGGSGSHNWGTVKDELTESPK&amp;Dta=/var/www/html/dta/yong/23612.7270.4.dta&amp;Global_Mod=CS57.0215", "7270")</f>
        <v>7270</v>
      </c>
      <c r="M2188" s="1" t="str">
        <f>HYPERLINK("http://ms.phosphosite.org:5080/cgi-bin/plot-msms.cgi?MassType=1&amp;NumAxis=1&amp;Mod1=170&amp;Pep=RGGSGSHNWGTVKDELTESPK&amp;Dta=/var/www/html/dta/yong/23613.7337.4.dta&amp;Global_Mod=CS57.0215", "7337")</f>
        <v>7337</v>
      </c>
      <c r="N2188" s="27">
        <v>34.24</v>
      </c>
      <c r="O2188" s="27">
        <v>34.32</v>
      </c>
      <c r="P2188" s="27">
        <v>3.2890000000000001</v>
      </c>
      <c r="Q2188" s="27">
        <v>3.9260000000000002</v>
      </c>
      <c r="R2188" s="27">
        <v>0.75070000000000003</v>
      </c>
      <c r="S2188" s="27">
        <v>0.30280000000000001</v>
      </c>
      <c r="T2188" s="27">
        <v>0.2802</v>
      </c>
      <c r="U2188" s="27">
        <v>0.34389999999999998</v>
      </c>
      <c r="V2188" s="1">
        <v>51</v>
      </c>
      <c r="W2188" s="1">
        <v>4</v>
      </c>
      <c r="X2188" s="27">
        <v>1.7</v>
      </c>
      <c r="Y2188" s="27">
        <v>2.15</v>
      </c>
      <c r="Z2188" s="28">
        <v>1000</v>
      </c>
      <c r="AA2188" s="28">
        <v>1000</v>
      </c>
      <c r="AB2188" s="1" t="s">
        <v>13</v>
      </c>
    </row>
    <row r="2189" spans="1:28">
      <c r="A2189" t="s">
        <v>580</v>
      </c>
      <c r="B2189" s="29" t="s">
        <v>3065</v>
      </c>
      <c r="C2189" s="26" t="s">
        <v>3071</v>
      </c>
      <c r="D2189" s="1">
        <v>216</v>
      </c>
      <c r="E2189" t="s">
        <v>3067</v>
      </c>
      <c r="F2189" s="3" t="s">
        <v>3068</v>
      </c>
      <c r="G2189" s="1">
        <v>43.1</v>
      </c>
      <c r="H2189" t="s">
        <v>3069</v>
      </c>
      <c r="I2189" t="s">
        <v>3072</v>
      </c>
      <c r="J2189" s="1">
        <v>2</v>
      </c>
      <c r="K2189" s="1">
        <v>678.84199999999998</v>
      </c>
      <c r="L2189" s="1" t="str">
        <f>HYPERLINK("http://ms.phosphosite.org:5080/cgi-bin/plot-msms.cgi?MassType=1&amp;NumAxis=1&amp;Mod1=170&amp;Pep=RGGSGSHNWGTVK&amp;Dta=/var/www/html/dta/yong/23612.2459.2.dta&amp;Global_Mod=CS57.0215", "2459")</f>
        <v>2459</v>
      </c>
      <c r="M2189" s="1"/>
      <c r="N2189" s="27">
        <v>16.13</v>
      </c>
      <c r="O2189" s="27"/>
      <c r="P2189" s="27">
        <v>2.4980000000000002</v>
      </c>
      <c r="Q2189" s="27"/>
      <c r="R2189" s="27">
        <v>0.81850000000000001</v>
      </c>
      <c r="S2189" s="27"/>
      <c r="T2189" s="27">
        <v>0.21859999999999999</v>
      </c>
      <c r="U2189" s="27"/>
      <c r="V2189" s="1">
        <v>4</v>
      </c>
      <c r="W2189" s="1"/>
      <c r="X2189" s="27">
        <v>1.43</v>
      </c>
      <c r="Y2189" s="27"/>
      <c r="Z2189" s="28">
        <v>1000</v>
      </c>
      <c r="AA2189" s="28"/>
      <c r="AB2189" s="1" t="s">
        <v>13</v>
      </c>
    </row>
    <row r="2190" spans="1:28">
      <c r="A2190" t="s">
        <v>580</v>
      </c>
      <c r="B2190" s="29" t="s">
        <v>3065</v>
      </c>
      <c r="C2190" s="26" t="s">
        <v>3071</v>
      </c>
      <c r="D2190" s="1">
        <v>216</v>
      </c>
      <c r="E2190" t="s">
        <v>3067</v>
      </c>
      <c r="F2190" s="3" t="s">
        <v>3068</v>
      </c>
      <c r="G2190" s="1">
        <v>43.1</v>
      </c>
      <c r="H2190" t="s">
        <v>3069</v>
      </c>
      <c r="I2190" t="s">
        <v>3072</v>
      </c>
      <c r="J2190" s="1">
        <v>3</v>
      </c>
      <c r="K2190" s="1">
        <v>452.89710000000002</v>
      </c>
      <c r="L2190" s="1" t="str">
        <f>HYPERLINK("http://ms.phosphosite.org:5080/cgi-bin/plot-msms.cgi?MassType=1&amp;NumAxis=1&amp;Mod1=170&amp;Pep=RGGSGSHNWGTVK&amp;Dta=/var/www/html/dta/yong/23612.2447.3.dta&amp;Global_Mod=CS57.0215", "2447")</f>
        <v>2447</v>
      </c>
      <c r="M2190" s="1" t="str">
        <f>HYPERLINK("http://ms.phosphosite.org:5080/cgi-bin/plot-msms.cgi?MassType=1&amp;NumAxis=1&amp;Mod1=170&amp;Pep=RGGSGSHNWGTVK&amp;Dta=/var/www/html/dta/yong/23613.2485.3.dta&amp;Global_Mod=CS57.0215", "2485")</f>
        <v>2485</v>
      </c>
      <c r="N2190" s="27">
        <v>16.079999999999998</v>
      </c>
      <c r="O2190" s="27">
        <v>16.09</v>
      </c>
      <c r="P2190" s="27">
        <v>2.0489999999999999</v>
      </c>
      <c r="Q2190" s="27">
        <v>2.383</v>
      </c>
      <c r="R2190" s="27">
        <v>0.1134</v>
      </c>
      <c r="S2190" s="27">
        <v>-0.13320000000000001</v>
      </c>
      <c r="T2190" s="27">
        <v>9.6799999999999997E-2</v>
      </c>
      <c r="U2190" s="27">
        <v>0.2261</v>
      </c>
      <c r="V2190" s="1">
        <v>59</v>
      </c>
      <c r="W2190" s="1">
        <v>12</v>
      </c>
      <c r="X2190" s="27">
        <v>0.77</v>
      </c>
      <c r="Y2190" s="27">
        <v>1.47</v>
      </c>
      <c r="Z2190" s="28">
        <v>1000</v>
      </c>
      <c r="AA2190" s="28">
        <v>1000</v>
      </c>
      <c r="AB2190" s="1" t="s">
        <v>13</v>
      </c>
    </row>
    <row r="2191" spans="1:28">
      <c r="A2191" t="s">
        <v>580</v>
      </c>
      <c r="B2191" s="29" t="s">
        <v>3065</v>
      </c>
      <c r="C2191" s="26" t="s">
        <v>3071</v>
      </c>
      <c r="D2191" s="1">
        <v>188</v>
      </c>
      <c r="E2191" t="s">
        <v>3067</v>
      </c>
      <c r="F2191" s="3" t="s">
        <v>3068</v>
      </c>
      <c r="G2191" s="1">
        <v>43.1</v>
      </c>
      <c r="H2191" t="s">
        <v>3073</v>
      </c>
      <c r="I2191" t="s">
        <v>3074</v>
      </c>
      <c r="J2191" s="1">
        <v>2</v>
      </c>
      <c r="K2191" s="1">
        <v>384.1696</v>
      </c>
      <c r="L2191" s="1" t="str">
        <f>HYPERLINK("http://ms.phosphosite.org:5080/cgi-bin/plot-msms.cgi?MassType=1&amp;NumAxis=1&amp;Mod7=170&amp;Pep=GDGFDSR&amp;Dta=/var/www/html/dta/yong/23612.3156.2.dta&amp;Global_Mod=CS57.0215", "3156")</f>
        <v>3156</v>
      </c>
      <c r="M2191" s="1" t="str">
        <f>HYPERLINK("http://ms.phosphosite.org:5080/cgi-bin/plot-msms.cgi?MassType=1&amp;NumAxis=1&amp;Mod7=170&amp;Pep=GDGFDSR&amp;Dta=/var/www/html/dta/yong/23613.3179.2.dta&amp;Global_Mod=CS57.0215", "3179")</f>
        <v>3179</v>
      </c>
      <c r="N2191" s="27">
        <v>18.78</v>
      </c>
      <c r="O2191" s="27">
        <v>18.690000000000001</v>
      </c>
      <c r="P2191" s="27">
        <v>1.9850000000000001</v>
      </c>
      <c r="Q2191" s="27">
        <v>1.748</v>
      </c>
      <c r="R2191" s="27">
        <v>0.16550000000000001</v>
      </c>
      <c r="S2191" s="27">
        <v>0.1613</v>
      </c>
      <c r="T2191" s="27">
        <v>0.24049999999999999</v>
      </c>
      <c r="U2191" s="27">
        <v>0.24859999999999999</v>
      </c>
      <c r="V2191" s="1">
        <v>2</v>
      </c>
      <c r="W2191" s="1">
        <v>1</v>
      </c>
      <c r="X2191" s="27">
        <v>1.71</v>
      </c>
      <c r="Y2191" s="27">
        <v>1.69</v>
      </c>
      <c r="Z2191" s="28">
        <v>1000</v>
      </c>
      <c r="AA2191" s="28">
        <v>1000</v>
      </c>
      <c r="AB2191" s="1" t="s">
        <v>13</v>
      </c>
    </row>
    <row r="2192" spans="1:28">
      <c r="A2192" t="s">
        <v>580</v>
      </c>
      <c r="B2192" s="2" t="s">
        <v>3075</v>
      </c>
      <c r="C2192" t="s">
        <v>3075</v>
      </c>
      <c r="D2192" s="1" t="s">
        <v>3076</v>
      </c>
      <c r="E2192" t="s">
        <v>3077</v>
      </c>
      <c r="F2192" s="3" t="s">
        <v>3078</v>
      </c>
      <c r="G2192" s="1">
        <v>76.099999999999994</v>
      </c>
      <c r="H2192" t="s">
        <v>3079</v>
      </c>
      <c r="I2192" t="s">
        <v>3080</v>
      </c>
      <c r="J2192" s="1">
        <v>3</v>
      </c>
      <c r="K2192" s="1">
        <v>829.7364</v>
      </c>
      <c r="L2192" s="1" t="str">
        <f>HYPERLINK("http://ms.phosphosite.org:5080/cgi-bin/plot-msms.cgi?MassType=1&amp;NumAxis=1&amp;Mod15=170&amp;Mod17=147&amp;Mod27=170&amp;Pep=FGQGGAGPVGGQGPRGMGPGTPAGYGR&amp;Dta=/var/www/html/dta/yong/23612.7463.3.dta&amp;Global_Mod=CS57.0215", "7463")</f>
        <v>7463</v>
      </c>
      <c r="M2192" s="1" t="str">
        <f>HYPERLINK("http://ms.phosphosite.org:5080/cgi-bin/plot-msms.cgi?MassType=1&amp;NumAxis=1&amp;Mod15=170&amp;Mod17=147&amp;Mod27=170&amp;Pep=FGQGGAGPVGGQGPRGMGPGTPAGYGR&amp;Dta=/var/www/html/dta/yong/23613.7320.3.dta&amp;Global_Mod=CS57.0215", "7320")</f>
        <v>7320</v>
      </c>
      <c r="N2192" s="27">
        <v>34.94</v>
      </c>
      <c r="O2192" s="27">
        <v>34.26</v>
      </c>
      <c r="P2192" s="27">
        <v>3.2850000000000001</v>
      </c>
      <c r="Q2192" s="27">
        <v>2.8620000000000001</v>
      </c>
      <c r="R2192" s="27">
        <v>0.55430000000000001</v>
      </c>
      <c r="S2192" s="27">
        <v>0.69169999999999998</v>
      </c>
      <c r="T2192" s="27">
        <v>0.22270000000000001</v>
      </c>
      <c r="U2192" s="27">
        <v>0.19639999999999999</v>
      </c>
      <c r="V2192" s="1">
        <v>1</v>
      </c>
      <c r="W2192" s="1">
        <v>1</v>
      </c>
      <c r="X2192" s="27">
        <v>1.8</v>
      </c>
      <c r="Y2192" s="27">
        <v>1.45</v>
      </c>
      <c r="Z2192" s="28" t="s">
        <v>1306</v>
      </c>
      <c r="AA2192" s="28" t="s">
        <v>1306</v>
      </c>
      <c r="AB2192" s="1" t="s">
        <v>13</v>
      </c>
    </row>
    <row r="2193" spans="1:28">
      <c r="A2193" t="s">
        <v>580</v>
      </c>
      <c r="B2193" s="2" t="s">
        <v>3075</v>
      </c>
      <c r="C2193" t="s">
        <v>3075</v>
      </c>
      <c r="D2193" s="1" t="s">
        <v>3076</v>
      </c>
      <c r="E2193" t="s">
        <v>3077</v>
      </c>
      <c r="F2193" s="3" t="s">
        <v>3078</v>
      </c>
      <c r="G2193" s="1">
        <v>76.099999999999994</v>
      </c>
      <c r="H2193" t="s">
        <v>3079</v>
      </c>
      <c r="I2193" t="s">
        <v>3080</v>
      </c>
      <c r="J2193" s="1">
        <v>3</v>
      </c>
      <c r="K2193" s="1">
        <v>829.7364</v>
      </c>
      <c r="L2193" s="1" t="str">
        <f>HYPERLINK("http://ms.phosphosite.org:5080/cgi-bin/plot-msms.cgi?MassType=1&amp;NumAxis=1&amp;Mod15=170&amp;Mod17=147&amp;Mod27=170&amp;Pep=FGQGGAGPVGGQGPRGMGPGTPAGYGR&amp;Dta=/var/www/html/dta/yong/23612.7258.3.dta&amp;Global_Mod=CS57.0215", "7258")</f>
        <v>7258</v>
      </c>
      <c r="M2193" s="1"/>
      <c r="N2193" s="27">
        <v>34.200000000000003</v>
      </c>
      <c r="O2193" s="27"/>
      <c r="P2193" s="27">
        <v>2.81</v>
      </c>
      <c r="Q2193" s="27"/>
      <c r="R2193" s="27">
        <v>0.61980000000000002</v>
      </c>
      <c r="S2193" s="27"/>
      <c r="T2193" s="27">
        <v>0.153</v>
      </c>
      <c r="U2193" s="27"/>
      <c r="V2193" s="1">
        <v>1</v>
      </c>
      <c r="W2193" s="1"/>
      <c r="X2193" s="27">
        <v>1.36</v>
      </c>
      <c r="Y2193" s="27"/>
      <c r="Z2193" s="28" t="s">
        <v>1306</v>
      </c>
      <c r="AA2193" s="28"/>
      <c r="AB2193" s="1" t="s">
        <v>13</v>
      </c>
    </row>
    <row r="2194" spans="1:28">
      <c r="A2194" t="s">
        <v>580</v>
      </c>
      <c r="B2194" s="2" t="s">
        <v>3075</v>
      </c>
      <c r="C2194" t="s">
        <v>3075</v>
      </c>
      <c r="D2194" s="1" t="s">
        <v>3076</v>
      </c>
      <c r="E2194" t="s">
        <v>3077</v>
      </c>
      <c r="F2194" s="3" t="s">
        <v>3078</v>
      </c>
      <c r="G2194" s="1">
        <v>76.099999999999994</v>
      </c>
      <c r="H2194" t="s">
        <v>3079</v>
      </c>
      <c r="I2194" t="s">
        <v>3081</v>
      </c>
      <c r="J2194" s="1">
        <v>3</v>
      </c>
      <c r="K2194" s="1">
        <v>824.40480000000002</v>
      </c>
      <c r="L2194" s="1" t="str">
        <f>HYPERLINK("http://ms.phosphosite.org:5080/cgi-bin/plot-msms.cgi?MassType=1&amp;NumAxis=1&amp;Mod15=170&amp;Mod27=170&amp;Pep=FGQGGAGPVGGQGPRGMGPGTPAGYGR&amp;Dta=/var/www/html/dta/yong/23612.8701.3.dta&amp;Global_Mod=CS57.0215", "8701")</f>
        <v>8701</v>
      </c>
      <c r="M2194" s="1" t="str">
        <f>HYPERLINK("http://ms.phosphosite.org:5080/cgi-bin/plot-msms.cgi?MassType=1&amp;NumAxis=1&amp;Mod15=170&amp;Mod27=170&amp;Pep=FGQGGAGPVGGQGPRGMGPGTPAGYGR&amp;Dta=/var/www/html/dta/yong/23613.8748.3.dta&amp;Global_Mod=CS57.0215", "8748")</f>
        <v>8748</v>
      </c>
      <c r="N2194" s="27">
        <v>39.340000000000003</v>
      </c>
      <c r="O2194" s="27">
        <v>39.43</v>
      </c>
      <c r="P2194" s="27">
        <v>3.3239999999999998</v>
      </c>
      <c r="Q2194" s="27">
        <v>3.3319999999999999</v>
      </c>
      <c r="R2194" s="27">
        <v>1.0406</v>
      </c>
      <c r="S2194" s="27">
        <v>0.79679999999999995</v>
      </c>
      <c r="T2194" s="27">
        <v>0.29670000000000002</v>
      </c>
      <c r="U2194" s="27">
        <v>0.26150000000000001</v>
      </c>
      <c r="V2194" s="1">
        <v>1</v>
      </c>
      <c r="W2194" s="1">
        <v>1</v>
      </c>
      <c r="X2194" s="27">
        <v>2.14</v>
      </c>
      <c r="Y2194" s="27">
        <v>1.86</v>
      </c>
      <c r="Z2194" s="28" t="s">
        <v>1306</v>
      </c>
      <c r="AA2194" s="28" t="s">
        <v>1306</v>
      </c>
      <c r="AB2194" s="1" t="s">
        <v>13</v>
      </c>
    </row>
    <row r="2195" spans="1:28">
      <c r="A2195" t="s">
        <v>580</v>
      </c>
      <c r="B2195" s="2" t="s">
        <v>3075</v>
      </c>
      <c r="C2195" t="s">
        <v>3075</v>
      </c>
      <c r="D2195" s="1">
        <v>693</v>
      </c>
      <c r="E2195" t="s">
        <v>3077</v>
      </c>
      <c r="F2195" s="3" t="s">
        <v>3078</v>
      </c>
      <c r="G2195" s="1">
        <v>76.099999999999994</v>
      </c>
      <c r="H2195" t="s">
        <v>3082</v>
      </c>
      <c r="I2195" t="s">
        <v>3083</v>
      </c>
      <c r="J2195" s="1">
        <v>2</v>
      </c>
      <c r="K2195" s="1">
        <v>575.76909999999998</v>
      </c>
      <c r="L2195" s="1" t="str">
        <f>HYPERLINK("http://ms.phosphosite.org:5080/cgi-bin/plot-msms.cgi?MassType=1&amp;NumAxis=1&amp;Mod2=147&amp;Mod12=170&amp;Pep=GMGPGTPAGYGR&amp;Dta=/var/www/html/dta/yong/23612.4179.2.dta&amp;Global_Mod=CS57.0215", "4179")</f>
        <v>4179</v>
      </c>
      <c r="M2195" s="1" t="str">
        <f>HYPERLINK("http://ms.phosphosite.org:5080/cgi-bin/plot-msms.cgi?MassType=1&amp;NumAxis=1&amp;Mod2=147&amp;Mod12=170&amp;Pep=GMGPGTPAGYGR&amp;Dta=/var/www/html/dta/yong/23613.4561.2.dta&amp;Global_Mod=CS57.0215", "4561")</f>
        <v>4561</v>
      </c>
      <c r="N2195" s="27">
        <v>22.66</v>
      </c>
      <c r="O2195" s="27">
        <v>23.92</v>
      </c>
      <c r="P2195" s="27">
        <v>2.8980000000000001</v>
      </c>
      <c r="Q2195" s="27">
        <v>2.6629999999999998</v>
      </c>
      <c r="R2195" s="27">
        <v>0.39090000000000003</v>
      </c>
      <c r="S2195" s="27">
        <v>0.25929999999999997</v>
      </c>
      <c r="T2195" s="27">
        <v>0.26919999999999999</v>
      </c>
      <c r="U2195" s="27">
        <v>0.22789999999999999</v>
      </c>
      <c r="V2195" s="1">
        <v>1</v>
      </c>
      <c r="W2195" s="1">
        <v>1</v>
      </c>
      <c r="X2195" s="27">
        <v>2.2599999999999998</v>
      </c>
      <c r="Y2195" s="27">
        <v>1.9</v>
      </c>
      <c r="Z2195" s="28">
        <v>1000</v>
      </c>
      <c r="AA2195" s="28">
        <v>1000</v>
      </c>
      <c r="AB2195" s="1" t="s">
        <v>13</v>
      </c>
    </row>
    <row r="2196" spans="1:28">
      <c r="A2196" t="s">
        <v>580</v>
      </c>
      <c r="B2196" s="2" t="s">
        <v>3075</v>
      </c>
      <c r="C2196" t="s">
        <v>3075</v>
      </c>
      <c r="D2196" s="1">
        <v>693</v>
      </c>
      <c r="E2196" t="s">
        <v>3077</v>
      </c>
      <c r="F2196" s="3" t="s">
        <v>3078</v>
      </c>
      <c r="G2196" s="1">
        <v>76.099999999999994</v>
      </c>
      <c r="H2196" t="s">
        <v>3082</v>
      </c>
      <c r="I2196" t="s">
        <v>3083</v>
      </c>
      <c r="J2196" s="1">
        <v>2</v>
      </c>
      <c r="K2196" s="1">
        <v>575.76909999999998</v>
      </c>
      <c r="L2196" s="1" t="str">
        <f>HYPERLINK("http://ms.phosphosite.org:5080/cgi-bin/plot-msms.cgi?MassType=1&amp;NumAxis=1&amp;Mod2=147&amp;Mod12=170&amp;Pep=GMGPGTPAGYGR&amp;Dta=/var/www/html/dta/yong/23612.5462.2.dta&amp;Global_Mod=CS57.0215", "5462")</f>
        <v>5462</v>
      </c>
      <c r="M2196" s="1" t="str">
        <f>HYPERLINK("http://ms.phosphosite.org:5080/cgi-bin/plot-msms.cgi?MassType=1&amp;NumAxis=1&amp;Mod2=147&amp;Mod12=170&amp;Pep=GMGPGTPAGYGR&amp;Dta=/var/www/html/dta/yong/23613.4230.2.dta&amp;Global_Mod=CS57.0215", "4230")</f>
        <v>4230</v>
      </c>
      <c r="N2196" s="27">
        <v>27.55</v>
      </c>
      <c r="O2196" s="27">
        <v>22.65</v>
      </c>
      <c r="P2196" s="27">
        <v>2.371</v>
      </c>
      <c r="Q2196" s="27">
        <v>3.173</v>
      </c>
      <c r="R2196" s="27">
        <v>0.12470000000000001</v>
      </c>
      <c r="S2196" s="27">
        <v>0.40339999999999998</v>
      </c>
      <c r="T2196" s="27">
        <v>0.2525</v>
      </c>
      <c r="U2196" s="27">
        <v>0.34279999999999999</v>
      </c>
      <c r="V2196" s="1">
        <v>17</v>
      </c>
      <c r="W2196" s="1">
        <v>1</v>
      </c>
      <c r="X2196" s="27">
        <v>2.0499999999999998</v>
      </c>
      <c r="Y2196" s="27">
        <v>2.58</v>
      </c>
      <c r="Z2196" s="28">
        <v>1000</v>
      </c>
      <c r="AA2196" s="28">
        <v>1000</v>
      </c>
      <c r="AB2196" s="1" t="s">
        <v>13</v>
      </c>
    </row>
    <row r="2197" spans="1:28">
      <c r="A2197" t="s">
        <v>580</v>
      </c>
      <c r="B2197" s="2" t="s">
        <v>3075</v>
      </c>
      <c r="C2197" t="s">
        <v>3075</v>
      </c>
      <c r="D2197" s="1">
        <v>693</v>
      </c>
      <c r="E2197" t="s">
        <v>3077</v>
      </c>
      <c r="F2197" s="3" t="s">
        <v>3078</v>
      </c>
      <c r="G2197" s="1">
        <v>76.099999999999994</v>
      </c>
      <c r="H2197" t="s">
        <v>3082</v>
      </c>
      <c r="I2197" t="s">
        <v>3083</v>
      </c>
      <c r="J2197" s="1">
        <v>2</v>
      </c>
      <c r="K2197" s="1">
        <v>575.76909999999998</v>
      </c>
      <c r="L2197" s="1" t="str">
        <f>HYPERLINK("http://ms.phosphosite.org:5080/cgi-bin/plot-msms.cgi?MassType=1&amp;NumAxis=1&amp;Mod2=147&amp;Mod12=170&amp;Pep=GMGPGTPAGYGR&amp;Dta=/var/www/html/dta/yong/23612.4539.2.dta&amp;Global_Mod=CS57.0215", "4539")</f>
        <v>4539</v>
      </c>
      <c r="M2197" s="1" t="str">
        <f>HYPERLINK("http://ms.phosphosite.org:5080/cgi-bin/plot-msms.cgi?MassType=1&amp;NumAxis=1&amp;Mod2=147&amp;Mod12=170&amp;Pep=GMGPGTPAGYGR&amp;Dta=/var/www/html/dta/yong/23613.5127.2.dta&amp;Global_Mod=CS57.0215", "5127")</f>
        <v>5127</v>
      </c>
      <c r="N2197" s="27">
        <v>24.06</v>
      </c>
      <c r="O2197" s="27">
        <v>26.11</v>
      </c>
      <c r="P2197" s="27">
        <v>2.7370000000000001</v>
      </c>
      <c r="Q2197" s="27">
        <v>2.4460000000000002</v>
      </c>
      <c r="R2197" s="27">
        <v>0.3901</v>
      </c>
      <c r="S2197" s="27">
        <v>0.53180000000000005</v>
      </c>
      <c r="T2197" s="27">
        <v>0.2011</v>
      </c>
      <c r="U2197" s="27">
        <v>0.25850000000000001</v>
      </c>
      <c r="V2197" s="1">
        <v>11</v>
      </c>
      <c r="W2197" s="1">
        <v>7</v>
      </c>
      <c r="X2197" s="27">
        <v>1.88</v>
      </c>
      <c r="Y2197" s="27">
        <v>2.0099999999999998</v>
      </c>
      <c r="Z2197" s="28">
        <v>1000</v>
      </c>
      <c r="AA2197" s="28">
        <v>1000</v>
      </c>
      <c r="AB2197" s="1" t="s">
        <v>13</v>
      </c>
    </row>
    <row r="2198" spans="1:28">
      <c r="A2198" t="s">
        <v>580</v>
      </c>
      <c r="B2198" s="2" t="s">
        <v>3075</v>
      </c>
      <c r="C2198" t="s">
        <v>3075</v>
      </c>
      <c r="D2198" s="1">
        <v>693</v>
      </c>
      <c r="E2198" t="s">
        <v>3077</v>
      </c>
      <c r="F2198" s="3" t="s">
        <v>3078</v>
      </c>
      <c r="G2198" s="1">
        <v>76.099999999999994</v>
      </c>
      <c r="H2198" t="s">
        <v>3082</v>
      </c>
      <c r="I2198" t="s">
        <v>3083</v>
      </c>
      <c r="J2198" s="1">
        <v>2</v>
      </c>
      <c r="K2198" s="1">
        <v>575.76909999999998</v>
      </c>
      <c r="L2198" s="1" t="str">
        <f>HYPERLINK("http://ms.phosphosite.org:5080/cgi-bin/plot-msms.cgi?MassType=1&amp;NumAxis=1&amp;Mod2=147&amp;Mod12=170&amp;Pep=GMGPGTPAGYGR&amp;Dta=/var/www/html/dta/yong/23612.5103.2.dta&amp;Global_Mod=CS57.0215", "5103")</f>
        <v>5103</v>
      </c>
      <c r="M2198" s="1" t="str">
        <f>HYPERLINK("http://ms.phosphosite.org:5080/cgi-bin/plot-msms.cgi?MassType=1&amp;NumAxis=1&amp;Mod2=147&amp;Mod12=170&amp;Pep=GMGPGTPAGYGR&amp;Dta=/var/www/html/dta/yong/23613.4948.2.dta&amp;Global_Mod=CS57.0215", "4948")</f>
        <v>4948</v>
      </c>
      <c r="N2198" s="27">
        <v>26.19</v>
      </c>
      <c r="O2198" s="27">
        <v>25.4</v>
      </c>
      <c r="P2198" s="27">
        <v>2.0710000000000002</v>
      </c>
      <c r="Q2198" s="27">
        <v>2.3969999999999998</v>
      </c>
      <c r="R2198" s="27">
        <v>0.51070000000000004</v>
      </c>
      <c r="S2198" s="27">
        <v>0.65439999999999998</v>
      </c>
      <c r="T2198" s="27">
        <v>0.25669999999999998</v>
      </c>
      <c r="U2198" s="27">
        <v>9.3700000000000006E-2</v>
      </c>
      <c r="V2198" s="1">
        <v>1</v>
      </c>
      <c r="W2198" s="1">
        <v>125</v>
      </c>
      <c r="X2198" s="27">
        <v>2.0299999999999998</v>
      </c>
      <c r="Y2198" s="27">
        <v>1.1200000000000001</v>
      </c>
      <c r="Z2198" s="28">
        <v>1000</v>
      </c>
      <c r="AA2198" s="28">
        <v>1000</v>
      </c>
      <c r="AB2198" s="1" t="s">
        <v>13</v>
      </c>
    </row>
    <row r="2199" spans="1:28">
      <c r="A2199" t="s">
        <v>580</v>
      </c>
      <c r="B2199" s="2" t="s">
        <v>3075</v>
      </c>
      <c r="C2199" t="s">
        <v>3075</v>
      </c>
      <c r="D2199" s="1">
        <v>693</v>
      </c>
      <c r="E2199" t="s">
        <v>3077</v>
      </c>
      <c r="F2199" s="3" t="s">
        <v>3078</v>
      </c>
      <c r="G2199" s="1">
        <v>76.099999999999994</v>
      </c>
      <c r="H2199" t="s">
        <v>3082</v>
      </c>
      <c r="I2199" t="s">
        <v>3083</v>
      </c>
      <c r="J2199" s="1">
        <v>2</v>
      </c>
      <c r="K2199" s="1">
        <v>575.76909999999998</v>
      </c>
      <c r="L2199" s="1" t="str">
        <f>HYPERLINK("http://ms.phosphosite.org:5080/cgi-bin/plot-msms.cgi?MassType=1&amp;NumAxis=1&amp;Mod2=147&amp;Mod12=170&amp;Pep=GMGPGTPAGYGR&amp;Dta=/var/www/html/dta/yong/23612.4748.2.dta&amp;Global_Mod=CS57.0215", "4748")</f>
        <v>4748</v>
      </c>
      <c r="M2199" s="1" t="str">
        <f>HYPERLINK("http://ms.phosphosite.org:5080/cgi-bin/plot-msms.cgi?MassType=1&amp;NumAxis=1&amp;Mod2=147&amp;Mod12=170&amp;Pep=GMGPGTPAGYGR&amp;Dta=/var/www/html/dta/yong/23613.5505.2.dta&amp;Global_Mod=CS57.0215", "5505")</f>
        <v>5505</v>
      </c>
      <c r="N2199" s="27">
        <v>24.87</v>
      </c>
      <c r="O2199" s="27">
        <v>27.53</v>
      </c>
      <c r="P2199" s="27">
        <v>2.6160000000000001</v>
      </c>
      <c r="Q2199" s="27">
        <v>2.399</v>
      </c>
      <c r="R2199" s="27">
        <v>0.29220000000000002</v>
      </c>
      <c r="S2199" s="27">
        <v>-0.46810000000000002</v>
      </c>
      <c r="T2199" s="27">
        <v>0.27610000000000001</v>
      </c>
      <c r="U2199" s="27">
        <v>0.14929999999999999</v>
      </c>
      <c r="V2199" s="1">
        <v>1</v>
      </c>
      <c r="W2199" s="1">
        <v>7</v>
      </c>
      <c r="X2199" s="27">
        <v>2.23</v>
      </c>
      <c r="Y2199" s="27">
        <v>1.42</v>
      </c>
      <c r="Z2199" s="28">
        <v>1000</v>
      </c>
      <c r="AA2199" s="28">
        <v>1000</v>
      </c>
      <c r="AB2199" s="1" t="s">
        <v>13</v>
      </c>
    </row>
    <row r="2200" spans="1:28">
      <c r="A2200" t="s">
        <v>580</v>
      </c>
      <c r="B2200" s="2" t="s">
        <v>3075</v>
      </c>
      <c r="C2200" t="s">
        <v>3075</v>
      </c>
      <c r="D2200" s="1">
        <v>693</v>
      </c>
      <c r="E2200" t="s">
        <v>3077</v>
      </c>
      <c r="F2200" s="3" t="s">
        <v>3078</v>
      </c>
      <c r="G2200" s="1">
        <v>76.099999999999994</v>
      </c>
      <c r="H2200" t="s">
        <v>3082</v>
      </c>
      <c r="I2200" t="s">
        <v>3083</v>
      </c>
      <c r="J2200" s="1">
        <v>2</v>
      </c>
      <c r="K2200" s="1">
        <v>575.76909999999998</v>
      </c>
      <c r="L2200" s="1" t="str">
        <f>HYPERLINK("http://ms.phosphosite.org:5080/cgi-bin/plot-msms.cgi?MassType=1&amp;NumAxis=1&amp;Mod2=147&amp;Mod12=170&amp;Pep=GMGPGTPAGYGR&amp;Dta=/var/www/html/dta/yong/23612.5251.2.dta&amp;Global_Mod=CS57.0215", "5251")</f>
        <v>5251</v>
      </c>
      <c r="M2200" s="1"/>
      <c r="N2200" s="27">
        <v>26.76</v>
      </c>
      <c r="O2200" s="27"/>
      <c r="P2200" s="27">
        <v>2.1840000000000002</v>
      </c>
      <c r="Q2200" s="27"/>
      <c r="R2200" s="27">
        <v>0.40870000000000001</v>
      </c>
      <c r="S2200" s="27"/>
      <c r="T2200" s="27">
        <v>0.2253</v>
      </c>
      <c r="U2200" s="27"/>
      <c r="V2200" s="1">
        <v>23</v>
      </c>
      <c r="W2200" s="1"/>
      <c r="X2200" s="27">
        <v>1.89</v>
      </c>
      <c r="Y2200" s="27"/>
      <c r="Z2200" s="28">
        <v>1000</v>
      </c>
      <c r="AA2200" s="28"/>
      <c r="AB2200" s="1" t="s">
        <v>13</v>
      </c>
    </row>
    <row r="2201" spans="1:28">
      <c r="A2201" t="s">
        <v>580</v>
      </c>
      <c r="B2201" s="2" t="s">
        <v>3075</v>
      </c>
      <c r="C2201" t="s">
        <v>3075</v>
      </c>
      <c r="D2201" s="1">
        <v>693</v>
      </c>
      <c r="E2201" t="s">
        <v>3077</v>
      </c>
      <c r="F2201" s="3" t="s">
        <v>3078</v>
      </c>
      <c r="G2201" s="1">
        <v>76.099999999999994</v>
      </c>
      <c r="H2201" t="s">
        <v>3082</v>
      </c>
      <c r="I2201" t="s">
        <v>3083</v>
      </c>
      <c r="J2201" s="1">
        <v>2</v>
      </c>
      <c r="K2201" s="1">
        <v>575.76909999999998</v>
      </c>
      <c r="L2201" s="1" t="str">
        <f>HYPERLINK("http://ms.phosphosite.org:5080/cgi-bin/plot-msms.cgi?MassType=1&amp;NumAxis=1&amp;Mod2=147&amp;Mod12=170&amp;Pep=GMGPGTPAGYGR&amp;Dta=/var/www/html/dta/yong/23612.5641.2.dta&amp;Global_Mod=CS57.0215", "5641")</f>
        <v>5641</v>
      </c>
      <c r="M2201" s="1"/>
      <c r="N2201" s="27">
        <v>28.23</v>
      </c>
      <c r="O2201" s="27"/>
      <c r="P2201" s="27">
        <v>2.262</v>
      </c>
      <c r="Q2201" s="27"/>
      <c r="R2201" s="27">
        <v>-0.505</v>
      </c>
      <c r="S2201" s="27"/>
      <c r="T2201" s="27">
        <v>0.161</v>
      </c>
      <c r="U2201" s="27"/>
      <c r="V2201" s="1">
        <v>36</v>
      </c>
      <c r="W2201" s="1"/>
      <c r="X2201" s="27">
        <v>1.53</v>
      </c>
      <c r="Y2201" s="27"/>
      <c r="Z2201" s="28">
        <v>1000</v>
      </c>
      <c r="AA2201" s="28"/>
      <c r="AB2201" s="1" t="s">
        <v>13</v>
      </c>
    </row>
    <row r="2202" spans="1:28">
      <c r="A2202" t="s">
        <v>580</v>
      </c>
      <c r="B2202" s="2" t="s">
        <v>3075</v>
      </c>
      <c r="C2202" t="s">
        <v>3075</v>
      </c>
      <c r="D2202" s="1">
        <v>693</v>
      </c>
      <c r="E2202" t="s">
        <v>3077</v>
      </c>
      <c r="F2202" s="3" t="s">
        <v>3078</v>
      </c>
      <c r="G2202" s="1">
        <v>76.099999999999994</v>
      </c>
      <c r="H2202" t="s">
        <v>3082</v>
      </c>
      <c r="I2202" t="s">
        <v>3083</v>
      </c>
      <c r="J2202" s="1">
        <v>2</v>
      </c>
      <c r="K2202" s="1">
        <v>575.76909999999998</v>
      </c>
      <c r="L2202" s="1" t="str">
        <f>HYPERLINK("http://ms.phosphosite.org:5080/cgi-bin/plot-msms.cgi?MassType=1&amp;NumAxis=1&amp;Mod2=147&amp;Mod12=170&amp;Pep=GMGPGTPAGYGR&amp;Dta=/var/www/html/dta/yong/23612.4960.2.dta&amp;Global_Mod=CS57.0215", "4960")</f>
        <v>4960</v>
      </c>
      <c r="M2202" s="1"/>
      <c r="N2202" s="27">
        <v>25.64</v>
      </c>
      <c r="O2202" s="27"/>
      <c r="P2202" s="27">
        <v>2.585</v>
      </c>
      <c r="Q2202" s="27"/>
      <c r="R2202" s="27">
        <v>0.2661</v>
      </c>
      <c r="S2202" s="27"/>
      <c r="T2202" s="27">
        <v>0.1399</v>
      </c>
      <c r="U2202" s="27"/>
      <c r="V2202" s="1">
        <v>9</v>
      </c>
      <c r="W2202" s="1"/>
      <c r="X2202" s="27">
        <v>1.55</v>
      </c>
      <c r="Y2202" s="27"/>
      <c r="Z2202" s="28">
        <v>1000</v>
      </c>
      <c r="AA2202" s="28"/>
      <c r="AB2202" s="1" t="s">
        <v>13</v>
      </c>
    </row>
    <row r="2203" spans="1:28">
      <c r="A2203" t="s">
        <v>580</v>
      </c>
      <c r="B2203" s="2" t="s">
        <v>3075</v>
      </c>
      <c r="C2203" t="s">
        <v>3075</v>
      </c>
      <c r="D2203" s="1">
        <v>693</v>
      </c>
      <c r="E2203" t="s">
        <v>3077</v>
      </c>
      <c r="F2203" s="3" t="s">
        <v>3078</v>
      </c>
      <c r="G2203" s="1">
        <v>76.099999999999994</v>
      </c>
      <c r="H2203" t="s">
        <v>3082</v>
      </c>
      <c r="I2203" t="s">
        <v>3084</v>
      </c>
      <c r="J2203" s="1">
        <v>2</v>
      </c>
      <c r="K2203" s="1">
        <v>567.77170000000001</v>
      </c>
      <c r="L2203" s="1" t="str">
        <f>HYPERLINK("http://ms.phosphosite.org:5080/cgi-bin/plot-msms.cgi?MassType=1&amp;NumAxis=1&amp;Mod12=170&amp;Pep=GMGPGTPAGYGR&amp;Dta=/var/www/html/dta/yong/23612.5931.2.dta&amp;Global_Mod=CS57.0215", "5931")</f>
        <v>5931</v>
      </c>
      <c r="M2203" s="1" t="str">
        <f>HYPERLINK("http://ms.phosphosite.org:5080/cgi-bin/plot-msms.cgi?MassType=1&amp;NumAxis=1&amp;Mod12=170&amp;Pep=GMGPGTPAGYGR&amp;Dta=/var/www/html/dta/yong/23613.5977.2.dta&amp;Global_Mod=CS57.0215", "5977")</f>
        <v>5977</v>
      </c>
      <c r="N2203" s="27">
        <v>29.31</v>
      </c>
      <c r="O2203" s="27">
        <v>29.31</v>
      </c>
      <c r="P2203" s="27">
        <v>2.7509999999999999</v>
      </c>
      <c r="Q2203" s="27">
        <v>2.5670000000000002</v>
      </c>
      <c r="R2203" s="27">
        <v>0.45450000000000002</v>
      </c>
      <c r="S2203" s="27">
        <v>0.26629999999999998</v>
      </c>
      <c r="T2203" s="27">
        <v>0.2225</v>
      </c>
      <c r="U2203" s="27">
        <v>0.152</v>
      </c>
      <c r="V2203" s="1">
        <v>1</v>
      </c>
      <c r="W2203" s="1">
        <v>1</v>
      </c>
      <c r="X2203" s="27">
        <v>2</v>
      </c>
      <c r="Y2203" s="27">
        <v>1.51</v>
      </c>
      <c r="Z2203" s="28">
        <v>1000</v>
      </c>
      <c r="AA2203" s="28">
        <v>1000</v>
      </c>
      <c r="AB2203" s="1" t="s">
        <v>13</v>
      </c>
    </row>
    <row r="2204" spans="1:28">
      <c r="A2204" t="s">
        <v>580</v>
      </c>
      <c r="B2204" s="2" t="s">
        <v>3075</v>
      </c>
      <c r="C2204" t="s">
        <v>3075</v>
      </c>
      <c r="D2204" s="1">
        <v>693</v>
      </c>
      <c r="E2204" t="s">
        <v>3077</v>
      </c>
      <c r="F2204" s="3" t="s">
        <v>3078</v>
      </c>
      <c r="G2204" s="1">
        <v>76.099999999999994</v>
      </c>
      <c r="H2204" t="s">
        <v>3082</v>
      </c>
      <c r="I2204" t="s">
        <v>3085</v>
      </c>
      <c r="J2204" s="1">
        <v>2</v>
      </c>
      <c r="K2204" s="1">
        <v>674.33299999999997</v>
      </c>
      <c r="L2204" s="1" t="str">
        <f>HYPERLINK("http://ms.phosphosite.org:5080/cgi-bin/plot-msms.cgi?MassType=1&amp;NumAxis=1&amp;Mod12=170&amp;Pep=GMGPGTPAGYGRGR&amp;Dta=/var/www/html/dta/yong/23612.4617.2.dta&amp;Global_Mod=CS57.0215", "4617")</f>
        <v>4617</v>
      </c>
      <c r="M2204" s="1"/>
      <c r="N2204" s="27">
        <v>24.38</v>
      </c>
      <c r="O2204" s="27"/>
      <c r="P2204" s="27">
        <v>2.1219999999999999</v>
      </c>
      <c r="Q2204" s="27"/>
      <c r="R2204" s="27">
        <v>0.65980000000000005</v>
      </c>
      <c r="S2204" s="27"/>
      <c r="T2204" s="27">
        <v>0.17660000000000001</v>
      </c>
      <c r="U2204" s="27"/>
      <c r="V2204" s="1">
        <v>364</v>
      </c>
      <c r="W2204" s="1"/>
      <c r="X2204" s="27">
        <v>1.2</v>
      </c>
      <c r="Y2204" s="27"/>
      <c r="Z2204" s="28">
        <v>1000</v>
      </c>
      <c r="AA2204" s="28"/>
      <c r="AB2204" s="1" t="s">
        <v>13</v>
      </c>
    </row>
    <row r="2205" spans="1:28">
      <c r="A2205" t="s">
        <v>580</v>
      </c>
      <c r="B2205" s="2" t="s">
        <v>3075</v>
      </c>
      <c r="C2205" t="s">
        <v>3075</v>
      </c>
      <c r="D2205" s="1">
        <v>681</v>
      </c>
      <c r="E2205" t="s">
        <v>3077</v>
      </c>
      <c r="F2205" s="3" t="s">
        <v>3078</v>
      </c>
      <c r="G2205" s="1">
        <v>76.099999999999994</v>
      </c>
      <c r="H2205" t="s">
        <v>3086</v>
      </c>
      <c r="I2205" t="s">
        <v>3087</v>
      </c>
      <c r="J2205" s="1">
        <v>2</v>
      </c>
      <c r="K2205" s="1">
        <v>678.34439999999995</v>
      </c>
      <c r="L2205" s="1" t="str">
        <f>HYPERLINK("http://ms.phosphosite.org:5080/cgi-bin/plot-msms.cgi?MassType=1&amp;NumAxis=1&amp;Mod15=170&amp;Pep=FGQGGAGPVGGQGPR&amp;Dta=/var/www/html/dta/yong/23612.5563.2.dta&amp;Global_Mod=CS57.0215", "5563")</f>
        <v>5563</v>
      </c>
      <c r="M2205" s="1" t="str">
        <f>HYPERLINK("http://ms.phosphosite.org:5080/cgi-bin/plot-msms.cgi?MassType=1&amp;NumAxis=1&amp;Mod15=170&amp;Pep=FGQGGAGPVGGQGPR&amp;Dta=/var/www/html/dta/yong/23613.5605.2.dta&amp;Global_Mod=CS57.0215", "5605")</f>
        <v>5605</v>
      </c>
      <c r="N2205" s="27">
        <v>27.93</v>
      </c>
      <c r="O2205" s="27">
        <v>27.9</v>
      </c>
      <c r="P2205" s="27">
        <v>4.24</v>
      </c>
      <c r="Q2205" s="27">
        <v>4.5350000000000001</v>
      </c>
      <c r="R2205" s="27">
        <v>0.24990000000000001</v>
      </c>
      <c r="S2205" s="27">
        <v>0.23599999999999999</v>
      </c>
      <c r="T2205" s="27">
        <v>0.52459999999999996</v>
      </c>
      <c r="U2205" s="27">
        <v>0.53990000000000005</v>
      </c>
      <c r="V2205" s="1">
        <v>1</v>
      </c>
      <c r="W2205" s="1">
        <v>1</v>
      </c>
      <c r="X2205" s="27">
        <v>3.74</v>
      </c>
      <c r="Y2205" s="27">
        <v>3.78</v>
      </c>
      <c r="Z2205" s="28">
        <v>1000</v>
      </c>
      <c r="AA2205" s="28">
        <v>1000</v>
      </c>
      <c r="AB2205" s="1" t="s">
        <v>13</v>
      </c>
    </row>
    <row r="2206" spans="1:28">
      <c r="A2206" t="s">
        <v>580</v>
      </c>
      <c r="B2206" s="2" t="s">
        <v>3075</v>
      </c>
      <c r="C2206" t="s">
        <v>3075</v>
      </c>
      <c r="D2206" s="1">
        <v>681</v>
      </c>
      <c r="E2206" t="s">
        <v>3077</v>
      </c>
      <c r="F2206" s="3" t="s">
        <v>3078</v>
      </c>
      <c r="G2206" s="1">
        <v>76.099999999999994</v>
      </c>
      <c r="H2206" t="s">
        <v>3086</v>
      </c>
      <c r="I2206" t="s">
        <v>3088</v>
      </c>
      <c r="J2206" s="1">
        <v>2</v>
      </c>
      <c r="K2206" s="1">
        <v>1020.4894</v>
      </c>
      <c r="L2206" s="1" t="str">
        <f>HYPERLINK("http://ms.phosphosite.org:5080/cgi-bin/plot-msms.cgi?MassType=1&amp;NumAxis=1&amp;Mod15=170&amp;Mod17=147&amp;Pep=FGQGGAGPVGGQGPRGMGPGTPA&amp;Dta=/var/www/html/dta/yong/23612.7005.2.dta&amp;Global_Mod=CS57.0215", "7005")</f>
        <v>7005</v>
      </c>
      <c r="M2206" s="1" t="str">
        <f>HYPERLINK("http://ms.phosphosite.org:5080/cgi-bin/plot-msms.cgi?MassType=1&amp;NumAxis=1&amp;Mod15=170&amp;Mod17=147&amp;Pep=FGQGGAGPVGGQGPRGMGPGTPA&amp;Dta=/var/www/html/dta/yong/23613.7065.2.dta&amp;Global_Mod=CS57.0215", "7065")</f>
        <v>7065</v>
      </c>
      <c r="N2206" s="27">
        <v>33.31</v>
      </c>
      <c r="O2206" s="27">
        <v>33.32</v>
      </c>
      <c r="P2206" s="27">
        <v>4.0289999999999999</v>
      </c>
      <c r="Q2206" s="27">
        <v>3.45</v>
      </c>
      <c r="R2206" s="27">
        <v>0.68989999999999996</v>
      </c>
      <c r="S2206" s="27">
        <v>0.98219999999999996</v>
      </c>
      <c r="T2206" s="27">
        <v>0.52110000000000001</v>
      </c>
      <c r="U2206" s="27">
        <v>0.38390000000000002</v>
      </c>
      <c r="V2206" s="1">
        <v>1</v>
      </c>
      <c r="W2206" s="1">
        <v>1</v>
      </c>
      <c r="X2206" s="27">
        <v>3.39</v>
      </c>
      <c r="Y2206" s="27">
        <v>2.4900000000000002</v>
      </c>
      <c r="Z2206" s="28">
        <v>1000</v>
      </c>
      <c r="AA2206" s="28">
        <v>1000</v>
      </c>
      <c r="AB2206" s="1" t="s">
        <v>13</v>
      </c>
    </row>
    <row r="2207" spans="1:28">
      <c r="A2207" t="s">
        <v>580</v>
      </c>
      <c r="B2207" s="2" t="s">
        <v>3075</v>
      </c>
      <c r="C2207" t="s">
        <v>3075</v>
      </c>
      <c r="D2207" s="1">
        <v>681</v>
      </c>
      <c r="E2207" t="s">
        <v>3077</v>
      </c>
      <c r="F2207" s="3" t="s">
        <v>3078</v>
      </c>
      <c r="G2207" s="1">
        <v>76.099999999999994</v>
      </c>
      <c r="H2207" t="s">
        <v>3086</v>
      </c>
      <c r="I2207" t="s">
        <v>3088</v>
      </c>
      <c r="J2207" s="1">
        <v>2</v>
      </c>
      <c r="K2207" s="1">
        <v>1020.4894</v>
      </c>
      <c r="L2207" s="1" t="str">
        <f>HYPERLINK("http://ms.phosphosite.org:5080/cgi-bin/plot-msms.cgi?MassType=1&amp;NumAxis=1&amp;Mod15=170&amp;Mod17=147&amp;Pep=FGQGGAGPVGGQGPRGMGPGTPA&amp;Dta=/var/www/html/dta/yong/23612.7025.2.dta&amp;Global_Mod=CS57.0215", "7025")</f>
        <v>7025</v>
      </c>
      <c r="M2207" s="1"/>
      <c r="N2207" s="27">
        <v>33.380000000000003</v>
      </c>
      <c r="O2207" s="27"/>
      <c r="P2207" s="27">
        <v>4.4969999999999999</v>
      </c>
      <c r="Q2207" s="27"/>
      <c r="R2207" s="27">
        <v>0.68989999999999996</v>
      </c>
      <c r="S2207" s="27"/>
      <c r="T2207" s="27">
        <v>0.52959999999999996</v>
      </c>
      <c r="U2207" s="27"/>
      <c r="V2207" s="1">
        <v>1</v>
      </c>
      <c r="W2207" s="1"/>
      <c r="X2207" s="27">
        <v>3.53</v>
      </c>
      <c r="Y2207" s="27"/>
      <c r="Z2207" s="28">
        <v>1000</v>
      </c>
      <c r="AA2207" s="28"/>
      <c r="AB2207" s="1" t="s">
        <v>13</v>
      </c>
    </row>
    <row r="2208" spans="1:28">
      <c r="A2208" t="s">
        <v>580</v>
      </c>
      <c r="B2208" s="2" t="s">
        <v>3075</v>
      </c>
      <c r="C2208" t="s">
        <v>3075</v>
      </c>
      <c r="D2208" s="1">
        <v>681</v>
      </c>
      <c r="E2208" t="s">
        <v>3077</v>
      </c>
      <c r="F2208" s="3" t="s">
        <v>3078</v>
      </c>
      <c r="G2208" s="1">
        <v>76.099999999999994</v>
      </c>
      <c r="H2208" t="s">
        <v>3086</v>
      </c>
      <c r="I2208" t="s">
        <v>3089</v>
      </c>
      <c r="J2208" s="1">
        <v>2</v>
      </c>
      <c r="K2208" s="1">
        <v>1130.5318</v>
      </c>
      <c r="L2208" s="1" t="str">
        <f>HYPERLINK("http://ms.phosphosite.org:5080/cgi-bin/plot-msms.cgi?MassType=1&amp;NumAxis=1&amp;Mod15=170&amp;Mod17=147&amp;Pep=FGQGGAGPVGGQGPRGMGPGTPAGY&amp;Dta=/var/www/html/dta/yong/23612.8879.2.dta&amp;Global_Mod=CS57.0215", "8879")</f>
        <v>8879</v>
      </c>
      <c r="M2208" s="1" t="str">
        <f>HYPERLINK("http://ms.phosphosite.org:5080/cgi-bin/plot-msms.cgi?MassType=1&amp;NumAxis=1&amp;Mod15=170&amp;Mod17=147&amp;Pep=FGQGGAGPVGGQGPRGMGPGTPAGY&amp;Dta=/var/www/html/dta/yong/23613.8929.2.dta&amp;Global_Mod=CS57.0215", "8929")</f>
        <v>8929</v>
      </c>
      <c r="N2208" s="27">
        <v>39.979999999999997</v>
      </c>
      <c r="O2208" s="27">
        <v>40.090000000000003</v>
      </c>
      <c r="P2208" s="27">
        <v>4.1289999999999996</v>
      </c>
      <c r="Q2208" s="27">
        <v>4.4160000000000004</v>
      </c>
      <c r="R2208" s="27">
        <v>0.51380000000000003</v>
      </c>
      <c r="S2208" s="27">
        <v>0.1426</v>
      </c>
      <c r="T2208" s="27">
        <v>0.44840000000000002</v>
      </c>
      <c r="U2208" s="27">
        <v>0.52490000000000003</v>
      </c>
      <c r="V2208" s="1">
        <v>1</v>
      </c>
      <c r="W2208" s="1">
        <v>1</v>
      </c>
      <c r="X2208" s="27">
        <v>3.04</v>
      </c>
      <c r="Y2208" s="27">
        <v>3.37</v>
      </c>
      <c r="Z2208" s="28">
        <v>1000</v>
      </c>
      <c r="AA2208" s="28">
        <v>1000</v>
      </c>
      <c r="AB2208" s="1" t="s">
        <v>13</v>
      </c>
    </row>
    <row r="2209" spans="1:28">
      <c r="A2209" t="s">
        <v>580</v>
      </c>
      <c r="B2209" s="2" t="s">
        <v>3075</v>
      </c>
      <c r="C2209" t="s">
        <v>3075</v>
      </c>
      <c r="D2209" s="1">
        <v>681</v>
      </c>
      <c r="E2209" t="s">
        <v>3077</v>
      </c>
      <c r="F2209" s="3" t="s">
        <v>3078</v>
      </c>
      <c r="G2209" s="1">
        <v>76.099999999999994</v>
      </c>
      <c r="H2209" t="s">
        <v>3086</v>
      </c>
      <c r="I2209" t="s">
        <v>3089</v>
      </c>
      <c r="J2209" s="1">
        <v>3</v>
      </c>
      <c r="K2209" s="1">
        <v>754.02359999999999</v>
      </c>
      <c r="L2209" s="1" t="str">
        <f>HYPERLINK("http://ms.phosphosite.org:5080/cgi-bin/plot-msms.cgi?MassType=1&amp;NumAxis=1&amp;Mod15=170&amp;Mod17=147&amp;Pep=FGQGGAGPVGGQGPRGMGPGTPAGY&amp;Dta=/var/www/html/dta/yong/23612.8836.3.dta&amp;Global_Mod=CS57.0215", "8836")</f>
        <v>8836</v>
      </c>
      <c r="M2209" s="1" t="str">
        <f>HYPERLINK("http://ms.phosphosite.org:5080/cgi-bin/plot-msms.cgi?MassType=1&amp;NumAxis=1&amp;Mod15=170&amp;Mod17=147&amp;Pep=FGQGGAGPVGGQGPRGMGPGTPAGY&amp;Dta=/var/www/html/dta/yong/23613.8889.3.dta&amp;Global_Mod=CS57.0215", "8889")</f>
        <v>8889</v>
      </c>
      <c r="N2209" s="27">
        <v>39.81</v>
      </c>
      <c r="O2209" s="27">
        <v>39.950000000000003</v>
      </c>
      <c r="P2209" s="27">
        <v>2.0819999999999999</v>
      </c>
      <c r="Q2209" s="27">
        <v>2.3220000000000001</v>
      </c>
      <c r="R2209" s="27">
        <v>0.84760000000000002</v>
      </c>
      <c r="S2209" s="27">
        <v>0.83899999999999997</v>
      </c>
      <c r="T2209" s="27">
        <v>0.27010000000000001</v>
      </c>
      <c r="U2209" s="27">
        <v>0.28260000000000002</v>
      </c>
      <c r="V2209" s="1">
        <v>1</v>
      </c>
      <c r="W2209" s="1">
        <v>22</v>
      </c>
      <c r="X2209" s="27">
        <v>1.8</v>
      </c>
      <c r="Y2209" s="27">
        <v>1.77</v>
      </c>
      <c r="Z2209" s="28">
        <v>1000</v>
      </c>
      <c r="AA2209" s="28">
        <v>1000</v>
      </c>
      <c r="AB2209" s="1" t="s">
        <v>13</v>
      </c>
    </row>
    <row r="2210" spans="1:28">
      <c r="A2210" t="s">
        <v>580</v>
      </c>
      <c r="B2210" s="2" t="s">
        <v>3075</v>
      </c>
      <c r="C2210" t="s">
        <v>3075</v>
      </c>
      <c r="D2210" s="1">
        <v>681</v>
      </c>
      <c r="E2210" t="s">
        <v>3077</v>
      </c>
      <c r="F2210" s="3" t="s">
        <v>3078</v>
      </c>
      <c r="G2210" s="1">
        <v>76.099999999999994</v>
      </c>
      <c r="H2210" t="s">
        <v>3086</v>
      </c>
      <c r="I2210" t="s">
        <v>3090</v>
      </c>
      <c r="J2210" s="1">
        <v>3</v>
      </c>
      <c r="K2210" s="1">
        <v>825.06449999999995</v>
      </c>
      <c r="L2210" s="1" t="str">
        <f>HYPERLINK("http://ms.phosphosite.org:5080/cgi-bin/plot-msms.cgi?MassType=1&amp;NumAxis=1&amp;Mod15=170&amp;Mod17=147&amp;Pep=FGQGGAGPVGGQGPRGMGPGTPAGYGR&amp;Dta=/var/www/html/dta/yong/23612.7099.3.dta&amp;Global_Mod=CS57.0215", "7099")</f>
        <v>7099</v>
      </c>
      <c r="M2210" s="1" t="str">
        <f>HYPERLINK("http://ms.phosphosite.org:5080/cgi-bin/plot-msms.cgi?MassType=1&amp;NumAxis=1&amp;Mod15=170&amp;Mod17=147&amp;Pep=FGQGGAGPVGGQGPRGMGPGTPAGYGR&amp;Dta=/var/www/html/dta/yong/23613.7162.3.dta&amp;Global_Mod=CS57.0215", "7162")</f>
        <v>7162</v>
      </c>
      <c r="N2210" s="27">
        <v>33.619999999999997</v>
      </c>
      <c r="O2210" s="27">
        <v>33.68</v>
      </c>
      <c r="P2210" s="27">
        <v>2.343</v>
      </c>
      <c r="Q2210" s="27">
        <v>3.4</v>
      </c>
      <c r="R2210" s="27">
        <v>1.0785</v>
      </c>
      <c r="S2210" s="27">
        <v>1.3491</v>
      </c>
      <c r="T2210" s="27">
        <v>0.12870000000000001</v>
      </c>
      <c r="U2210" s="27">
        <v>0.28089999999999998</v>
      </c>
      <c r="V2210" s="1">
        <v>1</v>
      </c>
      <c r="W2210" s="1">
        <v>1</v>
      </c>
      <c r="X2210" s="27">
        <v>1.1200000000000001</v>
      </c>
      <c r="Y2210" s="27">
        <v>1.94</v>
      </c>
      <c r="Z2210" s="28">
        <v>1000</v>
      </c>
      <c r="AA2210" s="28">
        <v>1000</v>
      </c>
      <c r="AB2210" s="1" t="s">
        <v>13</v>
      </c>
    </row>
    <row r="2211" spans="1:28">
      <c r="A2211" t="s">
        <v>580</v>
      </c>
      <c r="B2211" s="2" t="s">
        <v>3075</v>
      </c>
      <c r="C2211" t="s">
        <v>3075</v>
      </c>
      <c r="D2211" s="30" t="s">
        <v>3091</v>
      </c>
      <c r="E2211" t="s">
        <v>3077</v>
      </c>
      <c r="F2211" s="3" t="s">
        <v>3078</v>
      </c>
      <c r="G2211" s="1">
        <v>76.099999999999994</v>
      </c>
      <c r="H2211" t="s">
        <v>3092</v>
      </c>
      <c r="I2211" t="s">
        <v>3093</v>
      </c>
      <c r="J2211" s="1">
        <v>4</v>
      </c>
      <c r="K2211" s="1">
        <v>667.85360000000003</v>
      </c>
      <c r="L2211" s="1" t="str">
        <f>HYPERLINK("http://ms.phosphosite.org:5080/cgi-bin/plot-msms.cgi?MassType=1&amp;NumAxis=1&amp;Mod19=170&amp;Mod25=170&amp;Mod28=170&amp;Pep=PGGGPGLSTPGGHPKPPHRGGGEPRGGR&amp;Dta=/var/www/html/dta/yong/23612.2903.4.dta&amp;Global_Mod=CS57.0215", "2903")</f>
        <v>2903</v>
      </c>
      <c r="M2211" s="1" t="str">
        <f>HYPERLINK("http://ms.phosphosite.org:5080/cgi-bin/plot-msms.cgi?MassType=1&amp;NumAxis=1&amp;Mod19=170&amp;Mod25=170&amp;Mod28=170&amp;Pep=PGGGPGLSTPGGHPKPPHRGGGEPRGGR&amp;Dta=/var/www/html/dta/yong/23613.2937.4.dta&amp;Global_Mod=CS57.0215", "2937")</f>
        <v>2937</v>
      </c>
      <c r="N2211" s="27">
        <v>17.77</v>
      </c>
      <c r="O2211" s="27">
        <v>17.73</v>
      </c>
      <c r="P2211" s="27">
        <v>3.093</v>
      </c>
      <c r="Q2211" s="27">
        <v>2.61</v>
      </c>
      <c r="R2211" s="27">
        <v>1.016</v>
      </c>
      <c r="S2211" s="27">
        <v>1.0423</v>
      </c>
      <c r="T2211" s="27">
        <v>0.183</v>
      </c>
      <c r="U2211" s="27">
        <v>0.23350000000000001</v>
      </c>
      <c r="V2211" s="1">
        <v>2</v>
      </c>
      <c r="W2211" s="1">
        <v>3</v>
      </c>
      <c r="X2211" s="27">
        <v>1.39</v>
      </c>
      <c r="Y2211" s="27">
        <v>1.41</v>
      </c>
      <c r="Z2211" s="28" t="s">
        <v>1307</v>
      </c>
      <c r="AA2211" s="28" t="s">
        <v>1307</v>
      </c>
      <c r="AB2211" s="1" t="s">
        <v>13</v>
      </c>
    </row>
    <row r="2212" spans="1:28">
      <c r="A2212" t="s">
        <v>580</v>
      </c>
      <c r="B2212" s="2" t="s">
        <v>3075</v>
      </c>
      <c r="C2212" t="s">
        <v>3075</v>
      </c>
      <c r="D2212" s="1">
        <v>236</v>
      </c>
      <c r="E2212" t="s">
        <v>3077</v>
      </c>
      <c r="F2212" s="3" t="s">
        <v>3078</v>
      </c>
      <c r="G2212" s="1">
        <v>76.099999999999994</v>
      </c>
      <c r="H2212" t="s">
        <v>3094</v>
      </c>
      <c r="I2212" t="s">
        <v>3095</v>
      </c>
      <c r="J2212" s="1">
        <v>3</v>
      </c>
      <c r="K2212" s="1">
        <v>790.74400000000003</v>
      </c>
      <c r="L2212" s="1" t="str">
        <f>HYPERLINK("http://ms.phosphosite.org:5080/cgi-bin/plot-msms.cgi?MassType=1&amp;NumAxis=1&amp;Mod19=170&amp;Pep=PGGGPGLSTPGGHPKPPHRGGGEPR&amp;Dta=/var/www/html/dta/yong/23612.3313.3.dta&amp;Global_Mod=CS57.0215", "3313")</f>
        <v>3313</v>
      </c>
      <c r="M2212" s="1" t="str">
        <f>HYPERLINK("http://ms.phosphosite.org:5080/cgi-bin/plot-msms.cgi?MassType=1&amp;NumAxis=1&amp;Mod19=170&amp;Pep=PGGGPGLSTPGGHPKPPHRGGGEPR&amp;Dta=/var/www/html/dta/yong/23613.3323.3.dta&amp;Global_Mod=CS57.0215", "3323")</f>
        <v>3323</v>
      </c>
      <c r="N2212" s="27">
        <v>19.329999999999998</v>
      </c>
      <c r="O2212" s="27">
        <v>19.2</v>
      </c>
      <c r="P2212" s="27">
        <v>3.0409999999999999</v>
      </c>
      <c r="Q2212" s="27">
        <v>2.9249999999999998</v>
      </c>
      <c r="R2212" s="27">
        <v>0.94430000000000003</v>
      </c>
      <c r="S2212" s="27">
        <v>1.2428999999999999</v>
      </c>
      <c r="T2212" s="27">
        <v>0.28000000000000003</v>
      </c>
      <c r="U2212" s="27">
        <v>0.35239999999999999</v>
      </c>
      <c r="V2212" s="1">
        <v>1</v>
      </c>
      <c r="W2212" s="1">
        <v>1</v>
      </c>
      <c r="X2212" s="27">
        <v>2.0299999999999998</v>
      </c>
      <c r="Y2212" s="27">
        <v>2.23</v>
      </c>
      <c r="Z2212" s="28">
        <v>1000</v>
      </c>
      <c r="AA2212" s="28">
        <v>1000</v>
      </c>
      <c r="AB2212" s="1" t="s">
        <v>13</v>
      </c>
    </row>
    <row r="2213" spans="1:28">
      <c r="A2213" t="s">
        <v>580</v>
      </c>
      <c r="B2213" s="2" t="s">
        <v>3075</v>
      </c>
      <c r="C2213" t="s">
        <v>3075</v>
      </c>
      <c r="D2213" s="1">
        <v>236</v>
      </c>
      <c r="E2213" t="s">
        <v>3077</v>
      </c>
      <c r="F2213" s="3" t="s">
        <v>3078</v>
      </c>
      <c r="G2213" s="1">
        <v>76.099999999999994</v>
      </c>
      <c r="H2213" t="s">
        <v>3094</v>
      </c>
      <c r="I2213" t="s">
        <v>3095</v>
      </c>
      <c r="J2213" s="1">
        <v>3</v>
      </c>
      <c r="K2213" s="1">
        <v>790.74400000000003</v>
      </c>
      <c r="L2213" s="1" t="str">
        <f>HYPERLINK("http://ms.phosphosite.org:5080/cgi-bin/plot-msms.cgi?MassType=1&amp;NumAxis=1&amp;Mod19=170&amp;Pep=PGGGPGLSTPGGHPKPPHRGGGEPR&amp;Dta=/var/www/html/dta/yong/23612.3267.3.dta&amp;Global_Mod=CS57.0215", "3267")</f>
        <v>3267</v>
      </c>
      <c r="M2213" s="1"/>
      <c r="N2213" s="27">
        <v>19.149999999999999</v>
      </c>
      <c r="O2213" s="27"/>
      <c r="P2213" s="27">
        <v>3.22</v>
      </c>
      <c r="Q2213" s="27"/>
      <c r="R2213" s="27">
        <v>0.92110000000000003</v>
      </c>
      <c r="S2213" s="27"/>
      <c r="T2213" s="27">
        <v>0.31740000000000002</v>
      </c>
      <c r="U2213" s="27"/>
      <c r="V2213" s="1">
        <v>1</v>
      </c>
      <c r="W2213" s="1"/>
      <c r="X2213" s="27">
        <v>2.25</v>
      </c>
      <c r="Y2213" s="27"/>
      <c r="Z2213" s="28">
        <v>1000</v>
      </c>
      <c r="AA2213" s="28"/>
      <c r="AB2213" s="1" t="s">
        <v>13</v>
      </c>
    </row>
    <row r="2214" spans="1:28">
      <c r="A2214" t="s">
        <v>580</v>
      </c>
      <c r="B2214" s="2" t="s">
        <v>3075</v>
      </c>
      <c r="C2214" t="s">
        <v>3075</v>
      </c>
      <c r="D2214" s="1">
        <v>236</v>
      </c>
      <c r="E2214" t="s">
        <v>3077</v>
      </c>
      <c r="F2214" s="3" t="s">
        <v>3078</v>
      </c>
      <c r="G2214" s="1">
        <v>76.099999999999994</v>
      </c>
      <c r="H2214" t="s">
        <v>3094</v>
      </c>
      <c r="I2214" t="s">
        <v>3095</v>
      </c>
      <c r="J2214" s="1">
        <v>4</v>
      </c>
      <c r="K2214" s="1">
        <v>593.3098</v>
      </c>
      <c r="L2214" s="1" t="str">
        <f>HYPERLINK("http://ms.phosphosite.org:5080/cgi-bin/plot-msms.cgi?MassType=1&amp;NumAxis=1&amp;Mod19=170&amp;Pep=PGGGPGLSTPGGHPKPPHRGGGEPR&amp;Dta=/var/www/html/dta/yong/23612.3252.4.dta&amp;Global_Mod=CS57.0215", "3252")</f>
        <v>3252</v>
      </c>
      <c r="M2214" s="1" t="str">
        <f>HYPERLINK("http://ms.phosphosite.org:5080/cgi-bin/plot-msms.cgi?MassType=1&amp;NumAxis=1&amp;Mod19=170&amp;Pep=PGGGPGLSTPGGHPKPPHRGGGEPR&amp;Dta=/var/www/html/dta/yong/23613.3301.4.dta&amp;Global_Mod=CS57.0215", "3301")</f>
        <v>3301</v>
      </c>
      <c r="N2214" s="27">
        <v>19.09</v>
      </c>
      <c r="O2214" s="27">
        <v>19.12</v>
      </c>
      <c r="P2214" s="27">
        <v>3.3540000000000001</v>
      </c>
      <c r="Q2214" s="27">
        <v>3.2719999999999998</v>
      </c>
      <c r="R2214" s="27">
        <v>0.42159999999999997</v>
      </c>
      <c r="S2214" s="27">
        <v>0.9778</v>
      </c>
      <c r="T2214" s="27">
        <v>0.30349999999999999</v>
      </c>
      <c r="U2214" s="27">
        <v>0.28100000000000003</v>
      </c>
      <c r="V2214" s="1">
        <v>1</v>
      </c>
      <c r="W2214" s="1">
        <v>2</v>
      </c>
      <c r="X2214" s="27">
        <v>2.2999999999999998</v>
      </c>
      <c r="Y2214" s="27">
        <v>2.0099999999999998</v>
      </c>
      <c r="Z2214" s="28">
        <v>1000</v>
      </c>
      <c r="AA2214" s="28">
        <v>1000</v>
      </c>
      <c r="AB2214" s="1" t="s">
        <v>13</v>
      </c>
    </row>
    <row r="2215" spans="1:28">
      <c r="A2215" t="s">
        <v>580</v>
      </c>
      <c r="B2215" s="2" t="s">
        <v>3075</v>
      </c>
      <c r="C2215" t="s">
        <v>3075</v>
      </c>
      <c r="D2215" s="1">
        <v>236</v>
      </c>
      <c r="E2215" t="s">
        <v>3077</v>
      </c>
      <c r="F2215" s="3" t="s">
        <v>3078</v>
      </c>
      <c r="G2215" s="1">
        <v>76.099999999999994</v>
      </c>
      <c r="H2215" t="s">
        <v>3094</v>
      </c>
      <c r="I2215" t="s">
        <v>3095</v>
      </c>
      <c r="J2215" s="1">
        <v>4</v>
      </c>
      <c r="K2215" s="1">
        <v>593.3098</v>
      </c>
      <c r="L2215" s="1" t="str">
        <f>HYPERLINK("http://ms.phosphosite.org:5080/cgi-bin/plot-msms.cgi?MassType=1&amp;NumAxis=1&amp;Mod19=170&amp;Pep=PGGGPGLSTPGGHPKPPHRGGGEPR&amp;Dta=/var/www/html/dta/yong/23612.3216.4.dta&amp;Global_Mod=CS57.0215", "3216")</f>
        <v>3216</v>
      </c>
      <c r="M2215" s="1"/>
      <c r="N2215" s="27">
        <v>18.97</v>
      </c>
      <c r="O2215" s="27"/>
      <c r="P2215" s="27">
        <v>2.589</v>
      </c>
      <c r="Q2215" s="27"/>
      <c r="R2215" s="27">
        <v>0.58109999999999995</v>
      </c>
      <c r="S2215" s="27"/>
      <c r="T2215" s="27">
        <v>3.56E-2</v>
      </c>
      <c r="U2215" s="27"/>
      <c r="V2215" s="1">
        <v>1</v>
      </c>
      <c r="W2215" s="1"/>
      <c r="X2215" s="27">
        <v>0.81</v>
      </c>
      <c r="Y2215" s="27"/>
      <c r="Z2215" s="28">
        <v>1000</v>
      </c>
      <c r="AA2215" s="28"/>
      <c r="AB2215" s="1" t="s">
        <v>13</v>
      </c>
    </row>
    <row r="2216" spans="1:28">
      <c r="A2216" t="s">
        <v>580</v>
      </c>
      <c r="B2216" s="2" t="s">
        <v>3075</v>
      </c>
      <c r="C2216" t="s">
        <v>3075</v>
      </c>
      <c r="D2216" s="30" t="s">
        <v>3096</v>
      </c>
      <c r="E2216" t="s">
        <v>3077</v>
      </c>
      <c r="F2216" s="3" t="s">
        <v>3078</v>
      </c>
      <c r="G2216" s="1">
        <v>76.099999999999994</v>
      </c>
      <c r="H2216" t="s">
        <v>3097</v>
      </c>
      <c r="I2216" t="s">
        <v>3098</v>
      </c>
      <c r="J2216" s="1">
        <v>4</v>
      </c>
      <c r="K2216" s="1">
        <v>596.81370000000004</v>
      </c>
      <c r="L2216" s="1" t="str">
        <f>HYPERLINK("http://ms.phosphosite.org:5080/cgi-bin/plot-msms.cgi?MassType=1&amp;NumAxis=1&amp;Mod19=170&amp;Mod25=170&amp;Pep=PGGGPGLSTPGGHPKPPHRGGGEPR&amp;Dta=/var/www/html/dta/yong/23612.3424.4.dta&amp;Global_Mod=CS57.0215", "3424")</f>
        <v>3424</v>
      </c>
      <c r="M2216" s="1" t="str">
        <f>HYPERLINK("http://ms.phosphosite.org:5080/cgi-bin/plot-msms.cgi?MassType=1&amp;NumAxis=1&amp;Mod19=170&amp;Mod25=170&amp;Pep=PGGGPGLSTPGGHPKPPHRGGGEPR&amp;Dta=/var/www/html/dta/yong/23613.3479.4.dta&amp;Global_Mod=CS57.0215", "3479")</f>
        <v>3479</v>
      </c>
      <c r="N2216" s="27">
        <v>19.73</v>
      </c>
      <c r="O2216" s="27">
        <v>19.78</v>
      </c>
      <c r="P2216" s="27">
        <v>3</v>
      </c>
      <c r="Q2216" s="27">
        <v>3.395</v>
      </c>
      <c r="R2216" s="27">
        <v>0.32440000000000002</v>
      </c>
      <c r="S2216" s="27">
        <v>0.33119999999999999</v>
      </c>
      <c r="T2216" s="27">
        <v>0.25779999999999997</v>
      </c>
      <c r="U2216" s="27">
        <v>0.2059</v>
      </c>
      <c r="V2216" s="1">
        <v>1</v>
      </c>
      <c r="W2216" s="1">
        <v>1</v>
      </c>
      <c r="X2216" s="27">
        <v>2</v>
      </c>
      <c r="Y2216" s="27">
        <v>1.69</v>
      </c>
      <c r="Z2216" s="28" t="s">
        <v>1306</v>
      </c>
      <c r="AA2216" s="28" t="s">
        <v>1306</v>
      </c>
      <c r="AB2216" s="1" t="s">
        <v>13</v>
      </c>
    </row>
    <row r="2217" spans="1:28">
      <c r="A2217" t="s">
        <v>580</v>
      </c>
      <c r="B2217" s="2" t="s">
        <v>3075</v>
      </c>
      <c r="C2217" t="s">
        <v>3075</v>
      </c>
      <c r="D2217" s="30" t="s">
        <v>3096</v>
      </c>
      <c r="E2217" t="s">
        <v>3077</v>
      </c>
      <c r="F2217" s="3" t="s">
        <v>3078</v>
      </c>
      <c r="G2217" s="1">
        <v>76.099999999999994</v>
      </c>
      <c r="H2217" t="s">
        <v>3097</v>
      </c>
      <c r="I2217" t="s">
        <v>3098</v>
      </c>
      <c r="J2217" s="1">
        <v>4</v>
      </c>
      <c r="K2217" s="1">
        <v>596.81370000000004</v>
      </c>
      <c r="L2217" s="1"/>
      <c r="M2217" s="1" t="str">
        <f>HYPERLINK("http://ms.phosphosite.org:5080/cgi-bin/plot-msms.cgi?MassType=1&amp;NumAxis=1&amp;Mod19=170&amp;Mod25=170&amp;Pep=PGGGPGLSTPGGHPKPPHRGGGEPR&amp;Dta=/var/www/html/dta/yong/23613.3403.4.dta&amp;Global_Mod=CS57.0215", "3403")</f>
        <v>3403</v>
      </c>
      <c r="N2217" s="27"/>
      <c r="O2217" s="27">
        <v>19.489999999999998</v>
      </c>
      <c r="P2217" s="27"/>
      <c r="Q2217" s="27">
        <v>2.73</v>
      </c>
      <c r="R2217" s="27"/>
      <c r="S2217" s="27">
        <v>0.60029999999999994</v>
      </c>
      <c r="T2217" s="27"/>
      <c r="U2217" s="27">
        <v>0.215</v>
      </c>
      <c r="V2217" s="1"/>
      <c r="W2217" s="1">
        <v>1</v>
      </c>
      <c r="X2217" s="27"/>
      <c r="Y2217" s="27">
        <v>1.59</v>
      </c>
      <c r="Z2217" s="28"/>
      <c r="AA2217" s="28" t="s">
        <v>1306</v>
      </c>
      <c r="AB2217" s="1" t="s">
        <v>13</v>
      </c>
    </row>
    <row r="2218" spans="1:28">
      <c r="A2218" t="s">
        <v>580</v>
      </c>
      <c r="B2218" s="29" t="s">
        <v>3099</v>
      </c>
      <c r="C2218" s="26" t="s">
        <v>3099</v>
      </c>
      <c r="D2218" s="1">
        <v>108</v>
      </c>
      <c r="E2218" t="s">
        <v>3100</v>
      </c>
      <c r="F2218" s="3" t="s">
        <v>3101</v>
      </c>
      <c r="G2218" s="1">
        <v>24.6</v>
      </c>
      <c r="H2218" t="s">
        <v>3102</v>
      </c>
      <c r="I2218" t="s">
        <v>3103</v>
      </c>
      <c r="J2218" s="1">
        <v>2</v>
      </c>
      <c r="K2218" s="1">
        <v>449.24869999999999</v>
      </c>
      <c r="L2218" s="1"/>
      <c r="M2218" s="1" t="str">
        <f>HYPERLINK("http://ms.phosphosite.org:5080/cgi-bin/plot-msms.cgi?MassType=1&amp;NumAxis=1&amp;Mod11=170&amp;Pep=AGAAGGPGIGR&amp;Dta=/var/www/html/dta/yong/23613.3376.2.dta&amp;Global_Mod=CS57.0215", "3376")</f>
        <v>3376</v>
      </c>
      <c r="N2218" s="27"/>
      <c r="O2218" s="27">
        <v>19.399999999999999</v>
      </c>
      <c r="P2218" s="27"/>
      <c r="Q2218" s="27">
        <v>2.5190000000000001</v>
      </c>
      <c r="R2218" s="27"/>
      <c r="S2218" s="27">
        <v>0.6421</v>
      </c>
      <c r="T2218" s="27"/>
      <c r="U2218" s="27">
        <v>0.26019999999999999</v>
      </c>
      <c r="V2218" s="1"/>
      <c r="W2218" s="1">
        <v>4</v>
      </c>
      <c r="X2218" s="27"/>
      <c r="Y2218" s="27">
        <v>1.95</v>
      </c>
      <c r="Z2218" s="28"/>
      <c r="AA2218" s="28">
        <v>1000</v>
      </c>
      <c r="AB2218" s="1" t="s">
        <v>13</v>
      </c>
    </row>
    <row r="2219" spans="1:28">
      <c r="A2219" t="s">
        <v>580</v>
      </c>
      <c r="B2219" s="29" t="s">
        <v>3099</v>
      </c>
      <c r="C2219" s="26" t="s">
        <v>3099</v>
      </c>
      <c r="D2219" s="1">
        <v>108</v>
      </c>
      <c r="E2219" t="s">
        <v>3100</v>
      </c>
      <c r="F2219" s="3" t="s">
        <v>3101</v>
      </c>
      <c r="G2219" s="1">
        <v>24.6</v>
      </c>
      <c r="H2219" t="s">
        <v>3102</v>
      </c>
      <c r="I2219" t="s">
        <v>3104</v>
      </c>
      <c r="J2219" s="1">
        <v>2</v>
      </c>
      <c r="K2219" s="1">
        <v>505.79070000000002</v>
      </c>
      <c r="L2219" s="1" t="str">
        <f>HYPERLINK("http://ms.phosphosite.org:5080/cgi-bin/plot-msms.cgi?MassType=1&amp;NumAxis=1&amp;Mod12=170&amp;Pep=LAGAAGGPGIGR&amp;Dta=/var/www/html/dta/yong/23612.5383.2.dta&amp;Global_Mod=CS57.0215", "5383")</f>
        <v>5383</v>
      </c>
      <c r="M2219" s="1" t="str">
        <f>HYPERLINK("http://ms.phosphosite.org:5080/cgi-bin/plot-msms.cgi?MassType=1&amp;NumAxis=1&amp;Mod12=170&amp;Pep=LAGAAGGPGIGR&amp;Dta=/var/www/html/dta/yong/23613.5429.2.dta&amp;Global_Mod=CS57.0215", "5429")</f>
        <v>5429</v>
      </c>
      <c r="N2219" s="27">
        <v>27.29</v>
      </c>
      <c r="O2219" s="27">
        <v>27.27</v>
      </c>
      <c r="P2219" s="27">
        <v>2.581</v>
      </c>
      <c r="Q2219" s="27">
        <v>2.3860000000000001</v>
      </c>
      <c r="R2219" s="27">
        <v>-8.9599999999999999E-2</v>
      </c>
      <c r="S2219" s="27">
        <v>-8.2400000000000001E-2</v>
      </c>
      <c r="T2219" s="27">
        <v>0.16850000000000001</v>
      </c>
      <c r="U2219" s="27">
        <v>0.191</v>
      </c>
      <c r="V2219" s="1">
        <v>1</v>
      </c>
      <c r="W2219" s="1">
        <v>1</v>
      </c>
      <c r="X2219" s="27">
        <v>1.44</v>
      </c>
      <c r="Y2219" s="27">
        <v>1.56</v>
      </c>
      <c r="Z2219" s="28">
        <v>1000</v>
      </c>
      <c r="AA2219" s="28">
        <v>1000</v>
      </c>
      <c r="AB2219" s="1" t="s">
        <v>13</v>
      </c>
    </row>
    <row r="2220" spans="1:28">
      <c r="A2220" t="s">
        <v>580</v>
      </c>
      <c r="B2220" s="29" t="s">
        <v>3099</v>
      </c>
      <c r="C2220" s="26" t="s">
        <v>3099</v>
      </c>
      <c r="D2220" s="1">
        <v>108</v>
      </c>
      <c r="E2220" t="s">
        <v>3100</v>
      </c>
      <c r="F2220" s="3" t="s">
        <v>3101</v>
      </c>
      <c r="G2220" s="1">
        <v>24.6</v>
      </c>
      <c r="H2220" t="s">
        <v>3102</v>
      </c>
      <c r="I2220" t="s">
        <v>3105</v>
      </c>
      <c r="J2220" s="1">
        <v>2</v>
      </c>
      <c r="K2220" s="1">
        <v>603.85130000000004</v>
      </c>
      <c r="L2220" s="1" t="str">
        <f>HYPERLINK("http://ms.phosphosite.org:5080/cgi-bin/plot-msms.cgi?MassType=1&amp;NumAxis=1&amp;Mod14=170&amp;Pep=VPLAGAAGGPGIGR&amp;Dta=/var/www/html/dta/yong/23612.8291.2.dta&amp;Global_Mod=CS57.0215", "8291")</f>
        <v>8291</v>
      </c>
      <c r="M2220" s="1" t="str">
        <f>HYPERLINK("http://ms.phosphosite.org:5080/cgi-bin/plot-msms.cgi?MassType=1&amp;NumAxis=1&amp;Mod14=170&amp;Pep=VPLAGAAGGPGIGR&amp;Dta=/var/www/html/dta/yong/23613.8327.2.dta&amp;Global_Mod=CS57.0215", "8327")</f>
        <v>8327</v>
      </c>
      <c r="N2220" s="27">
        <v>37.89</v>
      </c>
      <c r="O2220" s="27">
        <v>37.94</v>
      </c>
      <c r="P2220" s="27">
        <v>3.5089999999999999</v>
      </c>
      <c r="Q2220" s="27">
        <v>3.911</v>
      </c>
      <c r="R2220" s="27">
        <v>0.35930000000000001</v>
      </c>
      <c r="S2220" s="27">
        <v>0.2409</v>
      </c>
      <c r="T2220" s="27">
        <v>0.34870000000000001</v>
      </c>
      <c r="U2220" s="27">
        <v>0.37269999999999998</v>
      </c>
      <c r="V2220" s="1">
        <v>1</v>
      </c>
      <c r="W2220" s="1">
        <v>1</v>
      </c>
      <c r="X2220" s="27">
        <v>2.5099999999999998</v>
      </c>
      <c r="Y2220" s="27">
        <v>2.76</v>
      </c>
      <c r="Z2220" s="28">
        <v>1000</v>
      </c>
      <c r="AA2220" s="28">
        <v>1000</v>
      </c>
      <c r="AB2220" s="1" t="s">
        <v>13</v>
      </c>
    </row>
    <row r="2221" spans="1:28">
      <c r="A2221" t="s">
        <v>580</v>
      </c>
      <c r="B2221" s="29" t="s">
        <v>3099</v>
      </c>
      <c r="C2221" s="26" t="s">
        <v>3099</v>
      </c>
      <c r="D2221" s="1">
        <v>108</v>
      </c>
      <c r="E2221" t="s">
        <v>3100</v>
      </c>
      <c r="F2221" s="3" t="s">
        <v>3101</v>
      </c>
      <c r="G2221" s="1">
        <v>24.6</v>
      </c>
      <c r="H2221" t="s">
        <v>3102</v>
      </c>
      <c r="I2221" t="s">
        <v>3105</v>
      </c>
      <c r="J2221" s="1">
        <v>3</v>
      </c>
      <c r="K2221" s="1">
        <v>402.9033</v>
      </c>
      <c r="L2221" s="1" t="str">
        <f>HYPERLINK("http://ms.phosphosite.org:5080/cgi-bin/plot-msms.cgi?MassType=1&amp;NumAxis=1&amp;Mod14=170&amp;Pep=VPLAGAAGGPGIGR&amp;Dta=/var/www/html/dta/yong/23612.8319.3.dta&amp;Global_Mod=CS57.0215", "8319")</f>
        <v>8319</v>
      </c>
      <c r="M2221" s="1" t="str">
        <f>HYPERLINK("http://ms.phosphosite.org:5080/cgi-bin/plot-msms.cgi?MassType=1&amp;NumAxis=1&amp;Mod14=170&amp;Pep=VPLAGAAGGPGIGR&amp;Dta=/var/www/html/dta/yong/23613.8351.3.dta&amp;Global_Mod=CS57.0215", "8351")</f>
        <v>8351</v>
      </c>
      <c r="N2221" s="27">
        <v>37.99</v>
      </c>
      <c r="O2221" s="27">
        <v>38.03</v>
      </c>
      <c r="P2221" s="27">
        <v>2.6829999999999998</v>
      </c>
      <c r="Q2221" s="27">
        <v>2.9249999999999998</v>
      </c>
      <c r="R2221" s="27">
        <v>0.41889999999999999</v>
      </c>
      <c r="S2221" s="27">
        <v>0.1328</v>
      </c>
      <c r="T2221" s="27">
        <v>0.2145</v>
      </c>
      <c r="U2221" s="27">
        <v>0.30320000000000003</v>
      </c>
      <c r="V2221" s="1">
        <v>1</v>
      </c>
      <c r="W2221" s="1">
        <v>3</v>
      </c>
      <c r="X2221" s="27">
        <v>1.75</v>
      </c>
      <c r="Y2221" s="27">
        <v>2.25</v>
      </c>
      <c r="Z2221" s="28">
        <v>1000</v>
      </c>
      <c r="AA2221" s="28">
        <v>1000</v>
      </c>
      <c r="AB2221" s="1" t="s">
        <v>13</v>
      </c>
    </row>
    <row r="2222" spans="1:28">
      <c r="A2222" t="s">
        <v>580</v>
      </c>
      <c r="B2222" s="29" t="s">
        <v>3099</v>
      </c>
      <c r="C2222" s="26" t="s">
        <v>3099</v>
      </c>
      <c r="D2222" s="1">
        <v>172</v>
      </c>
      <c r="E2222" t="s">
        <v>3100</v>
      </c>
      <c r="F2222" s="3" t="s">
        <v>3101</v>
      </c>
      <c r="G2222" s="1">
        <v>24.6</v>
      </c>
      <c r="H2222" t="s">
        <v>3106</v>
      </c>
      <c r="I2222" t="s">
        <v>3107</v>
      </c>
      <c r="J2222" s="1">
        <v>2</v>
      </c>
      <c r="K2222" s="1">
        <v>621.33550000000002</v>
      </c>
      <c r="L2222" s="1" t="str">
        <f>HYPERLINK("http://ms.phosphosite.org:5080/cgi-bin/plot-msms.cgi?MassType=1&amp;NumAxis=1&amp;Mod12=170&amp;Pep=IAGAPTQYPPGR&amp;Dta=/var/www/html/dta/yong/23612.5938.2.dta&amp;Global_Mod=CS57.0215", "5938")</f>
        <v>5938</v>
      </c>
      <c r="M2222" s="1" t="str">
        <f>HYPERLINK("http://ms.phosphosite.org:5080/cgi-bin/plot-msms.cgi?MassType=1&amp;NumAxis=1&amp;Mod12=170&amp;Pep=IAGAPTQYPPGR&amp;Dta=/var/www/html/dta/yong/23613.6057.2.dta&amp;Global_Mod=CS57.0215", "6057")</f>
        <v>6057</v>
      </c>
      <c r="N2222" s="27">
        <v>29.33</v>
      </c>
      <c r="O2222" s="27">
        <v>29.62</v>
      </c>
      <c r="P2222" s="27">
        <v>2.5880000000000001</v>
      </c>
      <c r="Q2222" s="27">
        <v>2.5350000000000001</v>
      </c>
      <c r="R2222" s="27">
        <v>-0.61209999999999998</v>
      </c>
      <c r="S2222" s="27">
        <v>-2.18E-2</v>
      </c>
      <c r="T2222" s="27">
        <v>0.25140000000000001</v>
      </c>
      <c r="U2222" s="27">
        <v>0.30399999999999999</v>
      </c>
      <c r="V2222" s="1">
        <v>1</v>
      </c>
      <c r="W2222" s="1">
        <v>1</v>
      </c>
      <c r="X2222" s="27">
        <v>1.83</v>
      </c>
      <c r="Y2222" s="27">
        <v>2.15</v>
      </c>
      <c r="Z2222" s="28">
        <v>1000</v>
      </c>
      <c r="AA2222" s="28">
        <v>1000</v>
      </c>
      <c r="AB2222" s="1" t="s">
        <v>13</v>
      </c>
    </row>
    <row r="2223" spans="1:28">
      <c r="A2223" t="s">
        <v>580</v>
      </c>
      <c r="B2223" s="29" t="s">
        <v>3099</v>
      </c>
      <c r="C2223" s="26" t="s">
        <v>3099</v>
      </c>
      <c r="D2223" s="1">
        <v>172</v>
      </c>
      <c r="E2223" t="s">
        <v>3100</v>
      </c>
      <c r="F2223" s="3" t="s">
        <v>3101</v>
      </c>
      <c r="G2223" s="1">
        <v>24.6</v>
      </c>
      <c r="H2223" t="s">
        <v>3106</v>
      </c>
      <c r="I2223" t="s">
        <v>3107</v>
      </c>
      <c r="J2223" s="1">
        <v>2</v>
      </c>
      <c r="K2223" s="1">
        <v>621.33550000000002</v>
      </c>
      <c r="L2223" s="1" t="str">
        <f>HYPERLINK("http://ms.phosphosite.org:5080/cgi-bin/plot-msms.cgi?MassType=1&amp;NumAxis=1&amp;Mod12=170&amp;Pep=IAGAPTQYPPGR&amp;Dta=/var/www/html/dta/yong/23612.6268.2.dta&amp;Global_Mod=CS57.0215", "6268")</f>
        <v>6268</v>
      </c>
      <c r="M2223" s="1" t="str">
        <f>HYPERLINK("http://ms.phosphosite.org:5080/cgi-bin/plot-msms.cgi?MassType=1&amp;NumAxis=1&amp;Mod12=170&amp;Pep=IAGAPTQYPPGR&amp;Dta=/var/www/html/dta/yong/23613.6288.2.dta&amp;Global_Mod=CS57.0215", "6288")</f>
        <v>6288</v>
      </c>
      <c r="N2223" s="27">
        <v>30.54</v>
      </c>
      <c r="O2223" s="27">
        <v>30.43</v>
      </c>
      <c r="P2223" s="27">
        <v>3</v>
      </c>
      <c r="Q2223" s="27">
        <v>2.6379999999999999</v>
      </c>
      <c r="R2223" s="27">
        <v>0.49180000000000001</v>
      </c>
      <c r="S2223" s="27">
        <v>0.67349999999999999</v>
      </c>
      <c r="T2223" s="27">
        <v>0.24379999999999999</v>
      </c>
      <c r="U2223" s="27">
        <v>0.33110000000000001</v>
      </c>
      <c r="V2223" s="1">
        <v>1</v>
      </c>
      <c r="W2223" s="1">
        <v>1</v>
      </c>
      <c r="X2223" s="27">
        <v>1.92</v>
      </c>
      <c r="Y2223" s="27">
        <v>2.31</v>
      </c>
      <c r="Z2223" s="28">
        <v>1000</v>
      </c>
      <c r="AA2223" s="28">
        <v>1000</v>
      </c>
      <c r="AB2223" s="1" t="s">
        <v>13</v>
      </c>
    </row>
    <row r="2224" spans="1:28">
      <c r="A2224" t="s">
        <v>580</v>
      </c>
      <c r="B2224" s="29" t="s">
        <v>3099</v>
      </c>
      <c r="C2224" s="26" t="s">
        <v>3099</v>
      </c>
      <c r="D2224" s="1">
        <v>172</v>
      </c>
      <c r="E2224" t="s">
        <v>3100</v>
      </c>
      <c r="F2224" s="3" t="s">
        <v>3101</v>
      </c>
      <c r="G2224" s="1">
        <v>24.6</v>
      </c>
      <c r="H2224" t="s">
        <v>3106</v>
      </c>
      <c r="I2224" t="s">
        <v>3107</v>
      </c>
      <c r="J2224" s="1">
        <v>2</v>
      </c>
      <c r="K2224" s="1">
        <v>621.33550000000002</v>
      </c>
      <c r="L2224" s="1"/>
      <c r="M2224" s="1" t="str">
        <f>HYPERLINK("http://ms.phosphosite.org:5080/cgi-bin/plot-msms.cgi?MassType=1&amp;NumAxis=1&amp;Mod12=170&amp;Pep=IAGAPTQYPPGR&amp;Dta=/var/www/html/dta/yong/23613.5912.2.dta&amp;Global_Mod=CS57.0215", "5912")</f>
        <v>5912</v>
      </c>
      <c r="N2224" s="27"/>
      <c r="O2224" s="27">
        <v>29.06</v>
      </c>
      <c r="P2224" s="27"/>
      <c r="Q2224" s="27">
        <v>2.3199999999999998</v>
      </c>
      <c r="R2224" s="27"/>
      <c r="S2224" s="27">
        <v>14.6839</v>
      </c>
      <c r="T2224" s="27"/>
      <c r="U2224" s="27">
        <v>0.29420000000000002</v>
      </c>
      <c r="V2224" s="1"/>
      <c r="W2224" s="1">
        <v>1</v>
      </c>
      <c r="X2224" s="27"/>
      <c r="Y2224" s="27">
        <v>1.33</v>
      </c>
      <c r="Z2224" s="28"/>
      <c r="AA2224" s="28">
        <v>1000</v>
      </c>
      <c r="AB2224" s="1" t="s">
        <v>13</v>
      </c>
    </row>
    <row r="2225" spans="1:28">
      <c r="A2225" t="s">
        <v>580</v>
      </c>
      <c r="B2225" s="29" t="s">
        <v>3099</v>
      </c>
      <c r="C2225" s="26" t="s">
        <v>3099</v>
      </c>
      <c r="D2225" s="1">
        <v>147</v>
      </c>
      <c r="E2225" t="s">
        <v>3100</v>
      </c>
      <c r="F2225" s="3" t="s">
        <v>3101</v>
      </c>
      <c r="G2225" s="1">
        <v>24.6</v>
      </c>
      <c r="H2225" t="s">
        <v>3108</v>
      </c>
      <c r="I2225" t="s">
        <v>3109</v>
      </c>
      <c r="J2225" s="1">
        <v>2</v>
      </c>
      <c r="K2225" s="1">
        <v>764.88049999999998</v>
      </c>
      <c r="L2225" s="1" t="str">
        <f>HYPERLINK("http://ms.phosphosite.org:5080/cgi-bin/plot-msms.cgi?MassType=1&amp;NumAxis=1&amp;Mod10=147&amp;Mod15=170&amp;Pep=GVGGPSQQVMTPQGR&amp;Dta=/var/www/html/dta/yong/23612.4690.2.dta&amp;Global_Mod=CS57.0215", "4690")</f>
        <v>4690</v>
      </c>
      <c r="M2225" s="1" t="str">
        <f>HYPERLINK("http://ms.phosphosite.org:5080/cgi-bin/plot-msms.cgi?MassType=1&amp;NumAxis=1&amp;Mod10=147&amp;Mod15=170&amp;Pep=GVGGPSQQVMTPQGR&amp;Dta=/var/www/html/dta/yong/23613.4732.2.dta&amp;Global_Mod=CS57.0215", "4732")</f>
        <v>4732</v>
      </c>
      <c r="N2225" s="27">
        <v>24.66</v>
      </c>
      <c r="O2225" s="27">
        <v>24.6</v>
      </c>
      <c r="P2225" s="27">
        <v>4.1390000000000002</v>
      </c>
      <c r="Q2225" s="27">
        <v>3.7250000000000001</v>
      </c>
      <c r="R2225" s="27">
        <v>1.1126</v>
      </c>
      <c r="S2225" s="27">
        <v>1.2070000000000001</v>
      </c>
      <c r="T2225" s="27">
        <v>0.40749999999999997</v>
      </c>
      <c r="U2225" s="27">
        <v>0.43090000000000001</v>
      </c>
      <c r="V2225" s="1">
        <v>1</v>
      </c>
      <c r="W2225" s="1">
        <v>1</v>
      </c>
      <c r="X2225" s="27">
        <v>2.88</v>
      </c>
      <c r="Y2225" s="27">
        <v>2.96</v>
      </c>
      <c r="Z2225" s="28">
        <v>1000</v>
      </c>
      <c r="AA2225" s="28">
        <v>1000</v>
      </c>
      <c r="AB2225" s="1" t="s">
        <v>13</v>
      </c>
    </row>
    <row r="2226" spans="1:28">
      <c r="A2226" t="s">
        <v>580</v>
      </c>
      <c r="B2226" s="2" t="s">
        <v>740</v>
      </c>
      <c r="C2226" t="s">
        <v>740</v>
      </c>
      <c r="D2226" s="1" t="s">
        <v>3110</v>
      </c>
      <c r="E2226" t="s">
        <v>741</v>
      </c>
      <c r="F2226" s="3" t="s">
        <v>3111</v>
      </c>
      <c r="G2226" s="1">
        <v>299.39999999999998</v>
      </c>
      <c r="H2226" t="s">
        <v>3112</v>
      </c>
      <c r="I2226" t="s">
        <v>3113</v>
      </c>
      <c r="J2226" s="1">
        <v>3</v>
      </c>
      <c r="K2226" s="1">
        <v>619</v>
      </c>
      <c r="L2226" s="1" t="str">
        <f>HYPERLINK("http://ms.phosphosite.org:5080/cgi-bin/plot-msms.cgi?MassType=1&amp;NumAxis=1&amp;Mod6=170&amp;Mod11=147&amp;Mod19=170&amp;Pep=SLGTARPPPSMSAAGLAAR&amp;Dta=/var/www/html/dta/yong/23612.6731.3.dta&amp;Global_Mod=CS57.0215", "6731")</f>
        <v>6731</v>
      </c>
      <c r="M2226" s="1" t="str">
        <f>HYPERLINK("http://ms.phosphosite.org:5080/cgi-bin/plot-msms.cgi?MassType=1&amp;NumAxis=1&amp;Mod6=170&amp;Mod11=147&amp;Mod19=170&amp;Pep=SLGTARPPPSMSAAGLAAR&amp;Dta=/var/www/html/dta/yong/23613.6772.3.dta&amp;Global_Mod=CS57.0215", "6772")</f>
        <v>6772</v>
      </c>
      <c r="N2226" s="27">
        <v>32.29</v>
      </c>
      <c r="O2226" s="27">
        <v>32.270000000000003</v>
      </c>
      <c r="P2226" s="27">
        <v>2.6840000000000002</v>
      </c>
      <c r="Q2226" s="27">
        <v>3.7370000000000001</v>
      </c>
      <c r="R2226" s="27">
        <v>0.58289999999999997</v>
      </c>
      <c r="S2226" s="27">
        <v>0.79759999999999998</v>
      </c>
      <c r="T2226" s="27">
        <v>8.3500000000000005E-2</v>
      </c>
      <c r="U2226" s="27">
        <v>0.39300000000000002</v>
      </c>
      <c r="V2226" s="1">
        <v>1</v>
      </c>
      <c r="W2226" s="1">
        <v>2</v>
      </c>
      <c r="X2226" s="27">
        <v>0.91</v>
      </c>
      <c r="Y2226" s="27">
        <v>2.64</v>
      </c>
      <c r="Z2226" s="28" t="s">
        <v>1306</v>
      </c>
      <c r="AA2226" s="28" t="s">
        <v>1306</v>
      </c>
      <c r="AB2226" s="1" t="s">
        <v>13</v>
      </c>
    </row>
    <row r="2227" spans="1:28">
      <c r="A2227" t="s">
        <v>580</v>
      </c>
      <c r="B2227" s="2" t="s">
        <v>740</v>
      </c>
      <c r="C2227" t="s">
        <v>740</v>
      </c>
      <c r="D2227" s="1">
        <v>2342</v>
      </c>
      <c r="E2227" t="s">
        <v>741</v>
      </c>
      <c r="F2227" s="3" t="s">
        <v>3111</v>
      </c>
      <c r="G2227" s="1">
        <v>299.39999999999998</v>
      </c>
      <c r="H2227" t="s">
        <v>3114</v>
      </c>
      <c r="I2227" t="s">
        <v>3115</v>
      </c>
      <c r="J2227" s="1">
        <v>2</v>
      </c>
      <c r="K2227" s="1">
        <v>696.88329999999996</v>
      </c>
      <c r="L2227" s="1" t="str">
        <f>HYPERLINK("http://ms.phosphosite.org:5080/cgi-bin/plot-msms.cgi?MassType=1&amp;NumAxis=1&amp;Mod14=170&amp;Pep=TPQAPASANLVGPR&amp;Dta=/var/www/html/dta/yong/23612.7733.2.dta&amp;Global_Mod=CS57.0215", "7733")</f>
        <v>7733</v>
      </c>
      <c r="M2227" s="1" t="str">
        <f>HYPERLINK("http://ms.phosphosite.org:5080/cgi-bin/plot-msms.cgi?MassType=1&amp;NumAxis=1&amp;Mod14=170&amp;Pep=TPQAPASANLVGPR&amp;Dta=/var/www/html/dta/yong/23613.7802.2.dta&amp;Global_Mod=CS57.0215", "7802")</f>
        <v>7802</v>
      </c>
      <c r="N2227" s="27">
        <v>35.9</v>
      </c>
      <c r="O2227" s="27">
        <v>36.020000000000003</v>
      </c>
      <c r="P2227" s="27">
        <v>3.46</v>
      </c>
      <c r="Q2227" s="27">
        <v>2.746</v>
      </c>
      <c r="R2227" s="27">
        <v>0.157</v>
      </c>
      <c r="S2227" s="27">
        <v>0.52749999999999997</v>
      </c>
      <c r="T2227" s="27">
        <v>0.48549999999999999</v>
      </c>
      <c r="U2227" s="27">
        <v>0.38150000000000001</v>
      </c>
      <c r="V2227" s="1">
        <v>1</v>
      </c>
      <c r="W2227" s="1">
        <v>1</v>
      </c>
      <c r="X2227" s="27">
        <v>3.04</v>
      </c>
      <c r="Y2227" s="27">
        <v>2.41</v>
      </c>
      <c r="Z2227" s="28">
        <v>1000</v>
      </c>
      <c r="AA2227" s="28">
        <v>1000</v>
      </c>
      <c r="AB2227" s="1" t="s">
        <v>13</v>
      </c>
    </row>
    <row r="2228" spans="1:28">
      <c r="A2228" t="s">
        <v>580</v>
      </c>
      <c r="B2228" s="2" t="s">
        <v>740</v>
      </c>
      <c r="C2228" t="s">
        <v>740</v>
      </c>
      <c r="D2228" s="1">
        <v>2342</v>
      </c>
      <c r="E2228" t="s">
        <v>741</v>
      </c>
      <c r="F2228" s="3" t="s">
        <v>3111</v>
      </c>
      <c r="G2228" s="1">
        <v>299.39999999999998</v>
      </c>
      <c r="H2228" t="s">
        <v>3114</v>
      </c>
      <c r="I2228" t="s">
        <v>3115</v>
      </c>
      <c r="J2228" s="1">
        <v>2</v>
      </c>
      <c r="K2228" s="1">
        <v>696.88329999999996</v>
      </c>
      <c r="L2228" s="1"/>
      <c r="M2228" s="1" t="str">
        <f>HYPERLINK("http://ms.phosphosite.org:5080/cgi-bin/plot-msms.cgi?MassType=1&amp;NumAxis=1&amp;Mod14=170&amp;Pep=TPQAPASANLVGPR&amp;Dta=/var/www/html/dta/yong/23613.7759.2.dta&amp;Global_Mod=CS57.0215", "7759")</f>
        <v>7759</v>
      </c>
      <c r="N2228" s="27"/>
      <c r="O2228" s="27">
        <v>35.869999999999997</v>
      </c>
      <c r="P2228" s="27"/>
      <c r="Q2228" s="27">
        <v>2.8759999999999999</v>
      </c>
      <c r="R2228" s="27"/>
      <c r="S2228" s="27">
        <v>0.52749999999999997</v>
      </c>
      <c r="T2228" s="27"/>
      <c r="U2228" s="27">
        <v>0.47370000000000001</v>
      </c>
      <c r="V2228" s="1"/>
      <c r="W2228" s="1">
        <v>1</v>
      </c>
      <c r="X2228" s="27"/>
      <c r="Y2228" s="27">
        <v>2.89</v>
      </c>
      <c r="Z2228" s="28"/>
      <c r="AA2228" s="28">
        <v>1000</v>
      </c>
      <c r="AB2228" s="1" t="s">
        <v>13</v>
      </c>
    </row>
    <row r="2229" spans="1:28">
      <c r="A2229" t="s">
        <v>580</v>
      </c>
      <c r="B2229" s="29" t="s">
        <v>3116</v>
      </c>
      <c r="C2229" s="26" t="s">
        <v>3117</v>
      </c>
      <c r="D2229" s="1">
        <v>115</v>
      </c>
      <c r="E2229" t="s">
        <v>744</v>
      </c>
      <c r="F2229" s="3" t="s">
        <v>3118</v>
      </c>
      <c r="G2229" s="1">
        <v>63.1</v>
      </c>
      <c r="H2229" t="s">
        <v>756</v>
      </c>
      <c r="I2229" t="s">
        <v>3119</v>
      </c>
      <c r="J2229" s="1">
        <v>2</v>
      </c>
      <c r="K2229" s="1">
        <v>1228.1460999999999</v>
      </c>
      <c r="L2229" s="1" t="str">
        <f>HYPERLINK("http://ms.phosphosite.org:5080/cgi-bin/plot-msms.cgi?MassType=1&amp;NumAxis=1&amp;Mod7=170&amp;Pep=GGAYPPRYFYPFPVPPLLYQV&amp;Dta=/var/www/html/dta/yong/23612.23230.2.dta&amp;Global_Mod=CS57.0215", "23230")</f>
        <v>23230</v>
      </c>
      <c r="M2229" s="1" t="str">
        <f>HYPERLINK("http://ms.phosphosite.org:5080/cgi-bin/plot-msms.cgi?MassType=1&amp;NumAxis=1&amp;Mod7=170&amp;Pep=GGAYPPRYFYPFPVPPLLYQV&amp;Dta=/var/www/html/dta/yong/23613.23273.2.dta&amp;Global_Mod=CS57.0215", "23273")</f>
        <v>23273</v>
      </c>
      <c r="N2229" s="27">
        <v>99.47</v>
      </c>
      <c r="O2229" s="27">
        <v>99.26</v>
      </c>
      <c r="P2229" s="27">
        <v>2.8290000000000002</v>
      </c>
      <c r="Q2229" s="27">
        <v>3.3809999999999998</v>
      </c>
      <c r="R2229" s="27">
        <v>1.7282</v>
      </c>
      <c r="S2229" s="27">
        <v>1.5876999999999999</v>
      </c>
      <c r="T2229" s="27">
        <v>0.28549999999999998</v>
      </c>
      <c r="U2229" s="27">
        <v>0.3135</v>
      </c>
      <c r="V2229" s="1">
        <v>1</v>
      </c>
      <c r="W2229" s="1">
        <v>1</v>
      </c>
      <c r="X2229" s="27">
        <v>1.7</v>
      </c>
      <c r="Y2229" s="27">
        <v>1.93</v>
      </c>
      <c r="Z2229" s="28">
        <v>1000</v>
      </c>
      <c r="AA2229" s="28">
        <v>1000</v>
      </c>
      <c r="AB2229" s="1" t="s">
        <v>13</v>
      </c>
    </row>
    <row r="2230" spans="1:28">
      <c r="A2230" t="s">
        <v>580</v>
      </c>
      <c r="B2230" s="29" t="s">
        <v>3116</v>
      </c>
      <c r="C2230" s="26" t="s">
        <v>3117</v>
      </c>
      <c r="D2230" s="1">
        <v>115</v>
      </c>
      <c r="E2230" t="s">
        <v>744</v>
      </c>
      <c r="F2230" s="3" t="s">
        <v>3118</v>
      </c>
      <c r="G2230" s="1">
        <v>63.1</v>
      </c>
      <c r="H2230" t="s">
        <v>756</v>
      </c>
      <c r="I2230" t="s">
        <v>3119</v>
      </c>
      <c r="J2230" s="1">
        <v>2</v>
      </c>
      <c r="K2230" s="1">
        <v>1228.1460999999999</v>
      </c>
      <c r="L2230" s="1" t="str">
        <f>HYPERLINK("http://ms.phosphosite.org:5080/cgi-bin/plot-msms.cgi?MassType=1&amp;NumAxis=1&amp;Mod7=170&amp;Pep=GGAYPPRYFYPFPVPPLLYQV&amp;Dta=/var/www/html/dta/yong/23612.23183.2.dta&amp;Global_Mod=CS57.0215", "23183")</f>
        <v>23183</v>
      </c>
      <c r="M2230" s="1" t="str">
        <f>HYPERLINK("http://ms.phosphosite.org:5080/cgi-bin/plot-msms.cgi?MassType=1&amp;NumAxis=1&amp;Mod7=170&amp;Pep=GGAYPPRYFYPFPVPPLLYQV&amp;Dta=/var/www/html/dta/yong/23613.23324.2.dta&amp;Global_Mod=CS57.0215", "23324")</f>
        <v>23324</v>
      </c>
      <c r="N2230" s="27">
        <v>99.22</v>
      </c>
      <c r="O2230" s="27">
        <v>99.52</v>
      </c>
      <c r="P2230" s="27">
        <v>3.7869999999999999</v>
      </c>
      <c r="Q2230" s="27">
        <v>2.7090000000000001</v>
      </c>
      <c r="R2230" s="27">
        <v>1.8752</v>
      </c>
      <c r="S2230" s="27">
        <v>1.0913999999999999</v>
      </c>
      <c r="T2230" s="27">
        <v>0.38080000000000003</v>
      </c>
      <c r="U2230" s="27">
        <v>0.2482</v>
      </c>
      <c r="V2230" s="1">
        <v>1</v>
      </c>
      <c r="W2230" s="1">
        <v>3</v>
      </c>
      <c r="X2230" s="27">
        <v>2.35</v>
      </c>
      <c r="Y2230" s="27">
        <v>1.5</v>
      </c>
      <c r="Z2230" s="28">
        <v>1000</v>
      </c>
      <c r="AA2230" s="28">
        <v>1000</v>
      </c>
      <c r="AB2230" s="1" t="s">
        <v>13</v>
      </c>
    </row>
    <row r="2231" spans="1:28">
      <c r="A2231" t="s">
        <v>580</v>
      </c>
      <c r="B2231" s="29" t="s">
        <v>3116</v>
      </c>
      <c r="C2231" s="26" t="s">
        <v>3117</v>
      </c>
      <c r="D2231" s="1">
        <v>115</v>
      </c>
      <c r="E2231" t="s">
        <v>744</v>
      </c>
      <c r="F2231" s="3" t="s">
        <v>3118</v>
      </c>
      <c r="G2231" s="1">
        <v>63.1</v>
      </c>
      <c r="H2231" t="s">
        <v>756</v>
      </c>
      <c r="I2231" t="s">
        <v>3119</v>
      </c>
      <c r="J2231" s="1">
        <v>2</v>
      </c>
      <c r="K2231" s="1">
        <v>1228.1460999999999</v>
      </c>
      <c r="L2231" s="1" t="str">
        <f>HYPERLINK("http://ms.phosphosite.org:5080/cgi-bin/plot-msms.cgi?MassType=1&amp;NumAxis=1&amp;Mod7=170&amp;Pep=GGAYPPRYFYPFPVPPLLYQV&amp;Dta=/var/www/html/dta/yong/23612.23188.2.dta&amp;Global_Mod=CS57.0215", "23188")</f>
        <v>23188</v>
      </c>
      <c r="M2231" s="1" t="str">
        <f>HYPERLINK("http://ms.phosphosite.org:5080/cgi-bin/plot-msms.cgi?MassType=1&amp;NumAxis=1&amp;Mod7=170&amp;Pep=GGAYPPRYFYPFPVPPLLYQV&amp;Dta=/var/www/html/dta/yong/23613.23331.2.dta&amp;Global_Mod=CS57.0215", "23331")</f>
        <v>23331</v>
      </c>
      <c r="N2231" s="27">
        <v>99.25</v>
      </c>
      <c r="O2231" s="27">
        <v>99.55</v>
      </c>
      <c r="P2231" s="27">
        <v>2.84</v>
      </c>
      <c r="Q2231" s="27">
        <v>3.1760000000000002</v>
      </c>
      <c r="R2231" s="27">
        <v>1.7083999999999999</v>
      </c>
      <c r="S2231" s="27">
        <v>0.752</v>
      </c>
      <c r="T2231" s="27">
        <v>0.24610000000000001</v>
      </c>
      <c r="U2231" s="27">
        <v>0.2621</v>
      </c>
      <c r="V2231" s="1">
        <v>2</v>
      </c>
      <c r="W2231" s="1">
        <v>1</v>
      </c>
      <c r="X2231" s="27">
        <v>1.51</v>
      </c>
      <c r="Y2231" s="27">
        <v>1.68</v>
      </c>
      <c r="Z2231" s="28">
        <v>1000</v>
      </c>
      <c r="AA2231" s="28">
        <v>1000</v>
      </c>
      <c r="AB2231" s="1" t="s">
        <v>13</v>
      </c>
    </row>
    <row r="2232" spans="1:28">
      <c r="A2232" t="s">
        <v>580</v>
      </c>
      <c r="B2232" s="29" t="s">
        <v>3116</v>
      </c>
      <c r="C2232" s="26" t="s">
        <v>3117</v>
      </c>
      <c r="D2232" s="1">
        <v>115</v>
      </c>
      <c r="E2232" t="s">
        <v>744</v>
      </c>
      <c r="F2232" s="3" t="s">
        <v>3118</v>
      </c>
      <c r="G2232" s="1">
        <v>63.1</v>
      </c>
      <c r="H2232" t="s">
        <v>756</v>
      </c>
      <c r="I2232" t="s">
        <v>3119</v>
      </c>
      <c r="J2232" s="1">
        <v>2</v>
      </c>
      <c r="K2232" s="1">
        <v>1228.1460999999999</v>
      </c>
      <c r="L2232" s="1"/>
      <c r="M2232" s="1" t="str">
        <f>HYPERLINK("http://ms.phosphosite.org:5080/cgi-bin/plot-msms.cgi?MassType=1&amp;NumAxis=1&amp;Mod7=170&amp;Pep=GGAYPPRYFYPFPVPPLLYQV&amp;Dta=/var/www/html/dta/yong/23613.23248.2.dta&amp;Global_Mod=CS57.0215", "23248")</f>
        <v>23248</v>
      </c>
      <c r="N2232" s="27"/>
      <c r="O2232" s="27">
        <v>99.13</v>
      </c>
      <c r="P2232" s="27"/>
      <c r="Q2232" s="27">
        <v>3.0590000000000002</v>
      </c>
      <c r="R2232" s="27"/>
      <c r="S2232" s="27">
        <v>0.98939999999999995</v>
      </c>
      <c r="T2232" s="27"/>
      <c r="U2232" s="27">
        <v>0.29959999999999998</v>
      </c>
      <c r="V2232" s="1"/>
      <c r="W2232" s="1">
        <v>3</v>
      </c>
      <c r="X2232" s="27"/>
      <c r="Y2232" s="27">
        <v>1.83</v>
      </c>
      <c r="Z2232" s="28"/>
      <c r="AA2232" s="28">
        <v>1000</v>
      </c>
      <c r="AB2232" s="1" t="s">
        <v>13</v>
      </c>
    </row>
    <row r="2233" spans="1:28">
      <c r="A2233" t="s">
        <v>580</v>
      </c>
      <c r="B2233" s="29" t="s">
        <v>3116</v>
      </c>
      <c r="C2233" s="26" t="s">
        <v>3117</v>
      </c>
      <c r="D2233" s="1">
        <v>115</v>
      </c>
      <c r="E2233" t="s">
        <v>744</v>
      </c>
      <c r="F2233" s="3" t="s">
        <v>3118</v>
      </c>
      <c r="G2233" s="1">
        <v>63.1</v>
      </c>
      <c r="H2233" t="s">
        <v>756</v>
      </c>
      <c r="I2233" t="s">
        <v>3119</v>
      </c>
      <c r="J2233" s="1">
        <v>3</v>
      </c>
      <c r="K2233" s="1">
        <v>819.09979999999996</v>
      </c>
      <c r="L2233" s="1" t="str">
        <f>HYPERLINK("http://ms.phosphosite.org:5080/cgi-bin/plot-msms.cgi?MassType=1&amp;NumAxis=1&amp;Mod7=170&amp;Pep=GGAYPPRYFYPFPVPPLLYQV&amp;Dta=/var/www/html/dta/yong/23612.23261.3.dta&amp;Global_Mod=CS57.0215", "23261")</f>
        <v>23261</v>
      </c>
      <c r="M2233" s="1" t="str">
        <f>HYPERLINK("http://ms.phosphosite.org:5080/cgi-bin/plot-msms.cgi?MassType=1&amp;NumAxis=1&amp;Mod7=170&amp;Pep=GGAYPPRYFYPFPVPPLLYQV&amp;Dta=/var/www/html/dta/yong/23613.23369.3.dta&amp;Global_Mod=CS57.0215", "23369")</f>
        <v>23369</v>
      </c>
      <c r="N2233" s="27">
        <v>99.62</v>
      </c>
      <c r="O2233" s="27">
        <v>99.75</v>
      </c>
      <c r="P2233" s="27">
        <v>3.2570000000000001</v>
      </c>
      <c r="Q2233" s="27">
        <v>2.8069999999999999</v>
      </c>
      <c r="R2233" s="27">
        <v>1.2501</v>
      </c>
      <c r="S2233" s="27">
        <v>1.3641000000000001</v>
      </c>
      <c r="T2233" s="27">
        <v>0.2051</v>
      </c>
      <c r="U2233" s="27">
        <v>0.25609999999999999</v>
      </c>
      <c r="V2233" s="1">
        <v>1</v>
      </c>
      <c r="W2233" s="1">
        <v>1</v>
      </c>
      <c r="X2233" s="27">
        <v>1.47</v>
      </c>
      <c r="Y2233" s="27">
        <v>1.59</v>
      </c>
      <c r="Z2233" s="28">
        <v>1000</v>
      </c>
      <c r="AA2233" s="28">
        <v>1000</v>
      </c>
      <c r="AB2233" s="1" t="s">
        <v>13</v>
      </c>
    </row>
    <row r="2234" spans="1:28">
      <c r="A2234" t="s">
        <v>580</v>
      </c>
      <c r="B2234" s="29" t="s">
        <v>3116</v>
      </c>
      <c r="C2234" s="26" t="s">
        <v>3117</v>
      </c>
      <c r="D2234" s="1">
        <v>108</v>
      </c>
      <c r="E2234" t="s">
        <v>744</v>
      </c>
      <c r="F2234" s="3" t="s">
        <v>3118</v>
      </c>
      <c r="G2234" s="1">
        <v>63.1</v>
      </c>
      <c r="H2234" t="s">
        <v>3120</v>
      </c>
      <c r="I2234" t="s">
        <v>766</v>
      </c>
      <c r="J2234" s="1">
        <v>2</v>
      </c>
      <c r="K2234" s="1">
        <v>677.2817</v>
      </c>
      <c r="L2234" s="1" t="str">
        <f>HYPERLINK("http://ms.phosphosite.org:5080/cgi-bin/plot-msms.cgi?MassType=1&amp;NumAxis=1&amp;Mod1=147&amp;Mod9=147&amp;Mod10=170&amp;Pep=MQSTYNYNMR&amp;Dta=/var/www/html/dta/yong/23612.4673.2.dta&amp;Global_Mod=CS57.0215", "4673")</f>
        <v>4673</v>
      </c>
      <c r="M2234" s="1" t="str">
        <f>HYPERLINK("http://ms.phosphosite.org:5080/cgi-bin/plot-msms.cgi?MassType=1&amp;NumAxis=1&amp;Mod1=147&amp;Mod9=147&amp;Mod10=170&amp;Pep=MQSTYNYNMR&amp;Dta=/var/www/html/dta/yong/23613.4246.2.dta&amp;Global_Mod=CS57.0215", "4246")</f>
        <v>4246</v>
      </c>
      <c r="N2234" s="27">
        <v>24.61</v>
      </c>
      <c r="O2234" s="27">
        <v>22.71</v>
      </c>
      <c r="P2234" s="27">
        <v>2.4039999999999999</v>
      </c>
      <c r="Q2234" s="27">
        <v>2.8039999999999998</v>
      </c>
      <c r="R2234" s="27">
        <v>0.59130000000000005</v>
      </c>
      <c r="S2234" s="27">
        <v>0.64939999999999998</v>
      </c>
      <c r="T2234" s="27">
        <v>6.4199999999999993E-2</v>
      </c>
      <c r="U2234" s="27">
        <v>0.26179999999999998</v>
      </c>
      <c r="V2234" s="1">
        <v>2</v>
      </c>
      <c r="W2234" s="1">
        <v>1</v>
      </c>
      <c r="X2234" s="27">
        <v>0.9</v>
      </c>
      <c r="Y2234" s="27">
        <v>1.93</v>
      </c>
      <c r="Z2234" s="28">
        <v>1000</v>
      </c>
      <c r="AA2234" s="28">
        <v>1000</v>
      </c>
      <c r="AB2234" s="1" t="s">
        <v>13</v>
      </c>
    </row>
    <row r="2235" spans="1:28">
      <c r="A2235" t="s">
        <v>580</v>
      </c>
      <c r="B2235" s="29" t="s">
        <v>3116</v>
      </c>
      <c r="C2235" s="26" t="s">
        <v>3117</v>
      </c>
      <c r="D2235" s="1">
        <v>108</v>
      </c>
      <c r="E2235" t="s">
        <v>744</v>
      </c>
      <c r="F2235" s="3" t="s">
        <v>3118</v>
      </c>
      <c r="G2235" s="1">
        <v>63.1</v>
      </c>
      <c r="H2235" t="s">
        <v>3120</v>
      </c>
      <c r="I2235" t="s">
        <v>766</v>
      </c>
      <c r="J2235" s="1">
        <v>2</v>
      </c>
      <c r="K2235" s="1">
        <v>677.2817</v>
      </c>
      <c r="L2235" s="1" t="str">
        <f>HYPERLINK("http://ms.phosphosite.org:5080/cgi-bin/plot-msms.cgi?MassType=1&amp;NumAxis=1&amp;Mod1=147&amp;Mod9=147&amp;Mod10=170&amp;Pep=MQSTYNYNMR&amp;Dta=/var/www/html/dta/yong/23612.4274.2.dta&amp;Global_Mod=CS57.0215", "4274")</f>
        <v>4274</v>
      </c>
      <c r="M2235" s="1" t="str">
        <f>HYPERLINK("http://ms.phosphosite.org:5080/cgi-bin/plot-msms.cgi?MassType=1&amp;NumAxis=1&amp;Mod1=147&amp;Mod9=147&amp;Mod10=170&amp;Pep=MQSTYNYNMR&amp;Dta=/var/www/html/dta/yong/23613.4440.2.dta&amp;Global_Mod=CS57.0215", "4440")</f>
        <v>4440</v>
      </c>
      <c r="N2235" s="27">
        <v>23.02</v>
      </c>
      <c r="O2235" s="27">
        <v>23.47</v>
      </c>
      <c r="P2235" s="27">
        <v>2.6070000000000002</v>
      </c>
      <c r="Q2235" s="27">
        <v>2.9990000000000001</v>
      </c>
      <c r="R2235" s="27">
        <v>0.74690000000000001</v>
      </c>
      <c r="S2235" s="27">
        <v>0.62780000000000002</v>
      </c>
      <c r="T2235" s="27">
        <v>0.17780000000000001</v>
      </c>
      <c r="U2235" s="27">
        <v>0.38169999999999998</v>
      </c>
      <c r="V2235" s="1">
        <v>1</v>
      </c>
      <c r="W2235" s="1">
        <v>1</v>
      </c>
      <c r="X2235" s="27">
        <v>1.49</v>
      </c>
      <c r="Y2235" s="27">
        <v>2.56</v>
      </c>
      <c r="Z2235" s="28">
        <v>1000</v>
      </c>
      <c r="AA2235" s="28">
        <v>1000</v>
      </c>
      <c r="AB2235" s="1" t="s">
        <v>13</v>
      </c>
    </row>
    <row r="2236" spans="1:28">
      <c r="A2236" t="s">
        <v>580</v>
      </c>
      <c r="B2236" s="29" t="s">
        <v>3116</v>
      </c>
      <c r="C2236" s="26" t="s">
        <v>3117</v>
      </c>
      <c r="D2236" s="1">
        <v>108</v>
      </c>
      <c r="E2236" t="s">
        <v>744</v>
      </c>
      <c r="F2236" s="3" t="s">
        <v>3118</v>
      </c>
      <c r="G2236" s="1">
        <v>63.1</v>
      </c>
      <c r="H2236" t="s">
        <v>3120</v>
      </c>
      <c r="I2236" t="s">
        <v>766</v>
      </c>
      <c r="J2236" s="1">
        <v>2</v>
      </c>
      <c r="K2236" s="1">
        <v>677.2817</v>
      </c>
      <c r="L2236" s="1" t="str">
        <f>HYPERLINK("http://ms.phosphosite.org:5080/cgi-bin/plot-msms.cgi?MassType=1&amp;NumAxis=1&amp;Mod1=147&amp;Mod9=147&amp;Mod10=170&amp;Pep=MQSTYNYNMR&amp;Dta=/var/www/html/dta/yong/23612.4194.2.dta&amp;Global_Mod=CS57.0215", "4194")</f>
        <v>4194</v>
      </c>
      <c r="M2236" s="1"/>
      <c r="N2236" s="27">
        <v>22.72</v>
      </c>
      <c r="O2236" s="27"/>
      <c r="P2236" s="27">
        <v>2.8330000000000002</v>
      </c>
      <c r="Q2236" s="27"/>
      <c r="R2236" s="27">
        <v>0.68410000000000004</v>
      </c>
      <c r="S2236" s="27"/>
      <c r="T2236" s="27">
        <v>0.2535</v>
      </c>
      <c r="U2236" s="27"/>
      <c r="V2236" s="1">
        <v>1</v>
      </c>
      <c r="W2236" s="1"/>
      <c r="X2236" s="27">
        <v>1.91</v>
      </c>
      <c r="Y2236" s="27"/>
      <c r="Z2236" s="28">
        <v>1000</v>
      </c>
      <c r="AA2236" s="28"/>
      <c r="AB2236" s="1" t="s">
        <v>13</v>
      </c>
    </row>
    <row r="2237" spans="1:28">
      <c r="A2237" t="s">
        <v>580</v>
      </c>
      <c r="B2237" s="29" t="s">
        <v>3116</v>
      </c>
      <c r="C2237" s="26" t="s">
        <v>3117</v>
      </c>
      <c r="D2237" s="1">
        <v>108</v>
      </c>
      <c r="E2237" t="s">
        <v>744</v>
      </c>
      <c r="F2237" s="3" t="s">
        <v>3118</v>
      </c>
      <c r="G2237" s="1">
        <v>63.1</v>
      </c>
      <c r="H2237" t="s">
        <v>3120</v>
      </c>
      <c r="I2237" t="s">
        <v>768</v>
      </c>
      <c r="J2237" s="1">
        <v>2</v>
      </c>
      <c r="K2237" s="1">
        <v>669.28430000000003</v>
      </c>
      <c r="L2237" s="1" t="str">
        <f>HYPERLINK("http://ms.phosphosite.org:5080/cgi-bin/plot-msms.cgi?MassType=1&amp;NumAxis=1&amp;Mod9=147&amp;Mod10=170&amp;Pep=MQSTYNYNMR&amp;Dta=/var/www/html/dta/yong/23612.5204.2.dta&amp;Global_Mod=CS57.0215", "5204")</f>
        <v>5204</v>
      </c>
      <c r="M2237" s="1" t="str">
        <f>HYPERLINK("http://ms.phosphosite.org:5080/cgi-bin/plot-msms.cgi?MassType=1&amp;NumAxis=1&amp;Mod9=147&amp;Mod10=170&amp;Pep=MQSTYNYNMR&amp;Dta=/var/www/html/dta/yong/23613.5263.2.dta&amp;Global_Mod=CS57.0215", "5263")</f>
        <v>5263</v>
      </c>
      <c r="N2237" s="27">
        <v>26.58</v>
      </c>
      <c r="O2237" s="27">
        <v>26.62</v>
      </c>
      <c r="P2237" s="27">
        <v>3.0720000000000001</v>
      </c>
      <c r="Q2237" s="27">
        <v>2.5339999999999998</v>
      </c>
      <c r="R2237" s="27">
        <v>0.75319999999999998</v>
      </c>
      <c r="S2237" s="27">
        <v>0.75770000000000004</v>
      </c>
      <c r="T2237" s="27">
        <v>0.3836</v>
      </c>
      <c r="U2237" s="27">
        <v>0.39789999999999998</v>
      </c>
      <c r="V2237" s="1">
        <v>1</v>
      </c>
      <c r="W2237" s="1">
        <v>1</v>
      </c>
      <c r="X2237" s="27">
        <v>2.6</v>
      </c>
      <c r="Y2237" s="27">
        <v>2.54</v>
      </c>
      <c r="Z2237" s="28">
        <v>1000</v>
      </c>
      <c r="AA2237" s="28">
        <v>1000</v>
      </c>
      <c r="AB2237" s="1" t="s">
        <v>13</v>
      </c>
    </row>
    <row r="2238" spans="1:28">
      <c r="A2238" t="s">
        <v>580</v>
      </c>
      <c r="B2238" s="29" t="s">
        <v>3121</v>
      </c>
      <c r="C2238" s="26" t="s">
        <v>3122</v>
      </c>
      <c r="D2238" s="1">
        <v>293</v>
      </c>
      <c r="E2238" t="s">
        <v>3123</v>
      </c>
      <c r="F2238" s="3" t="s">
        <v>3124</v>
      </c>
      <c r="G2238" s="1">
        <v>44.7</v>
      </c>
      <c r="H2238" t="s">
        <v>3125</v>
      </c>
      <c r="I2238" t="s">
        <v>3126</v>
      </c>
      <c r="J2238" s="1">
        <v>2</v>
      </c>
      <c r="K2238" s="1">
        <v>870.89549999999997</v>
      </c>
      <c r="L2238" s="1" t="str">
        <f>HYPERLINK("http://ms.phosphosite.org:5080/cgi-bin/plot-msms.cgi?MassType=1&amp;NumAxis=1&amp;Mod18=170&amp;Pep=FGGNPGGFGNQGGFGNSR&amp;Dta=/var/www/html/dta/yong/23612.9815.2.dta&amp;Global_Mod=CS57.0215", "9815")</f>
        <v>9815</v>
      </c>
      <c r="M2238" s="1" t="str">
        <f>HYPERLINK("http://ms.phosphosite.org:5080/cgi-bin/plot-msms.cgi?MassType=1&amp;NumAxis=1&amp;Mod18=170&amp;Pep=FGGNPGGFGNQGGFGNSR&amp;Dta=/var/www/html/dta/yong/23613.9882.2.dta&amp;Global_Mod=CS57.0215", "9882")</f>
        <v>9882</v>
      </c>
      <c r="N2238" s="27">
        <v>43.33</v>
      </c>
      <c r="O2238" s="27">
        <v>43.4</v>
      </c>
      <c r="P2238" s="27">
        <v>5.1340000000000003</v>
      </c>
      <c r="Q2238" s="27">
        <v>4.6180000000000003</v>
      </c>
      <c r="R2238" s="27">
        <v>0.71789999999999998</v>
      </c>
      <c r="S2238" s="27">
        <v>0.68189999999999995</v>
      </c>
      <c r="T2238" s="27">
        <v>0.50570000000000004</v>
      </c>
      <c r="U2238" s="27">
        <v>0.51529999999999998</v>
      </c>
      <c r="V2238" s="1">
        <v>1</v>
      </c>
      <c r="W2238" s="1">
        <v>1</v>
      </c>
      <c r="X2238" s="27">
        <v>3.51</v>
      </c>
      <c r="Y2238" s="27">
        <v>3.48</v>
      </c>
      <c r="Z2238" s="28">
        <v>1000</v>
      </c>
      <c r="AA2238" s="28">
        <v>1000</v>
      </c>
      <c r="AB2238" s="1" t="s">
        <v>13</v>
      </c>
    </row>
    <row r="2239" spans="1:28">
      <c r="A2239" t="s">
        <v>580</v>
      </c>
      <c r="B2239" s="29" t="s">
        <v>3121</v>
      </c>
      <c r="C2239" s="26" t="s">
        <v>3122</v>
      </c>
      <c r="D2239" s="1">
        <v>293</v>
      </c>
      <c r="E2239" t="s">
        <v>3123</v>
      </c>
      <c r="F2239" s="3" t="s">
        <v>3124</v>
      </c>
      <c r="G2239" s="1">
        <v>44.7</v>
      </c>
      <c r="H2239" t="s">
        <v>3125</v>
      </c>
      <c r="I2239" t="s">
        <v>3126</v>
      </c>
      <c r="J2239" s="1">
        <v>2</v>
      </c>
      <c r="K2239" s="1">
        <v>870.89549999999997</v>
      </c>
      <c r="L2239" s="1" t="str">
        <f>HYPERLINK("http://ms.phosphosite.org:5080/cgi-bin/plot-msms.cgi?MassType=1&amp;NumAxis=1&amp;Mod18=170&amp;Pep=FGGNPGGFGNQGGFGNSR&amp;Dta=/var/www/html/dta/yong/23612.10117.2.dta&amp;Global_Mod=CS57.0215", "10117")</f>
        <v>10117</v>
      </c>
      <c r="M2239" s="1"/>
      <c r="N2239" s="27">
        <v>44.38</v>
      </c>
      <c r="O2239" s="27"/>
      <c r="P2239" s="27">
        <v>2.5779999999999998</v>
      </c>
      <c r="Q2239" s="27"/>
      <c r="R2239" s="27">
        <v>2.0687000000000002</v>
      </c>
      <c r="S2239" s="27"/>
      <c r="T2239" s="27">
        <v>0.21149999999999999</v>
      </c>
      <c r="U2239" s="27"/>
      <c r="V2239" s="1">
        <v>5</v>
      </c>
      <c r="W2239" s="1"/>
      <c r="X2239" s="27">
        <v>1.49</v>
      </c>
      <c r="Y2239" s="27"/>
      <c r="Z2239" s="28">
        <v>1000</v>
      </c>
      <c r="AA2239" s="28"/>
      <c r="AB2239" s="1" t="s">
        <v>13</v>
      </c>
    </row>
    <row r="2240" spans="1:28">
      <c r="A2240" t="s">
        <v>580</v>
      </c>
      <c r="B2240" s="29" t="s">
        <v>3121</v>
      </c>
      <c r="C2240" s="26" t="s">
        <v>3122</v>
      </c>
      <c r="D2240" s="1">
        <v>293</v>
      </c>
      <c r="E2240" t="s">
        <v>3123</v>
      </c>
      <c r="F2240" s="3" t="s">
        <v>3124</v>
      </c>
      <c r="G2240" s="1">
        <v>44.7</v>
      </c>
      <c r="H2240" t="s">
        <v>3125</v>
      </c>
      <c r="I2240" t="s">
        <v>3126</v>
      </c>
      <c r="J2240" s="1">
        <v>3</v>
      </c>
      <c r="K2240" s="1">
        <v>580.93280000000004</v>
      </c>
      <c r="L2240" s="1" t="str">
        <f>HYPERLINK("http://ms.phosphosite.org:5080/cgi-bin/plot-msms.cgi?MassType=1&amp;NumAxis=1&amp;Mod18=170&amp;Pep=FGGNPGGFGNQGGFGNSR&amp;Dta=/var/www/html/dta/yong/23612.9830.3.dta&amp;Global_Mod=CS57.0215", "9830")</f>
        <v>9830</v>
      </c>
      <c r="M2240" s="1" t="str">
        <f>HYPERLINK("http://ms.phosphosite.org:5080/cgi-bin/plot-msms.cgi?MassType=1&amp;NumAxis=1&amp;Mod18=170&amp;Pep=FGGNPGGFGNQGGFGNSR&amp;Dta=/var/www/html/dta/yong/23613.9894.3.dta&amp;Global_Mod=CS57.0215", "9894")</f>
        <v>9894</v>
      </c>
      <c r="N2240" s="27">
        <v>43.38</v>
      </c>
      <c r="O2240" s="27">
        <v>43.44</v>
      </c>
      <c r="P2240" s="27">
        <v>4.327</v>
      </c>
      <c r="Q2240" s="27">
        <v>4.0410000000000004</v>
      </c>
      <c r="R2240" s="27">
        <v>0.28089999999999998</v>
      </c>
      <c r="S2240" s="27">
        <v>0.2374</v>
      </c>
      <c r="T2240" s="27">
        <v>0.49280000000000002</v>
      </c>
      <c r="U2240" s="27">
        <v>0.41689999999999999</v>
      </c>
      <c r="V2240" s="1">
        <v>1</v>
      </c>
      <c r="W2240" s="1">
        <v>1</v>
      </c>
      <c r="X2240" s="27">
        <v>3.36</v>
      </c>
      <c r="Y2240" s="27">
        <v>2.92</v>
      </c>
      <c r="Z2240" s="28">
        <v>1000</v>
      </c>
      <c r="AA2240" s="28">
        <v>1000</v>
      </c>
      <c r="AB2240" s="1" t="s">
        <v>13</v>
      </c>
    </row>
    <row r="2241" spans="1:28">
      <c r="A2241" t="s">
        <v>580</v>
      </c>
      <c r="B2241" s="29" t="s">
        <v>3121</v>
      </c>
      <c r="C2241" s="26" t="s">
        <v>3122</v>
      </c>
      <c r="D2241" s="1">
        <v>293</v>
      </c>
      <c r="E2241" t="s">
        <v>3123</v>
      </c>
      <c r="F2241" s="3" t="s">
        <v>3124</v>
      </c>
      <c r="G2241" s="1">
        <v>44.7</v>
      </c>
      <c r="H2241" t="s">
        <v>3125</v>
      </c>
      <c r="I2241" t="s">
        <v>3127</v>
      </c>
      <c r="J2241" s="1">
        <v>3</v>
      </c>
      <c r="K2241" s="1">
        <v>813.37090000000001</v>
      </c>
      <c r="L2241" s="1" t="str">
        <f>HYPERLINK("http://ms.phosphosite.org:5080/cgi-bin/plot-msms.cgi?MassType=1&amp;NumAxis=1&amp;Mod18=170&amp;Pep=FGGNPGGFGNQGGFGNSRGGGAGLGNN&amp;Dta=/var/www/html/dta/yong/23612.10903.3.dta&amp;Global_Mod=CS57.0215", "10903")</f>
        <v>10903</v>
      </c>
      <c r="M2241" s="1" t="str">
        <f>HYPERLINK("http://ms.phosphosite.org:5080/cgi-bin/plot-msms.cgi?MassType=1&amp;NumAxis=1&amp;Mod18=170&amp;Pep=FGGNPGGFGNQGGFGNSRGGGAGLGNN&amp;Dta=/var/www/html/dta/yong/23613.10977.3.dta&amp;Global_Mod=CS57.0215", "10977")</f>
        <v>10977</v>
      </c>
      <c r="N2241" s="27">
        <v>47.1</v>
      </c>
      <c r="O2241" s="27">
        <v>47.12</v>
      </c>
      <c r="P2241" s="27">
        <v>3.8540000000000001</v>
      </c>
      <c r="Q2241" s="27">
        <v>4.0730000000000004</v>
      </c>
      <c r="R2241" s="27">
        <v>0.49659999999999999</v>
      </c>
      <c r="S2241" s="27">
        <v>0.58609999999999995</v>
      </c>
      <c r="T2241" s="27">
        <v>0.39960000000000001</v>
      </c>
      <c r="U2241" s="27">
        <v>0.4103</v>
      </c>
      <c r="V2241" s="1">
        <v>1</v>
      </c>
      <c r="W2241" s="1">
        <v>1</v>
      </c>
      <c r="X2241" s="27">
        <v>2.52</v>
      </c>
      <c r="Y2241" s="27">
        <v>2.6</v>
      </c>
      <c r="Z2241" s="28">
        <v>1000</v>
      </c>
      <c r="AA2241" s="28">
        <v>1000</v>
      </c>
      <c r="AB2241" s="1" t="s">
        <v>13</v>
      </c>
    </row>
    <row r="2242" spans="1:28">
      <c r="A2242" t="s">
        <v>580</v>
      </c>
      <c r="B2242" s="29" t="s">
        <v>3121</v>
      </c>
      <c r="C2242" s="26" t="s">
        <v>3122</v>
      </c>
      <c r="D2242" s="1">
        <v>293</v>
      </c>
      <c r="E2242" t="s">
        <v>3123</v>
      </c>
      <c r="F2242" s="3" t="s">
        <v>3124</v>
      </c>
      <c r="G2242" s="1">
        <v>44.7</v>
      </c>
      <c r="H2242" t="s">
        <v>3125</v>
      </c>
      <c r="I2242" t="s">
        <v>3128</v>
      </c>
      <c r="J2242" s="1">
        <v>3</v>
      </c>
      <c r="K2242" s="1">
        <v>942.08920000000001</v>
      </c>
      <c r="L2242" s="1" t="str">
        <f>HYPERLINK("http://ms.phosphosite.org:5080/cgi-bin/plot-msms.cgi?MassType=1&amp;NumAxis=1&amp;Mod18=170&amp;Pep=FGGNPGGFGNQGGFGNSRGGGAGLGNNQGSN&amp;Dta=/var/www/html/dta/yong/23612.10455.3.dta&amp;Global_Mod=CS57.0215", "10455")</f>
        <v>10455</v>
      </c>
      <c r="M2242" s="1" t="str">
        <f>HYPERLINK("http://ms.phosphosite.org:5080/cgi-bin/plot-msms.cgi?MassType=1&amp;NumAxis=1&amp;Mod18=170&amp;Pep=FGGNPGGFGNQGGFGNSRGGGAGLGNNQGSN&amp;Dta=/var/www/html/dta/yong/23613.10527.3.dta&amp;Global_Mod=CS57.0215", "10527")</f>
        <v>10527</v>
      </c>
      <c r="N2242" s="27">
        <v>45.55</v>
      </c>
      <c r="O2242" s="27">
        <v>45.56</v>
      </c>
      <c r="P2242" s="27">
        <v>3.0630000000000002</v>
      </c>
      <c r="Q2242" s="27">
        <v>3.5059999999999998</v>
      </c>
      <c r="R2242" s="27">
        <v>1.3503000000000001</v>
      </c>
      <c r="S2242" s="27">
        <v>1.7833000000000001</v>
      </c>
      <c r="T2242" s="27">
        <v>0.25609999999999999</v>
      </c>
      <c r="U2242" s="27">
        <v>0.2984</v>
      </c>
      <c r="V2242" s="1">
        <v>1</v>
      </c>
      <c r="W2242" s="1">
        <v>1</v>
      </c>
      <c r="X2242" s="27">
        <v>1.56</v>
      </c>
      <c r="Y2242" s="27">
        <v>1.82</v>
      </c>
      <c r="Z2242" s="28">
        <v>1000</v>
      </c>
      <c r="AA2242" s="28">
        <v>1000</v>
      </c>
      <c r="AB2242" s="1" t="s">
        <v>13</v>
      </c>
    </row>
    <row r="2243" spans="1:28">
      <c r="A2243" t="s">
        <v>580</v>
      </c>
      <c r="B2243" s="29" t="s">
        <v>3121</v>
      </c>
      <c r="C2243" s="26" t="s">
        <v>3122</v>
      </c>
      <c r="D2243" s="1">
        <v>293</v>
      </c>
      <c r="E2243" t="s">
        <v>3123</v>
      </c>
      <c r="F2243" s="3" t="s">
        <v>3124</v>
      </c>
      <c r="G2243" s="1">
        <v>44.7</v>
      </c>
      <c r="H2243" t="s">
        <v>3125</v>
      </c>
      <c r="I2243" t="s">
        <v>3129</v>
      </c>
      <c r="J2243" s="1">
        <v>3</v>
      </c>
      <c r="K2243" s="1">
        <v>1275.8804</v>
      </c>
      <c r="L2243" s="1" t="str">
        <f>HYPERLINK("http://ms.phosphosite.org:5080/cgi-bin/plot-msms.cgi?MassType=1&amp;NumAxis=1&amp;Mod18=170&amp;Mod32=147&amp;Mod36=147&amp;Pep=FGGNPGGFGNQGGFGNSRGGGAGLGNNQGSNMGGGMNFGAF&amp;Dta=/var/www/html/dta/yong/23612.14907.3.dta&amp;Global_Mod=CS57.0215", "14907")</f>
        <v>14907</v>
      </c>
      <c r="M2243" s="1" t="str">
        <f>HYPERLINK("http://ms.phosphosite.org:5080/cgi-bin/plot-msms.cgi?MassType=1&amp;NumAxis=1&amp;Mod18=170&amp;Mod32=147&amp;Mod36=147&amp;Pep=FGGNPGGFGNQGGFGNSRGGGAGLGNNQGSNMGGGMNFGAF&amp;Dta=/var/www/html/dta/yong/23613.14985.3.dta&amp;Global_Mod=CS57.0215", "14985")</f>
        <v>14985</v>
      </c>
      <c r="N2243" s="27">
        <v>61.32</v>
      </c>
      <c r="O2243" s="27">
        <v>61.34</v>
      </c>
      <c r="P2243" s="27">
        <v>4.7679999999999998</v>
      </c>
      <c r="Q2243" s="27">
        <v>5.0570000000000004</v>
      </c>
      <c r="R2243" s="27">
        <v>1.8027</v>
      </c>
      <c r="S2243" s="27">
        <v>1.4515</v>
      </c>
      <c r="T2243" s="27">
        <v>0.4224</v>
      </c>
      <c r="U2243" s="27">
        <v>0.47370000000000001</v>
      </c>
      <c r="V2243" s="1">
        <v>1</v>
      </c>
      <c r="W2243" s="1">
        <v>1</v>
      </c>
      <c r="X2243" s="27">
        <v>2.58</v>
      </c>
      <c r="Y2243" s="27">
        <v>2.89</v>
      </c>
      <c r="Z2243" s="28">
        <v>1000</v>
      </c>
      <c r="AA2243" s="28">
        <v>1000</v>
      </c>
      <c r="AB2243" s="1" t="s">
        <v>13</v>
      </c>
    </row>
    <row r="2244" spans="1:28">
      <c r="A2244" t="s">
        <v>580</v>
      </c>
      <c r="B2244" s="29" t="s">
        <v>3121</v>
      </c>
      <c r="C2244" s="26" t="s">
        <v>3122</v>
      </c>
      <c r="D2244" s="1">
        <v>293</v>
      </c>
      <c r="E2244" t="s">
        <v>3123</v>
      </c>
      <c r="F2244" s="3" t="s">
        <v>3124</v>
      </c>
      <c r="G2244" s="1">
        <v>44.7</v>
      </c>
      <c r="H2244" t="s">
        <v>3125</v>
      </c>
      <c r="I2244" t="s">
        <v>3129</v>
      </c>
      <c r="J2244" s="1">
        <v>3</v>
      </c>
      <c r="K2244" s="1">
        <v>1275.8804</v>
      </c>
      <c r="L2244" s="1" t="str">
        <f>HYPERLINK("http://ms.phosphosite.org:5080/cgi-bin/plot-msms.cgi?MassType=1&amp;NumAxis=1&amp;Mod18=170&amp;Mod32=147&amp;Mod36=147&amp;Pep=FGGNPGGFGNQGGFGNSRGGGAGLGNNQGSNMGGGMNFGAF&amp;Dta=/var/www/html/dta/yong/23612.14953.3.dta&amp;Global_Mod=CS57.0215", "14953")</f>
        <v>14953</v>
      </c>
      <c r="M2244" s="1" t="str">
        <f>HYPERLINK("http://ms.phosphosite.org:5080/cgi-bin/plot-msms.cgi?MassType=1&amp;NumAxis=1&amp;Mod18=170&amp;Mod32=147&amp;Mod36=147&amp;Pep=FGGNPGGFGNQGGFGNSRGGGAGLGNNQGSNMGGGMNFGAF&amp;Dta=/var/www/html/dta/yong/23613.14992.3.dta&amp;Global_Mod=CS57.0215", "14992")</f>
        <v>14992</v>
      </c>
      <c r="N2244" s="27">
        <v>61.49</v>
      </c>
      <c r="O2244" s="27">
        <v>61.37</v>
      </c>
      <c r="P2244" s="27">
        <v>3.7530000000000001</v>
      </c>
      <c r="Q2244" s="27">
        <v>3.4660000000000002</v>
      </c>
      <c r="R2244" s="27">
        <v>1.8027</v>
      </c>
      <c r="S2244" s="27">
        <v>1.4515</v>
      </c>
      <c r="T2244" s="27">
        <v>0.2898</v>
      </c>
      <c r="U2244" s="27">
        <v>0.1024</v>
      </c>
      <c r="V2244" s="1">
        <v>2</v>
      </c>
      <c r="W2244" s="1">
        <v>1</v>
      </c>
      <c r="X2244" s="27">
        <v>1.73</v>
      </c>
      <c r="Y2244" s="27">
        <v>0.74</v>
      </c>
      <c r="Z2244" s="28">
        <v>1000</v>
      </c>
      <c r="AA2244" s="28">
        <v>1000</v>
      </c>
      <c r="AB2244" s="1" t="s">
        <v>13</v>
      </c>
    </row>
    <row r="2245" spans="1:28">
      <c r="A2245" t="s">
        <v>580</v>
      </c>
      <c r="B2245" s="29" t="s">
        <v>3121</v>
      </c>
      <c r="C2245" s="26" t="s">
        <v>3122</v>
      </c>
      <c r="D2245" s="1">
        <v>293</v>
      </c>
      <c r="E2245" t="s">
        <v>3123</v>
      </c>
      <c r="F2245" s="3" t="s">
        <v>3124</v>
      </c>
      <c r="G2245" s="1">
        <v>44.7</v>
      </c>
      <c r="H2245" t="s">
        <v>3125</v>
      </c>
      <c r="I2245" t="s">
        <v>3129</v>
      </c>
      <c r="J2245" s="1">
        <v>4</v>
      </c>
      <c r="K2245" s="1">
        <v>957.16210000000001</v>
      </c>
      <c r="L2245" s="1"/>
      <c r="M2245" s="1" t="str">
        <f>HYPERLINK("http://ms.phosphosite.org:5080/cgi-bin/plot-msms.cgi?MassType=1&amp;NumAxis=1&amp;Mod18=170&amp;Mod32=147&amp;Mod36=147&amp;Pep=FGGNPGGFGNQGGFGNSRGGGAGLGNNQGSNMGGGMNFGAF&amp;Dta=/var/www/html/dta/yong/23613.14984.4.dta&amp;Global_Mod=CS57.0215", "14984")</f>
        <v>14984</v>
      </c>
      <c r="N2245" s="27"/>
      <c r="O2245" s="27">
        <v>61.34</v>
      </c>
      <c r="P2245" s="27"/>
      <c r="Q2245" s="27">
        <v>3.7130000000000001</v>
      </c>
      <c r="R2245" s="27"/>
      <c r="S2245" s="27">
        <v>0.434</v>
      </c>
      <c r="T2245" s="27"/>
      <c r="U2245" s="27">
        <v>0.26319999999999999</v>
      </c>
      <c r="V2245" s="1"/>
      <c r="W2245" s="1">
        <v>1</v>
      </c>
      <c r="X2245" s="27"/>
      <c r="Y2245" s="27">
        <v>1.68</v>
      </c>
      <c r="Z2245" s="28"/>
      <c r="AA2245" s="28">
        <v>1000</v>
      </c>
      <c r="AB2245" s="1" t="s">
        <v>13</v>
      </c>
    </row>
    <row r="2246" spans="1:28">
      <c r="A2246" t="s">
        <v>580</v>
      </c>
      <c r="B2246" s="29" t="s">
        <v>3121</v>
      </c>
      <c r="C2246" s="26" t="s">
        <v>3122</v>
      </c>
      <c r="D2246" s="1">
        <v>293</v>
      </c>
      <c r="E2246" t="s">
        <v>3123</v>
      </c>
      <c r="F2246" s="3" t="s">
        <v>3124</v>
      </c>
      <c r="G2246" s="1">
        <v>44.7</v>
      </c>
      <c r="H2246" t="s">
        <v>3125</v>
      </c>
      <c r="I2246" t="s">
        <v>3130</v>
      </c>
      <c r="J2246" s="1">
        <v>2</v>
      </c>
      <c r="K2246" s="1">
        <v>418.70409999999998</v>
      </c>
      <c r="L2246" s="1"/>
      <c r="M2246" s="1" t="str">
        <f>HYPERLINK("http://ms.phosphosite.org:5080/cgi-bin/plot-msms.cgi?MassType=1&amp;NumAxis=1&amp;Mod8=170&amp;Pep=QGGFGNSR&amp;Dta=/var/www/html/dta/yong/23613.2344.2.dta&amp;Global_Mod=CS57.0215", "2344")</f>
        <v>2344</v>
      </c>
      <c r="N2246" s="27"/>
      <c r="O2246" s="27">
        <v>15.53</v>
      </c>
      <c r="P2246" s="27"/>
      <c r="Q2246" s="27">
        <v>1.6879999999999999</v>
      </c>
      <c r="R2246" s="27"/>
      <c r="S2246" s="27">
        <v>0.2361</v>
      </c>
      <c r="T2246" s="27"/>
      <c r="U2246" s="27">
        <v>7.0900000000000005E-2</v>
      </c>
      <c r="V2246" s="1"/>
      <c r="W2246" s="1">
        <v>1</v>
      </c>
      <c r="X2246" s="27"/>
      <c r="Y2246" s="27">
        <v>0.82</v>
      </c>
      <c r="Z2246" s="28"/>
      <c r="AA2246" s="28">
        <v>1000</v>
      </c>
      <c r="AB2246" s="1" t="s">
        <v>13</v>
      </c>
    </row>
    <row r="2247" spans="1:28">
      <c r="A2247" t="s">
        <v>580</v>
      </c>
      <c r="B2247" s="29" t="s">
        <v>3131</v>
      </c>
      <c r="C2247" s="26" t="s">
        <v>3131</v>
      </c>
      <c r="D2247" s="1">
        <v>241</v>
      </c>
      <c r="E2247" t="s">
        <v>3132</v>
      </c>
      <c r="F2247" s="3" t="s">
        <v>3133</v>
      </c>
      <c r="G2247" s="1">
        <v>33.6</v>
      </c>
      <c r="H2247" t="s">
        <v>3134</v>
      </c>
      <c r="I2247" t="s">
        <v>3135</v>
      </c>
      <c r="J2247" s="1">
        <v>2</v>
      </c>
      <c r="K2247" s="1">
        <v>619.29470000000003</v>
      </c>
      <c r="L2247" s="1" t="str">
        <f>HYPERLINK("http://ms.phosphosite.org:5080/cgi-bin/plot-msms.cgi?MassType=1&amp;NumAxis=1&amp;Mod3=170&amp;Pep=SYRGGGGGGGGWR&amp;Dta=/var/www/html/dta/yong/23612.3405.2.dta&amp;Global_Mod=CS57.0215", "3405")</f>
        <v>3405</v>
      </c>
      <c r="M2247" s="1" t="str">
        <f>HYPERLINK("http://ms.phosphosite.org:5080/cgi-bin/plot-msms.cgi?MassType=1&amp;NumAxis=1&amp;Mod3=170&amp;Pep=SYRGGGGGGGGWR&amp;Dta=/var/www/html/dta/yong/23613.3453.2.dta&amp;Global_Mod=CS57.0215", "3453")</f>
        <v>3453</v>
      </c>
      <c r="N2247" s="27">
        <v>19.649999999999999</v>
      </c>
      <c r="O2247" s="27">
        <v>19.68</v>
      </c>
      <c r="P2247" s="27">
        <v>2.2719999999999998</v>
      </c>
      <c r="Q2247" s="27">
        <v>2.4089999999999998</v>
      </c>
      <c r="R2247" s="27">
        <v>0.28760000000000002</v>
      </c>
      <c r="S2247" s="27">
        <v>0.23910000000000001</v>
      </c>
      <c r="T2247" s="27">
        <v>0.26119999999999999</v>
      </c>
      <c r="U2247" s="27">
        <v>0.27660000000000001</v>
      </c>
      <c r="V2247" s="1">
        <v>1</v>
      </c>
      <c r="W2247" s="1">
        <v>1</v>
      </c>
      <c r="X2247" s="27">
        <v>1.52</v>
      </c>
      <c r="Y2247" s="27">
        <v>1.6</v>
      </c>
      <c r="Z2247" s="28">
        <v>1000</v>
      </c>
      <c r="AA2247" s="28">
        <v>1000</v>
      </c>
      <c r="AB2247" s="1" t="s">
        <v>13</v>
      </c>
    </row>
    <row r="2248" spans="1:28">
      <c r="A2248" t="s">
        <v>580</v>
      </c>
      <c r="B2248" s="29" t="s">
        <v>3131</v>
      </c>
      <c r="C2248" s="26" t="s">
        <v>3131</v>
      </c>
      <c r="D2248" s="1">
        <v>241</v>
      </c>
      <c r="E2248" t="s">
        <v>3132</v>
      </c>
      <c r="F2248" s="3" t="s">
        <v>3133</v>
      </c>
      <c r="G2248" s="1">
        <v>33.6</v>
      </c>
      <c r="H2248" t="s">
        <v>3134</v>
      </c>
      <c r="I2248" t="s">
        <v>3135</v>
      </c>
      <c r="J2248" s="1">
        <v>3</v>
      </c>
      <c r="K2248" s="1">
        <v>413.19889999999998</v>
      </c>
      <c r="L2248" s="1" t="str">
        <f>HYPERLINK("http://ms.phosphosite.org:5080/cgi-bin/plot-msms.cgi?MassType=1&amp;NumAxis=1&amp;Mod3=170&amp;Pep=SYRGGGGGGGGWR&amp;Dta=/var/www/html/dta/yong/23612.3401.3.dta&amp;Global_Mod=CS57.0215", "3401")</f>
        <v>3401</v>
      </c>
      <c r="M2248" s="1" t="str">
        <f>HYPERLINK("http://ms.phosphosite.org:5080/cgi-bin/plot-msms.cgi?MassType=1&amp;NumAxis=1&amp;Mod3=170&amp;Pep=SYRGGGGGGGGWR&amp;Dta=/var/www/html/dta/yong/23613.3450.3.dta&amp;Global_Mod=CS57.0215", "3450")</f>
        <v>3450</v>
      </c>
      <c r="N2248" s="27">
        <v>19.649999999999999</v>
      </c>
      <c r="O2248" s="27">
        <v>19.670000000000002</v>
      </c>
      <c r="P2248" s="27">
        <v>3.851</v>
      </c>
      <c r="Q2248" s="27">
        <v>3.605</v>
      </c>
      <c r="R2248" s="27">
        <v>0.10050000000000001</v>
      </c>
      <c r="S2248" s="27">
        <v>6.7199999999999996E-2</v>
      </c>
      <c r="T2248" s="27">
        <v>0.14030000000000001</v>
      </c>
      <c r="U2248" s="27">
        <v>4.1000000000000002E-2</v>
      </c>
      <c r="V2248" s="1">
        <v>1</v>
      </c>
      <c r="W2248" s="1">
        <v>1</v>
      </c>
      <c r="X2248" s="27">
        <v>1.27</v>
      </c>
      <c r="Y2248" s="27">
        <v>0.72</v>
      </c>
      <c r="Z2248" s="28">
        <v>1000</v>
      </c>
      <c r="AA2248" s="28">
        <v>1000</v>
      </c>
      <c r="AB2248" s="1" t="s">
        <v>13</v>
      </c>
    </row>
    <row r="2249" spans="1:28">
      <c r="A2249" t="s">
        <v>580</v>
      </c>
      <c r="B2249" s="29" t="s">
        <v>3136</v>
      </c>
      <c r="C2249" s="26" t="s">
        <v>3136</v>
      </c>
      <c r="D2249" s="1">
        <v>883</v>
      </c>
      <c r="E2249" t="s">
        <v>770</v>
      </c>
      <c r="F2249" s="3" t="s">
        <v>3137</v>
      </c>
      <c r="G2249" s="1">
        <v>108.5</v>
      </c>
      <c r="H2249" t="s">
        <v>3138</v>
      </c>
      <c r="I2249" t="s">
        <v>3139</v>
      </c>
      <c r="J2249" s="1">
        <v>3</v>
      </c>
      <c r="K2249" s="1">
        <v>580.97749999999996</v>
      </c>
      <c r="L2249" s="1" t="str">
        <f>HYPERLINK("http://ms.phosphosite.org:5080/cgi-bin/plot-msms.cgi?MassType=1&amp;NumAxis=1&amp;Mod3=170&amp;Pep=FDRGVGAEPLLPWNR&amp;Dta=/var/www/html/dta/yong/23612.14298.3.dta&amp;Global_Mod=CS57.0215", "14298")</f>
        <v>14298</v>
      </c>
      <c r="M2249" s="1" t="str">
        <f>HYPERLINK("http://ms.phosphosite.org:5080/cgi-bin/plot-msms.cgi?MassType=1&amp;NumAxis=1&amp;Mod3=170&amp;Pep=FDRGVGAEPLLPWNR&amp;Dta=/var/www/html/dta/yong/23613.14367.3.dta&amp;Global_Mod=CS57.0215", "14367")</f>
        <v>14367</v>
      </c>
      <c r="N2249" s="27">
        <v>58.95</v>
      </c>
      <c r="O2249" s="27">
        <v>58.92</v>
      </c>
      <c r="P2249" s="27">
        <v>3.22</v>
      </c>
      <c r="Q2249" s="27">
        <v>2.9049999999999998</v>
      </c>
      <c r="R2249" s="27">
        <v>0.86529999999999996</v>
      </c>
      <c r="S2249" s="27">
        <v>0.95099999999999996</v>
      </c>
      <c r="T2249" s="27">
        <v>0.1517</v>
      </c>
      <c r="U2249" s="27">
        <v>0.1336</v>
      </c>
      <c r="V2249" s="1">
        <v>4</v>
      </c>
      <c r="W2249" s="1">
        <v>10</v>
      </c>
      <c r="X2249" s="27">
        <v>1.2</v>
      </c>
      <c r="Y2249" s="27">
        <v>1.01</v>
      </c>
      <c r="Z2249" s="28">
        <v>1000</v>
      </c>
      <c r="AA2249" s="28">
        <v>1000</v>
      </c>
      <c r="AB2249" s="1" t="s">
        <v>13</v>
      </c>
    </row>
    <row r="2250" spans="1:28">
      <c r="A2250" t="s">
        <v>580</v>
      </c>
      <c r="B2250" s="29" t="s">
        <v>3136</v>
      </c>
      <c r="C2250" s="26" t="s">
        <v>3136</v>
      </c>
      <c r="D2250" s="1">
        <v>865</v>
      </c>
      <c r="E2250" t="s">
        <v>770</v>
      </c>
      <c r="F2250" s="3" t="s">
        <v>3137</v>
      </c>
      <c r="G2250" s="1">
        <v>108.5</v>
      </c>
      <c r="H2250" t="s">
        <v>3140</v>
      </c>
      <c r="I2250" t="s">
        <v>3141</v>
      </c>
      <c r="J2250" s="1">
        <v>2</v>
      </c>
      <c r="K2250" s="1">
        <v>661.86440000000005</v>
      </c>
      <c r="L2250" s="1" t="str">
        <f>HYPERLINK("http://ms.phosphosite.org:5080/cgi-bin/plot-msms.cgi?MassType=1&amp;NumAxis=1&amp;Mod12=170&amp;Pep=GVGAEPLLPWNR&amp;Dta=/var/www/html/dta/yong/23612.15035.2.dta&amp;Global_Mod=CS57.0215", "15035")</f>
        <v>15035</v>
      </c>
      <c r="M2250" s="1" t="str">
        <f>HYPERLINK("http://ms.phosphosite.org:5080/cgi-bin/plot-msms.cgi?MassType=1&amp;NumAxis=1&amp;Mod12=170&amp;Pep=GVGAEPLLPWNR&amp;Dta=/var/www/html/dta/yong/23613.15111.2.dta&amp;Global_Mod=CS57.0215", "15111")</f>
        <v>15111</v>
      </c>
      <c r="N2250" s="27">
        <v>61.78</v>
      </c>
      <c r="O2250" s="27">
        <v>61.8</v>
      </c>
      <c r="P2250" s="27">
        <v>3.4009999999999998</v>
      </c>
      <c r="Q2250" s="27">
        <v>3.0630000000000002</v>
      </c>
      <c r="R2250" s="27">
        <v>0.19339999999999999</v>
      </c>
      <c r="S2250" s="27">
        <v>0.41510000000000002</v>
      </c>
      <c r="T2250" s="27">
        <v>0.31240000000000001</v>
      </c>
      <c r="U2250" s="27">
        <v>0.30420000000000003</v>
      </c>
      <c r="V2250" s="1">
        <v>2</v>
      </c>
      <c r="W2250" s="1">
        <v>1</v>
      </c>
      <c r="X2250" s="27">
        <v>2.21</v>
      </c>
      <c r="Y2250" s="27">
        <v>2.1</v>
      </c>
      <c r="Z2250" s="28">
        <v>1000</v>
      </c>
      <c r="AA2250" s="28">
        <v>1000</v>
      </c>
      <c r="AB2250" s="1" t="s">
        <v>13</v>
      </c>
    </row>
    <row r="2251" spans="1:28">
      <c r="A2251" t="s">
        <v>580</v>
      </c>
      <c r="B2251" s="29" t="s">
        <v>3136</v>
      </c>
      <c r="C2251" s="26" t="s">
        <v>3136</v>
      </c>
      <c r="D2251" s="30" t="s">
        <v>3142</v>
      </c>
      <c r="E2251" t="s">
        <v>770</v>
      </c>
      <c r="F2251" s="3" t="s">
        <v>3137</v>
      </c>
      <c r="G2251" s="1">
        <v>108.5</v>
      </c>
      <c r="H2251" t="s">
        <v>3143</v>
      </c>
      <c r="I2251" t="s">
        <v>3144</v>
      </c>
      <c r="J2251" s="1">
        <v>3</v>
      </c>
      <c r="K2251" s="1">
        <v>585.64940000000001</v>
      </c>
      <c r="L2251" s="1" t="str">
        <f>HYPERLINK("http://ms.phosphosite.org:5080/cgi-bin/plot-msms.cgi?MassType=1&amp;NumAxis=1&amp;Mod3=170&amp;Mod15=170&amp;Pep=FDRGVGAEPLLPWNR&amp;Dta=/var/www/html/dta/yong/23612.14507.3.dta&amp;Global_Mod=CS57.0215", "14507")</f>
        <v>14507</v>
      </c>
      <c r="M2251" s="1"/>
      <c r="N2251" s="27">
        <v>59.72</v>
      </c>
      <c r="O2251" s="27"/>
      <c r="P2251" s="27">
        <v>3.3959999999999999</v>
      </c>
      <c r="Q2251" s="27"/>
      <c r="R2251" s="27">
        <v>0.42949999999999999</v>
      </c>
      <c r="S2251" s="27"/>
      <c r="T2251" s="27">
        <v>8.0799999999999997E-2</v>
      </c>
      <c r="U2251" s="27"/>
      <c r="V2251" s="1">
        <v>14</v>
      </c>
      <c r="W2251" s="1"/>
      <c r="X2251" s="27">
        <v>0.9</v>
      </c>
      <c r="Y2251" s="27"/>
      <c r="Z2251" s="28" t="s">
        <v>1306</v>
      </c>
      <c r="AA2251" s="28"/>
      <c r="AB2251" s="1" t="s">
        <v>13</v>
      </c>
    </row>
    <row r="2252" spans="1:28">
      <c r="A2252" t="s">
        <v>773</v>
      </c>
      <c r="B2252" s="29" t="s">
        <v>3145</v>
      </c>
      <c r="C2252" s="26" t="s">
        <v>3145</v>
      </c>
      <c r="D2252" s="1">
        <v>582</v>
      </c>
      <c r="E2252" t="s">
        <v>3146</v>
      </c>
      <c r="F2252" s="3" t="s">
        <v>3147</v>
      </c>
      <c r="G2252" s="1">
        <v>75.5</v>
      </c>
      <c r="H2252" t="s">
        <v>3148</v>
      </c>
      <c r="I2252" t="s">
        <v>3149</v>
      </c>
      <c r="J2252" s="1">
        <v>3</v>
      </c>
      <c r="K2252" s="1">
        <v>1222.3198</v>
      </c>
      <c r="L2252" s="1" t="str">
        <f>HYPERLINK("http://ms.phosphosite.org:5080/cgi-bin/plot-msms.cgi?MassType=1&amp;NumAxis=1&amp;Mod34=170&amp;Pep=LPCLSPPSYTFPAPAAVIPTEAAIYQPSVILNPR&amp;Dta=/var/www/html/dta/yong/23612.21360.3.dta&amp;Global_Mod=CS57.0215", "21360")</f>
        <v>21360</v>
      </c>
      <c r="M2252" s="1" t="str">
        <f>HYPERLINK("http://ms.phosphosite.org:5080/cgi-bin/plot-msms.cgi?MassType=1&amp;NumAxis=1&amp;Mod34=170&amp;Pep=LPCLSPPSYTFPAPAAVIPTEAAIYQPSVILNPR&amp;Dta=/var/www/html/dta/yong/23613.21456.3.dta&amp;Global_Mod=CS57.0215", "21456")</f>
        <v>21456</v>
      </c>
      <c r="N2252" s="27">
        <v>89.99</v>
      </c>
      <c r="O2252" s="27">
        <v>90</v>
      </c>
      <c r="P2252" s="27">
        <v>2.391</v>
      </c>
      <c r="Q2252" s="27">
        <v>4.2480000000000002</v>
      </c>
      <c r="R2252" s="27">
        <v>2.0002</v>
      </c>
      <c r="S2252" s="27">
        <v>1.2025999999999999</v>
      </c>
      <c r="T2252" s="27">
        <v>0.1258</v>
      </c>
      <c r="U2252" s="27">
        <v>0.36249999999999999</v>
      </c>
      <c r="V2252" s="1">
        <v>11</v>
      </c>
      <c r="W2252" s="1">
        <v>2</v>
      </c>
      <c r="X2252" s="27">
        <v>0.81</v>
      </c>
      <c r="Y2252" s="27">
        <v>2.33</v>
      </c>
      <c r="Z2252" s="28">
        <v>1000</v>
      </c>
      <c r="AA2252" s="28">
        <v>1000</v>
      </c>
      <c r="AB2252" s="1" t="s">
        <v>13</v>
      </c>
    </row>
    <row r="2253" spans="1:28">
      <c r="A2253" t="s">
        <v>773</v>
      </c>
      <c r="B2253" s="29" t="s">
        <v>3145</v>
      </c>
      <c r="C2253" s="26" t="s">
        <v>3145</v>
      </c>
      <c r="D2253" s="1">
        <v>582</v>
      </c>
      <c r="E2253" t="s">
        <v>3146</v>
      </c>
      <c r="F2253" s="3" t="s">
        <v>3147</v>
      </c>
      <c r="G2253" s="1">
        <v>75.5</v>
      </c>
      <c r="H2253" t="s">
        <v>3148</v>
      </c>
      <c r="I2253" t="s">
        <v>3149</v>
      </c>
      <c r="J2253" s="1">
        <v>4</v>
      </c>
      <c r="K2253" s="1">
        <v>916.99159999999995</v>
      </c>
      <c r="L2253" s="1" t="str">
        <f>HYPERLINK("http://ms.phosphosite.org:5080/cgi-bin/plot-msms.cgi?MassType=1&amp;NumAxis=1&amp;Mod34=170&amp;Pep=LPCLSPPSYTFPAPAAVIPTEAAIYQPSVILNPR&amp;Dta=/var/www/html/dta/yong/23612.21370.4.dta&amp;Global_Mod=CS57.0215", "21370")</f>
        <v>21370</v>
      </c>
      <c r="M2253" s="1"/>
      <c r="N2253" s="27">
        <v>90.04</v>
      </c>
      <c r="O2253" s="27"/>
      <c r="P2253" s="27">
        <v>3.7130000000000001</v>
      </c>
      <c r="Q2253" s="27"/>
      <c r="R2253" s="27">
        <v>1.7847999999999999</v>
      </c>
      <c r="S2253" s="27"/>
      <c r="T2253" s="27">
        <v>0.2271</v>
      </c>
      <c r="U2253" s="27"/>
      <c r="V2253" s="1">
        <v>1</v>
      </c>
      <c r="W2253" s="1"/>
      <c r="X2253" s="27">
        <v>1.64</v>
      </c>
      <c r="Y2253" s="27"/>
      <c r="Z2253" s="28">
        <v>1000</v>
      </c>
      <c r="AA2253" s="28"/>
      <c r="AB2253" s="1" t="s">
        <v>13</v>
      </c>
    </row>
    <row r="2254" spans="1:28">
      <c r="A2254" t="s">
        <v>773</v>
      </c>
      <c r="B2254" s="2" t="s">
        <v>3150</v>
      </c>
      <c r="C2254" t="s">
        <v>3151</v>
      </c>
      <c r="D2254" s="1">
        <v>1723</v>
      </c>
      <c r="E2254" t="s">
        <v>3152</v>
      </c>
      <c r="F2254" s="3" t="s">
        <v>3153</v>
      </c>
      <c r="G2254" s="1">
        <v>201.9</v>
      </c>
      <c r="H2254" t="s">
        <v>3154</v>
      </c>
      <c r="I2254" t="s">
        <v>3155</v>
      </c>
      <c r="J2254" s="1">
        <v>3</v>
      </c>
      <c r="K2254" s="1">
        <v>549.93259999999998</v>
      </c>
      <c r="L2254" s="1" t="str">
        <f>HYPERLINK("http://ms.phosphosite.org:5080/cgi-bin/plot-msms.cgi?MassType=1&amp;NumAxis=1&amp;Mod4=170&amp;Pep=EGTRGSSWSAQNTPR&amp;Dta=/var/www/html/dta/yong/23612.4236.3.dta&amp;Global_Mod=CS57.0215", "4236")</f>
        <v>4236</v>
      </c>
      <c r="M2254" s="1" t="str">
        <f>HYPERLINK("http://ms.phosphosite.org:5080/cgi-bin/plot-msms.cgi?MassType=1&amp;NumAxis=1&amp;Mod4=170&amp;Pep=EGTRGSSWSAQNTPR&amp;Dta=/var/www/html/dta/yong/23613.4277.3.dta&amp;Global_Mod=CS57.0215", "4277")</f>
        <v>4277</v>
      </c>
      <c r="N2254" s="27">
        <v>22.87</v>
      </c>
      <c r="O2254" s="27">
        <v>22.82</v>
      </c>
      <c r="P2254" s="27">
        <v>3.1880000000000002</v>
      </c>
      <c r="Q2254" s="27">
        <v>3.8029999999999999</v>
      </c>
      <c r="R2254" s="27">
        <v>0.43469999999999998</v>
      </c>
      <c r="S2254" s="27">
        <v>0.21970000000000001</v>
      </c>
      <c r="T2254" s="27">
        <v>0.1893</v>
      </c>
      <c r="U2254" s="27">
        <v>0.313</v>
      </c>
      <c r="V2254" s="1">
        <v>63</v>
      </c>
      <c r="W2254" s="1">
        <v>2</v>
      </c>
      <c r="X2254" s="27">
        <v>1.33</v>
      </c>
      <c r="Y2254" s="27">
        <v>2.08</v>
      </c>
      <c r="Z2254" s="28">
        <v>1000</v>
      </c>
      <c r="AA2254" s="28">
        <v>1000</v>
      </c>
      <c r="AB2254" s="1" t="s">
        <v>13</v>
      </c>
    </row>
    <row r="2255" spans="1:28">
      <c r="A2255" t="s">
        <v>773</v>
      </c>
      <c r="B2255" s="29" t="s">
        <v>3156</v>
      </c>
      <c r="C2255" s="26" t="s">
        <v>3156</v>
      </c>
      <c r="D2255" s="30" t="s">
        <v>3157</v>
      </c>
      <c r="E2255" t="s">
        <v>3158</v>
      </c>
      <c r="F2255" s="3" t="s">
        <v>3159</v>
      </c>
      <c r="G2255" s="1">
        <v>42.3</v>
      </c>
      <c r="H2255" t="s">
        <v>3160</v>
      </c>
      <c r="I2255" t="s">
        <v>3161</v>
      </c>
      <c r="J2255" s="1">
        <v>2</v>
      </c>
      <c r="K2255" s="1">
        <v>477.77760000000001</v>
      </c>
      <c r="L2255" s="1" t="str">
        <f>HYPERLINK("http://ms.phosphosite.org:5080/cgi-bin/plot-msms.cgi?MassType=1&amp;NumAxis=1&amp;Mod1=170&amp;Mod9=170&amp;Pep=RSAPSGPVR&amp;Dta=/var/www/html/dta/yong/23612.1985.2.dta&amp;Global_Mod=CS57.0215", "1985")</f>
        <v>1985</v>
      </c>
      <c r="M2255" s="1" t="str">
        <f>HYPERLINK("http://ms.phosphosite.org:5080/cgi-bin/plot-msms.cgi?MassType=1&amp;NumAxis=1&amp;Mod1=170&amp;Mod9=170&amp;Pep=RSAPSGPVR&amp;Dta=/var/www/html/dta/yong/23613.2007.2.dta&amp;Global_Mod=CS57.0215", "2007")</f>
        <v>2007</v>
      </c>
      <c r="N2255" s="27">
        <v>14.33</v>
      </c>
      <c r="O2255" s="27">
        <v>14.25</v>
      </c>
      <c r="P2255" s="27">
        <v>2.246</v>
      </c>
      <c r="Q2255" s="27">
        <v>2.3170000000000002</v>
      </c>
      <c r="R2255" s="27">
        <v>0.26690000000000003</v>
      </c>
      <c r="S2255" s="27">
        <v>0.71619999999999995</v>
      </c>
      <c r="T2255" s="27">
        <v>0.13589999999999999</v>
      </c>
      <c r="U2255" s="27">
        <v>0.1177</v>
      </c>
      <c r="V2255" s="1">
        <v>1</v>
      </c>
      <c r="W2255" s="1">
        <v>1</v>
      </c>
      <c r="X2255" s="27">
        <v>1.4</v>
      </c>
      <c r="Y2255" s="27">
        <v>1.25</v>
      </c>
      <c r="Z2255" s="28" t="s">
        <v>1306</v>
      </c>
      <c r="AA2255" s="28" t="s">
        <v>1306</v>
      </c>
      <c r="AB2255" s="1" t="s">
        <v>13</v>
      </c>
    </row>
    <row r="2256" spans="1:28">
      <c r="A2256" t="s">
        <v>773</v>
      </c>
      <c r="B2256" s="29" t="s">
        <v>3156</v>
      </c>
      <c r="C2256" s="26" t="s">
        <v>3156</v>
      </c>
      <c r="D2256" s="1">
        <v>125</v>
      </c>
      <c r="E2256" t="s">
        <v>3158</v>
      </c>
      <c r="F2256" s="3" t="s">
        <v>3159</v>
      </c>
      <c r="G2256" s="1">
        <v>42.3</v>
      </c>
      <c r="H2256" t="s">
        <v>3162</v>
      </c>
      <c r="I2256" t="s">
        <v>3163</v>
      </c>
      <c r="J2256" s="1">
        <v>3</v>
      </c>
      <c r="K2256" s="1">
        <v>643.26139999999998</v>
      </c>
      <c r="L2256" s="1" t="str">
        <f>HYPERLINK("http://ms.phosphosite.org:5080/cgi-bin/plot-msms.cgi?MassType=1&amp;NumAxis=1&amp;Mod5=170&amp;Mod9=147&amp;Mod16=147&amp;Pep=GPPSRGGHMDDGGYSMNF&amp;Dta=/var/www/html/dta/yong/23612.5857.3.dta&amp;Global_Mod=CS57.0215", "5857")</f>
        <v>5857</v>
      </c>
      <c r="M2256" s="1"/>
      <c r="N2256" s="27">
        <v>29.03</v>
      </c>
      <c r="O2256" s="27"/>
      <c r="P2256" s="27">
        <v>1.925</v>
      </c>
      <c r="Q2256" s="27"/>
      <c r="R2256" s="27">
        <v>1.0428999999999999</v>
      </c>
      <c r="S2256" s="27"/>
      <c r="T2256" s="27">
        <v>0.19919999999999999</v>
      </c>
      <c r="U2256" s="27"/>
      <c r="V2256" s="1">
        <v>9</v>
      </c>
      <c r="W2256" s="1"/>
      <c r="X2256" s="27">
        <v>1.57</v>
      </c>
      <c r="Y2256" s="27"/>
      <c r="Z2256" s="28">
        <v>1000</v>
      </c>
      <c r="AA2256" s="28"/>
      <c r="AB2256" s="1" t="s">
        <v>13</v>
      </c>
    </row>
    <row r="2257" spans="1:28">
      <c r="A2257" t="s">
        <v>773</v>
      </c>
      <c r="B2257" s="29" t="s">
        <v>3156</v>
      </c>
      <c r="C2257" s="26" t="s">
        <v>3156</v>
      </c>
      <c r="D2257" s="1">
        <v>125</v>
      </c>
      <c r="E2257" t="s">
        <v>3158</v>
      </c>
      <c r="F2257" s="3" t="s">
        <v>3159</v>
      </c>
      <c r="G2257" s="1">
        <v>42.3</v>
      </c>
      <c r="H2257" t="s">
        <v>3162</v>
      </c>
      <c r="I2257" t="s">
        <v>3164</v>
      </c>
      <c r="J2257" s="1">
        <v>3</v>
      </c>
      <c r="K2257" s="1">
        <v>681.2758</v>
      </c>
      <c r="L2257" s="1"/>
      <c r="M2257" s="1" t="str">
        <f>HYPERLINK("http://ms.phosphosite.org:5080/cgi-bin/plot-msms.cgi?MassType=1&amp;NumAxis=1&amp;Mod5=170&amp;Mod9=147&amp;Mod16=147&amp;Pep=GPPSRGGHMDDGGYSMNFN&amp;Dta=/var/www/html/dta/yong/23613.4957.3.dta&amp;Global_Mod=CS57.0215", "4957")</f>
        <v>4957</v>
      </c>
      <c r="N2257" s="27"/>
      <c r="O2257" s="27">
        <v>25.44</v>
      </c>
      <c r="P2257" s="27"/>
      <c r="Q2257" s="27">
        <v>2.081</v>
      </c>
      <c r="R2257" s="27"/>
      <c r="S2257" s="27">
        <v>0.76580000000000004</v>
      </c>
      <c r="T2257" s="27"/>
      <c r="U2257" s="27">
        <v>0.158</v>
      </c>
      <c r="V2257" s="1"/>
      <c r="W2257" s="1">
        <v>1</v>
      </c>
      <c r="X2257" s="27"/>
      <c r="Y2257" s="27">
        <v>1.32</v>
      </c>
      <c r="Z2257" s="28"/>
      <c r="AA2257" s="28">
        <v>1000</v>
      </c>
      <c r="AB2257" s="1" t="s">
        <v>13</v>
      </c>
    </row>
    <row r="2258" spans="1:28">
      <c r="A2258" t="s">
        <v>773</v>
      </c>
      <c r="B2258" s="29" t="s">
        <v>3156</v>
      </c>
      <c r="C2258" s="26" t="s">
        <v>3156</v>
      </c>
      <c r="D2258" s="1">
        <v>125</v>
      </c>
      <c r="E2258" t="s">
        <v>3158</v>
      </c>
      <c r="F2258" s="3" t="s">
        <v>3159</v>
      </c>
      <c r="G2258" s="1">
        <v>42.3</v>
      </c>
      <c r="H2258" t="s">
        <v>3162</v>
      </c>
      <c r="I2258" t="s">
        <v>3165</v>
      </c>
      <c r="J2258" s="1">
        <v>3</v>
      </c>
      <c r="K2258" s="1">
        <v>730.2876</v>
      </c>
      <c r="L2258" s="1"/>
      <c r="M2258" s="1" t="str">
        <f>HYPERLINK("http://ms.phosphosite.org:5080/cgi-bin/plot-msms.cgi?MassType=1&amp;NumAxis=1&amp;Mod5=170&amp;Mod9=147&amp;Mod16=147&amp;Mod20=147&amp;Pep=GPPSRGGHMDDGGYSMNFNM&amp;Dta=/var/www/html/dta/yong/23613.5216.3.dta&amp;Global_Mod=CS57.0215", "5216")</f>
        <v>5216</v>
      </c>
      <c r="N2258" s="27"/>
      <c r="O2258" s="27">
        <v>26.45</v>
      </c>
      <c r="P2258" s="27"/>
      <c r="Q2258" s="27">
        <v>2.3170000000000002</v>
      </c>
      <c r="R2258" s="27"/>
      <c r="S2258" s="27">
        <v>1.5093000000000001</v>
      </c>
      <c r="T2258" s="27"/>
      <c r="U2258" s="27">
        <v>0.24510000000000001</v>
      </c>
      <c r="V2258" s="1"/>
      <c r="W2258" s="1">
        <v>2</v>
      </c>
      <c r="X2258" s="27"/>
      <c r="Y2258" s="27">
        <v>1.74</v>
      </c>
      <c r="Z2258" s="28"/>
      <c r="AA2258" s="28">
        <v>1000</v>
      </c>
      <c r="AB2258" s="1" t="s">
        <v>13</v>
      </c>
    </row>
    <row r="2259" spans="1:28">
      <c r="A2259" t="s">
        <v>773</v>
      </c>
      <c r="B2259" s="29" t="s">
        <v>3156</v>
      </c>
      <c r="C2259" s="26" t="s">
        <v>3156</v>
      </c>
      <c r="D2259" s="1">
        <v>125</v>
      </c>
      <c r="E2259" t="s">
        <v>3158</v>
      </c>
      <c r="F2259" s="3" t="s">
        <v>3159</v>
      </c>
      <c r="G2259" s="1">
        <v>42.3</v>
      </c>
      <c r="H2259" t="s">
        <v>3162</v>
      </c>
      <c r="I2259" t="s">
        <v>3166</v>
      </c>
      <c r="J2259" s="1">
        <v>3</v>
      </c>
      <c r="K2259" s="1">
        <v>759.29819999999995</v>
      </c>
      <c r="L2259" s="1" t="str">
        <f>HYPERLINK("http://ms.phosphosite.org:5080/cgi-bin/plot-msms.cgi?MassType=1&amp;NumAxis=1&amp;Mod5=170&amp;Mod9=147&amp;Mod16=147&amp;Mod20=147&amp;Pep=GPPSRGGHMDDGGYSMNFNMS&amp;Dta=/var/www/html/dta/yong/23612.5088.3.dta&amp;Global_Mod=CS57.0215", "5088")</f>
        <v>5088</v>
      </c>
      <c r="M2259" s="1" t="str">
        <f>HYPERLINK("http://ms.phosphosite.org:5080/cgi-bin/plot-msms.cgi?MassType=1&amp;NumAxis=1&amp;Mod5=170&amp;Mod9=147&amp;Mod16=147&amp;Mod20=147&amp;Pep=GPPSRGGHMDDGGYSMNFNMS&amp;Dta=/var/www/html/dta/yong/23613.5150.3.dta&amp;Global_Mod=CS57.0215", "5150")</f>
        <v>5150</v>
      </c>
      <c r="N2259" s="27">
        <v>26.14</v>
      </c>
      <c r="O2259" s="27">
        <v>26.2</v>
      </c>
      <c r="P2259" s="27">
        <v>2.17</v>
      </c>
      <c r="Q2259" s="27">
        <v>2.4449999999999998</v>
      </c>
      <c r="R2259" s="27">
        <v>0.71409999999999996</v>
      </c>
      <c r="S2259" s="27">
        <v>0.89280000000000004</v>
      </c>
      <c r="T2259" s="27">
        <v>0.30409999999999998</v>
      </c>
      <c r="U2259" s="27">
        <v>0.36330000000000001</v>
      </c>
      <c r="V2259" s="1">
        <v>1</v>
      </c>
      <c r="W2259" s="1">
        <v>1</v>
      </c>
      <c r="X2259" s="27">
        <v>2.13</v>
      </c>
      <c r="Y2259" s="27">
        <v>2.37</v>
      </c>
      <c r="Z2259" s="28">
        <v>1000</v>
      </c>
      <c r="AA2259" s="28">
        <v>1000</v>
      </c>
      <c r="AB2259" s="1" t="s">
        <v>13</v>
      </c>
    </row>
    <row r="2260" spans="1:28">
      <c r="A2260" t="s">
        <v>773</v>
      </c>
      <c r="B2260" s="29" t="s">
        <v>3156</v>
      </c>
      <c r="C2260" s="26" t="s">
        <v>3156</v>
      </c>
      <c r="D2260" s="1">
        <v>125</v>
      </c>
      <c r="E2260" t="s">
        <v>3158</v>
      </c>
      <c r="F2260" s="3" t="s">
        <v>3159</v>
      </c>
      <c r="G2260" s="1">
        <v>42.3</v>
      </c>
      <c r="H2260" t="s">
        <v>3162</v>
      </c>
      <c r="I2260" t="s">
        <v>3167</v>
      </c>
      <c r="J2260" s="1">
        <v>3</v>
      </c>
      <c r="K2260" s="1">
        <v>788.30889999999999</v>
      </c>
      <c r="L2260" s="1" t="str">
        <f>HYPERLINK("http://ms.phosphosite.org:5080/cgi-bin/plot-msms.cgi?MassType=1&amp;NumAxis=1&amp;Mod5=170&amp;Mod9=147&amp;Mod16=147&amp;Mod20=147&amp;Pep=GPPSRGGHMDDGGYSMNFNMSS&amp;Dta=/var/www/html/dta/yong/23612.5045.3.dta&amp;Global_Mod=CS57.0215", "5045")</f>
        <v>5045</v>
      </c>
      <c r="M2260" s="1" t="str">
        <f>HYPERLINK("http://ms.phosphosite.org:5080/cgi-bin/plot-msms.cgi?MassType=1&amp;NumAxis=1&amp;Mod5=170&amp;Mod9=147&amp;Mod16=147&amp;Mod20=147&amp;Pep=GPPSRGGHMDDGGYSMNFNMSS&amp;Dta=/var/www/html/dta/yong/23613.5104.3.dta&amp;Global_Mod=CS57.0215", "5104")</f>
        <v>5104</v>
      </c>
      <c r="N2260" s="27">
        <v>25.96</v>
      </c>
      <c r="O2260" s="27">
        <v>26.01</v>
      </c>
      <c r="P2260" s="27">
        <v>2.2919999999999998</v>
      </c>
      <c r="Q2260" s="27">
        <v>2.3239999999999998</v>
      </c>
      <c r="R2260" s="27">
        <v>1.0002</v>
      </c>
      <c r="S2260" s="27">
        <v>0.88849999999999996</v>
      </c>
      <c r="T2260" s="27">
        <v>0.44230000000000003</v>
      </c>
      <c r="U2260" s="27">
        <v>0.38550000000000001</v>
      </c>
      <c r="V2260" s="1">
        <v>1</v>
      </c>
      <c r="W2260" s="1">
        <v>1</v>
      </c>
      <c r="X2260" s="27">
        <v>2.81</v>
      </c>
      <c r="Y2260" s="27">
        <v>2.44</v>
      </c>
      <c r="Z2260" s="28">
        <v>1000</v>
      </c>
      <c r="AA2260" s="28">
        <v>1000</v>
      </c>
      <c r="AB2260" s="1" t="s">
        <v>13</v>
      </c>
    </row>
    <row r="2261" spans="1:28">
      <c r="A2261" t="s">
        <v>773</v>
      </c>
      <c r="B2261" s="29" t="s">
        <v>3156</v>
      </c>
      <c r="C2261" s="26" t="s">
        <v>3156</v>
      </c>
      <c r="D2261" s="1">
        <v>125</v>
      </c>
      <c r="E2261" t="s">
        <v>3158</v>
      </c>
      <c r="F2261" s="3" t="s">
        <v>3159</v>
      </c>
      <c r="G2261" s="1">
        <v>42.3</v>
      </c>
      <c r="H2261" t="s">
        <v>3162</v>
      </c>
      <c r="I2261" t="s">
        <v>3167</v>
      </c>
      <c r="J2261" s="1">
        <v>3</v>
      </c>
      <c r="K2261" s="1">
        <v>788.30889999999999</v>
      </c>
      <c r="L2261" s="1" t="str">
        <f>HYPERLINK("http://ms.phosphosite.org:5080/cgi-bin/plot-msms.cgi?MassType=1&amp;NumAxis=1&amp;Mod5=170&amp;Mod9=147&amp;Mod16=147&amp;Mod20=147&amp;Pep=GPPSRGGHMDDGGYSMNFNMSS&amp;Dta=/var/www/html/dta/yong/23612.5106.3.dta&amp;Global_Mod=CS57.0215", "5106")</f>
        <v>5106</v>
      </c>
      <c r="M2261" s="1"/>
      <c r="N2261" s="27">
        <v>26.21</v>
      </c>
      <c r="O2261" s="27"/>
      <c r="P2261" s="27">
        <v>2.2050000000000001</v>
      </c>
      <c r="Q2261" s="27"/>
      <c r="R2261" s="27">
        <v>1.0979000000000001</v>
      </c>
      <c r="S2261" s="27"/>
      <c r="T2261" s="27">
        <v>0.23130000000000001</v>
      </c>
      <c r="U2261" s="27"/>
      <c r="V2261" s="1">
        <v>1</v>
      </c>
      <c r="W2261" s="1"/>
      <c r="X2261" s="27">
        <v>1.74</v>
      </c>
      <c r="Y2261" s="27"/>
      <c r="Z2261" s="28">
        <v>1000</v>
      </c>
      <c r="AA2261" s="28"/>
      <c r="AB2261" s="1" t="s">
        <v>13</v>
      </c>
    </row>
    <row r="2262" spans="1:28">
      <c r="A2262" t="s">
        <v>773</v>
      </c>
      <c r="B2262" s="29" t="s">
        <v>3156</v>
      </c>
      <c r="C2262" s="26" t="s">
        <v>3156</v>
      </c>
      <c r="D2262" s="1">
        <v>125</v>
      </c>
      <c r="E2262" t="s">
        <v>3158</v>
      </c>
      <c r="F2262" s="3" t="s">
        <v>3159</v>
      </c>
      <c r="G2262" s="1">
        <v>42.3</v>
      </c>
      <c r="H2262" t="s">
        <v>3162</v>
      </c>
      <c r="I2262" t="s">
        <v>3168</v>
      </c>
      <c r="J2262" s="1">
        <v>3</v>
      </c>
      <c r="K2262" s="1">
        <v>869.35329999999999</v>
      </c>
      <c r="L2262" s="1" t="str">
        <f>HYPERLINK("http://ms.phosphosite.org:5080/cgi-bin/plot-msms.cgi?MassType=1&amp;NumAxis=1&amp;Mod5=170&amp;Mod9=147&amp;Mod16=147&amp;Mod20=147&amp;Pep=GPPSRGGHMDDGGYSMNFNMSSSR&amp;Dta=/var/www/html/dta/yong/23612.4668.3.dta&amp;Global_Mod=CS57.0215", "4668")</f>
        <v>4668</v>
      </c>
      <c r="M2262" s="1" t="str">
        <f>HYPERLINK("http://ms.phosphosite.org:5080/cgi-bin/plot-msms.cgi?MassType=1&amp;NumAxis=1&amp;Mod5=170&amp;Mod9=147&amp;Mod16=147&amp;Mod20=147&amp;Pep=GPPSRGGHMDDGGYSMNFNMSSSR&amp;Dta=/var/www/html/dta/yong/23613.4719.3.dta&amp;Global_Mod=CS57.0215", "4719")</f>
        <v>4719</v>
      </c>
      <c r="N2262" s="27">
        <v>24.58</v>
      </c>
      <c r="O2262" s="27">
        <v>24.56</v>
      </c>
      <c r="P2262" s="27">
        <v>5.0179999999999998</v>
      </c>
      <c r="Q2262" s="27">
        <v>4.6740000000000004</v>
      </c>
      <c r="R2262" s="27">
        <v>0.70499999999999996</v>
      </c>
      <c r="S2262" s="27">
        <v>0.68540000000000001</v>
      </c>
      <c r="T2262" s="27">
        <v>0.46410000000000001</v>
      </c>
      <c r="U2262" s="27">
        <v>0.51849999999999996</v>
      </c>
      <c r="V2262" s="1">
        <v>1</v>
      </c>
      <c r="W2262" s="1">
        <v>1</v>
      </c>
      <c r="X2262" s="27">
        <v>3.43</v>
      </c>
      <c r="Y2262" s="27">
        <v>3.56</v>
      </c>
      <c r="Z2262" s="28">
        <v>1000</v>
      </c>
      <c r="AA2262" s="28">
        <v>1000</v>
      </c>
      <c r="AB2262" s="1" t="s">
        <v>13</v>
      </c>
    </row>
    <row r="2263" spans="1:28">
      <c r="A2263" t="s">
        <v>773</v>
      </c>
      <c r="B2263" s="29" t="s">
        <v>3156</v>
      </c>
      <c r="C2263" s="26" t="s">
        <v>3156</v>
      </c>
      <c r="D2263" s="1">
        <v>125</v>
      </c>
      <c r="E2263" t="s">
        <v>3158</v>
      </c>
      <c r="F2263" s="3" t="s">
        <v>3159</v>
      </c>
      <c r="G2263" s="1">
        <v>42.3</v>
      </c>
      <c r="H2263" t="s">
        <v>3162</v>
      </c>
      <c r="I2263" t="s">
        <v>3168</v>
      </c>
      <c r="J2263" s="1">
        <v>3</v>
      </c>
      <c r="K2263" s="1">
        <v>869.35329999999999</v>
      </c>
      <c r="L2263" s="1" t="str">
        <f>HYPERLINK("http://ms.phosphosite.org:5080/cgi-bin/plot-msms.cgi?MassType=1&amp;NumAxis=1&amp;Mod5=170&amp;Mod9=147&amp;Mod16=147&amp;Mod20=147&amp;Pep=GPPSRGGHMDDGGYSMNFNMSSSR&amp;Dta=/var/www/html/dta/yong/23612.4498.3.dta&amp;Global_Mod=CS57.0215", "4498")</f>
        <v>4498</v>
      </c>
      <c r="M2263" s="1" t="str">
        <f>HYPERLINK("http://ms.phosphosite.org:5080/cgi-bin/plot-msms.cgi?MassType=1&amp;NumAxis=1&amp;Mod5=170&amp;Mod9=147&amp;Mod16=147&amp;Mod20=147&amp;Pep=GPPSRGGHMDDGGYSMNFNMSSSR&amp;Dta=/var/www/html/dta/yong/23613.4348.3.dta&amp;Global_Mod=CS57.0215", "4348")</f>
        <v>4348</v>
      </c>
      <c r="N2263" s="27">
        <v>23.89</v>
      </c>
      <c r="O2263" s="27">
        <v>23.11</v>
      </c>
      <c r="P2263" s="27">
        <v>5.0549999999999997</v>
      </c>
      <c r="Q2263" s="27">
        <v>6.0789999999999997</v>
      </c>
      <c r="R2263" s="27">
        <v>1.101</v>
      </c>
      <c r="S2263" s="27">
        <v>1.3069</v>
      </c>
      <c r="T2263" s="27">
        <v>0.56830000000000003</v>
      </c>
      <c r="U2263" s="27">
        <v>0.49690000000000001</v>
      </c>
      <c r="V2263" s="1">
        <v>1</v>
      </c>
      <c r="W2263" s="1">
        <v>1</v>
      </c>
      <c r="X2263" s="27">
        <v>3.94</v>
      </c>
      <c r="Y2263" s="27">
        <v>3.71</v>
      </c>
      <c r="Z2263" s="28">
        <v>1000</v>
      </c>
      <c r="AA2263" s="28">
        <v>1000</v>
      </c>
      <c r="AB2263" s="1" t="s">
        <v>13</v>
      </c>
    </row>
    <row r="2264" spans="1:28">
      <c r="A2264" t="s">
        <v>773</v>
      </c>
      <c r="B2264" s="29" t="s">
        <v>3156</v>
      </c>
      <c r="C2264" s="26" t="s">
        <v>3156</v>
      </c>
      <c r="D2264" s="1">
        <v>125</v>
      </c>
      <c r="E2264" t="s">
        <v>3158</v>
      </c>
      <c r="F2264" s="3" t="s">
        <v>3159</v>
      </c>
      <c r="G2264" s="1">
        <v>42.3</v>
      </c>
      <c r="H2264" t="s">
        <v>3162</v>
      </c>
      <c r="I2264" t="s">
        <v>3168</v>
      </c>
      <c r="J2264" s="1">
        <v>3</v>
      </c>
      <c r="K2264" s="1">
        <v>869.35329999999999</v>
      </c>
      <c r="L2264" s="1" t="str">
        <f>HYPERLINK("http://ms.phosphosite.org:5080/cgi-bin/plot-msms.cgi?MassType=1&amp;NumAxis=1&amp;Mod5=170&amp;Mod9=147&amp;Mod16=147&amp;Mod20=147&amp;Pep=GPPSRGGHMDDGGYSMNFNMSSSR&amp;Dta=/var/www/html/dta/yong/23612.5336.3.dta&amp;Global_Mod=CS57.0215", "5336")</f>
        <v>5336</v>
      </c>
      <c r="M2264" s="1" t="str">
        <f>HYPERLINK("http://ms.phosphosite.org:5080/cgi-bin/plot-msms.cgi?MassType=1&amp;NumAxis=1&amp;Mod5=170&amp;Mod9=147&amp;Mod16=147&amp;Mod20=147&amp;Pep=GPPSRGGHMDDGGYSMNFNMSSSR&amp;Dta=/var/www/html/dta/yong/23613.5155.3.dta&amp;Global_Mod=CS57.0215", "5155")</f>
        <v>5155</v>
      </c>
      <c r="N2264" s="27">
        <v>27.11</v>
      </c>
      <c r="O2264" s="27">
        <v>26.22</v>
      </c>
      <c r="P2264" s="27">
        <v>5.0830000000000002</v>
      </c>
      <c r="Q2264" s="27">
        <v>4.827</v>
      </c>
      <c r="R2264" s="27">
        <v>0.38840000000000002</v>
      </c>
      <c r="S2264" s="27">
        <v>1.0947</v>
      </c>
      <c r="T2264" s="27">
        <v>0.51180000000000003</v>
      </c>
      <c r="U2264" s="27">
        <v>0.50229999999999997</v>
      </c>
      <c r="V2264" s="1">
        <v>1</v>
      </c>
      <c r="W2264" s="1">
        <v>2</v>
      </c>
      <c r="X2264" s="27">
        <v>3.7</v>
      </c>
      <c r="Y2264" s="27">
        <v>3.49</v>
      </c>
      <c r="Z2264" s="28">
        <v>1000</v>
      </c>
      <c r="AA2264" s="28">
        <v>1000</v>
      </c>
      <c r="AB2264" s="1" t="s">
        <v>13</v>
      </c>
    </row>
    <row r="2265" spans="1:28">
      <c r="A2265" t="s">
        <v>773</v>
      </c>
      <c r="B2265" s="29" t="s">
        <v>3156</v>
      </c>
      <c r="C2265" s="26" t="s">
        <v>3156</v>
      </c>
      <c r="D2265" s="1">
        <v>125</v>
      </c>
      <c r="E2265" t="s">
        <v>3158</v>
      </c>
      <c r="F2265" s="3" t="s">
        <v>3159</v>
      </c>
      <c r="G2265" s="1">
        <v>42.3</v>
      </c>
      <c r="H2265" t="s">
        <v>3162</v>
      </c>
      <c r="I2265" t="s">
        <v>3168</v>
      </c>
      <c r="J2265" s="1">
        <v>3</v>
      </c>
      <c r="K2265" s="1">
        <v>869.35329999999999</v>
      </c>
      <c r="L2265" s="1" t="str">
        <f>HYPERLINK("http://ms.phosphosite.org:5080/cgi-bin/plot-msms.cgi?MassType=1&amp;NumAxis=1&amp;Mod5=170&amp;Mod9=147&amp;Mod16=147&amp;Mod20=147&amp;Pep=GPPSRGGHMDDGGYSMNFNMSSSR&amp;Dta=/var/www/html/dta/yong/23612.4303.3.dta&amp;Global_Mod=CS57.0215", "4303")</f>
        <v>4303</v>
      </c>
      <c r="M2265" s="1" t="str">
        <f>HYPERLINK("http://ms.phosphosite.org:5080/cgi-bin/plot-msms.cgi?MassType=1&amp;NumAxis=1&amp;Mod5=170&amp;Mod9=147&amp;Mod16=147&amp;Mod20=147&amp;Pep=GPPSRGGHMDDGGYSMNFNMSSSR&amp;Dta=/var/www/html/dta/yong/23613.4510.3.dta&amp;Global_Mod=CS57.0215", "4510")</f>
        <v>4510</v>
      </c>
      <c r="N2265" s="27">
        <v>23.14</v>
      </c>
      <c r="O2265" s="27">
        <v>23.72</v>
      </c>
      <c r="P2265" s="27">
        <v>5.3920000000000003</v>
      </c>
      <c r="Q2265" s="27">
        <v>5.4580000000000002</v>
      </c>
      <c r="R2265" s="27">
        <v>1.1805000000000001</v>
      </c>
      <c r="S2265" s="27">
        <v>1.1295999999999999</v>
      </c>
      <c r="T2265" s="27">
        <v>0.55769999999999997</v>
      </c>
      <c r="U2265" s="27">
        <v>0.51929999999999998</v>
      </c>
      <c r="V2265" s="1">
        <v>1</v>
      </c>
      <c r="W2265" s="1">
        <v>1</v>
      </c>
      <c r="X2265" s="27">
        <v>3.95</v>
      </c>
      <c r="Y2265" s="27">
        <v>3.71</v>
      </c>
      <c r="Z2265" s="28">
        <v>1000</v>
      </c>
      <c r="AA2265" s="28">
        <v>1000</v>
      </c>
      <c r="AB2265" s="1" t="s">
        <v>13</v>
      </c>
    </row>
    <row r="2266" spans="1:28">
      <c r="A2266" t="s">
        <v>773</v>
      </c>
      <c r="B2266" s="29" t="s">
        <v>3156</v>
      </c>
      <c r="C2266" s="26" t="s">
        <v>3156</v>
      </c>
      <c r="D2266" s="1">
        <v>125</v>
      </c>
      <c r="E2266" t="s">
        <v>3158</v>
      </c>
      <c r="F2266" s="3" t="s">
        <v>3159</v>
      </c>
      <c r="G2266" s="1">
        <v>42.3</v>
      </c>
      <c r="H2266" t="s">
        <v>3162</v>
      </c>
      <c r="I2266" t="s">
        <v>3168</v>
      </c>
      <c r="J2266" s="1">
        <v>3</v>
      </c>
      <c r="K2266" s="1">
        <v>869.35329999999999</v>
      </c>
      <c r="L2266" s="1" t="str">
        <f>HYPERLINK("http://ms.phosphosite.org:5080/cgi-bin/plot-msms.cgi?MassType=1&amp;NumAxis=1&amp;Mod5=170&amp;Mod9=147&amp;Mod16=147&amp;Mod20=147&amp;Pep=GPPSRGGHMDDGGYSMNFNMSSSR&amp;Dta=/var/www/html/dta/yong/23612.4294.3.dta&amp;Global_Mod=CS57.0215", "4294")</f>
        <v>4294</v>
      </c>
      <c r="M2266" s="1" t="str">
        <f>HYPERLINK("http://ms.phosphosite.org:5080/cgi-bin/plot-msms.cgi?MassType=1&amp;NumAxis=1&amp;Mod5=170&amp;Mod9=147&amp;Mod16=147&amp;Mod20=147&amp;Pep=GPPSRGGHMDDGGYSMNFNMSSSR&amp;Dta=/var/www/html/dta/yong/23613.4527.3.dta&amp;Global_Mod=CS57.0215", "4527")</f>
        <v>4527</v>
      </c>
      <c r="N2266" s="27">
        <v>23.11</v>
      </c>
      <c r="O2266" s="27">
        <v>23.79</v>
      </c>
      <c r="P2266" s="27">
        <v>5.5010000000000003</v>
      </c>
      <c r="Q2266" s="27">
        <v>5.53</v>
      </c>
      <c r="R2266" s="27">
        <v>1.2244999999999999</v>
      </c>
      <c r="S2266" s="27">
        <v>1.0621</v>
      </c>
      <c r="T2266" s="27">
        <v>0.53380000000000005</v>
      </c>
      <c r="U2266" s="27">
        <v>0.55889999999999995</v>
      </c>
      <c r="V2266" s="1">
        <v>1</v>
      </c>
      <c r="W2266" s="1">
        <v>1</v>
      </c>
      <c r="X2266" s="27">
        <v>3.85</v>
      </c>
      <c r="Y2266" s="27">
        <v>3.92</v>
      </c>
      <c r="Z2266" s="28">
        <v>1000</v>
      </c>
      <c r="AA2266" s="28">
        <v>1000</v>
      </c>
      <c r="AB2266" s="1" t="s">
        <v>13</v>
      </c>
    </row>
    <row r="2267" spans="1:28">
      <c r="A2267" t="s">
        <v>773</v>
      </c>
      <c r="B2267" s="29" t="s">
        <v>3156</v>
      </c>
      <c r="C2267" s="26" t="s">
        <v>3156</v>
      </c>
      <c r="D2267" s="1">
        <v>125</v>
      </c>
      <c r="E2267" t="s">
        <v>3158</v>
      </c>
      <c r="F2267" s="3" t="s">
        <v>3159</v>
      </c>
      <c r="G2267" s="1">
        <v>42.3</v>
      </c>
      <c r="H2267" t="s">
        <v>3162</v>
      </c>
      <c r="I2267" t="s">
        <v>3168</v>
      </c>
      <c r="J2267" s="1">
        <v>3</v>
      </c>
      <c r="K2267" s="1">
        <v>869.35329999999999</v>
      </c>
      <c r="L2267" s="1" t="str">
        <f>HYPERLINK("http://ms.phosphosite.org:5080/cgi-bin/plot-msms.cgi?MassType=1&amp;NumAxis=1&amp;Mod5=170&amp;Mod9=147&amp;Mod16=147&amp;Mod20=147&amp;Pep=GPPSRGGHMDDGGYSMNFNMSSSR&amp;Dta=/var/www/html/dta/yong/23612.4446.3.dta&amp;Global_Mod=CS57.0215", "4446")</f>
        <v>4446</v>
      </c>
      <c r="M2267" s="1" t="str">
        <f>HYPERLINK("http://ms.phosphosite.org:5080/cgi-bin/plot-msms.cgi?MassType=1&amp;NumAxis=1&amp;Mod5=170&amp;Mod9=147&amp;Mod16=147&amp;Mod20=147&amp;Pep=GPPSRGGHMDDGGYSMNFNMSSSR&amp;Dta=/var/www/html/dta/yong/23613.5071.3.dta&amp;Global_Mod=CS57.0215", "5071")</f>
        <v>5071</v>
      </c>
      <c r="N2267" s="27">
        <v>23.67</v>
      </c>
      <c r="O2267" s="27">
        <v>25.89</v>
      </c>
      <c r="P2267" s="27">
        <v>5.6079999999999997</v>
      </c>
      <c r="Q2267" s="27">
        <v>3.2890000000000001</v>
      </c>
      <c r="R2267" s="27">
        <v>1.1586000000000001</v>
      </c>
      <c r="S2267" s="27">
        <v>0.51239999999999997</v>
      </c>
      <c r="T2267" s="27">
        <v>0.53700000000000003</v>
      </c>
      <c r="U2267" s="27">
        <v>0.21160000000000001</v>
      </c>
      <c r="V2267" s="1">
        <v>1</v>
      </c>
      <c r="W2267" s="1">
        <v>1</v>
      </c>
      <c r="X2267" s="27">
        <v>3.89</v>
      </c>
      <c r="Y2267" s="27">
        <v>1.78</v>
      </c>
      <c r="Z2267" s="28">
        <v>1000</v>
      </c>
      <c r="AA2267" s="28">
        <v>1000</v>
      </c>
      <c r="AB2267" s="1" t="s">
        <v>13</v>
      </c>
    </row>
    <row r="2268" spans="1:28">
      <c r="A2268" t="s">
        <v>773</v>
      </c>
      <c r="B2268" s="29" t="s">
        <v>3156</v>
      </c>
      <c r="C2268" s="26" t="s">
        <v>3156</v>
      </c>
      <c r="D2268" s="1">
        <v>125</v>
      </c>
      <c r="E2268" t="s">
        <v>3158</v>
      </c>
      <c r="F2268" s="3" t="s">
        <v>3159</v>
      </c>
      <c r="G2268" s="1">
        <v>42.3</v>
      </c>
      <c r="H2268" t="s">
        <v>3162</v>
      </c>
      <c r="I2268" t="s">
        <v>3168</v>
      </c>
      <c r="J2268" s="1">
        <v>3</v>
      </c>
      <c r="K2268" s="1">
        <v>869.35329999999999</v>
      </c>
      <c r="L2268" s="1" t="str">
        <f>HYPERLINK("http://ms.phosphosite.org:5080/cgi-bin/plot-msms.cgi?MassType=1&amp;NumAxis=1&amp;Mod5=170&amp;Mod9=147&amp;Mod16=147&amp;Mod20=147&amp;Pep=GPPSRGGHMDDGGYSMNFNMSSSR&amp;Dta=/var/www/html/dta/yong/23612.4651.3.dta&amp;Global_Mod=CS57.0215", "4651")</f>
        <v>4651</v>
      </c>
      <c r="M2268" s="1"/>
      <c r="N2268" s="27">
        <v>24.51</v>
      </c>
      <c r="O2268" s="27"/>
      <c r="P2268" s="27">
        <v>6.0250000000000004</v>
      </c>
      <c r="Q2268" s="27"/>
      <c r="R2268" s="27">
        <v>0.71179999999999999</v>
      </c>
      <c r="S2268" s="27"/>
      <c r="T2268" s="27">
        <v>0.56289999999999996</v>
      </c>
      <c r="U2268" s="27"/>
      <c r="V2268" s="1">
        <v>1</v>
      </c>
      <c r="W2268" s="1"/>
      <c r="X2268" s="27">
        <v>4.12</v>
      </c>
      <c r="Y2268" s="27"/>
      <c r="Z2268" s="28">
        <v>1000</v>
      </c>
      <c r="AA2268" s="28"/>
      <c r="AB2268" s="1" t="s">
        <v>13</v>
      </c>
    </row>
    <row r="2269" spans="1:28">
      <c r="A2269" t="s">
        <v>773</v>
      </c>
      <c r="B2269" s="29" t="s">
        <v>3156</v>
      </c>
      <c r="C2269" s="26" t="s">
        <v>3156</v>
      </c>
      <c r="D2269" s="1">
        <v>125</v>
      </c>
      <c r="E2269" t="s">
        <v>3158</v>
      </c>
      <c r="F2269" s="3" t="s">
        <v>3159</v>
      </c>
      <c r="G2269" s="1">
        <v>42.3</v>
      </c>
      <c r="H2269" t="s">
        <v>3162</v>
      </c>
      <c r="I2269" t="s">
        <v>3168</v>
      </c>
      <c r="J2269" s="1">
        <v>4</v>
      </c>
      <c r="K2269" s="1">
        <v>652.26679999999999</v>
      </c>
      <c r="L2269" s="1" t="str">
        <f>HYPERLINK("http://ms.phosphosite.org:5080/cgi-bin/plot-msms.cgi?MassType=1&amp;NumAxis=1&amp;Mod5=170&amp;Mod9=147&amp;Mod16=147&amp;Mod20=147&amp;Pep=GPPSRGGHMDDGGYSMNFNMSSSR&amp;Dta=/var/www/html/dta/yong/23612.4289.4.dta&amp;Global_Mod=CS57.0215", "4289")</f>
        <v>4289</v>
      </c>
      <c r="M2269" s="1" t="str">
        <f>HYPERLINK("http://ms.phosphosite.org:5080/cgi-bin/plot-msms.cgi?MassType=1&amp;NumAxis=1&amp;Mod5=170&amp;Mod9=147&amp;Mod16=147&amp;Mod20=147&amp;Pep=GPPSRGGHMDDGGYSMNFNMSSSR&amp;Dta=/var/www/html/dta/yong/23613.4327.4.dta&amp;Global_Mod=CS57.0215", "4327")</f>
        <v>4327</v>
      </c>
      <c r="N2269" s="27">
        <v>23.09</v>
      </c>
      <c r="O2269" s="27">
        <v>23.02</v>
      </c>
      <c r="P2269" s="27">
        <v>3.484</v>
      </c>
      <c r="Q2269" s="27">
        <v>3.2509999999999999</v>
      </c>
      <c r="R2269" s="27">
        <v>0.6462</v>
      </c>
      <c r="S2269" s="27">
        <v>0.80620000000000003</v>
      </c>
      <c r="T2269" s="27">
        <v>0.26910000000000001</v>
      </c>
      <c r="U2269" s="27">
        <v>0.31559999999999999</v>
      </c>
      <c r="V2269" s="1">
        <v>3</v>
      </c>
      <c r="W2269" s="1">
        <v>16</v>
      </c>
      <c r="X2269" s="27">
        <v>2.23</v>
      </c>
      <c r="Y2269" s="27">
        <v>2.2999999999999998</v>
      </c>
      <c r="Z2269" s="28">
        <v>1000</v>
      </c>
      <c r="AA2269" s="28">
        <v>1000</v>
      </c>
      <c r="AB2269" s="1" t="s">
        <v>13</v>
      </c>
    </row>
    <row r="2270" spans="1:28">
      <c r="A2270" t="s">
        <v>773</v>
      </c>
      <c r="B2270" s="29" t="s">
        <v>3156</v>
      </c>
      <c r="C2270" s="26" t="s">
        <v>3156</v>
      </c>
      <c r="D2270" s="1">
        <v>125</v>
      </c>
      <c r="E2270" t="s">
        <v>3158</v>
      </c>
      <c r="F2270" s="3" t="s">
        <v>3159</v>
      </c>
      <c r="G2270" s="1">
        <v>42.3</v>
      </c>
      <c r="H2270" t="s">
        <v>3162</v>
      </c>
      <c r="I2270" t="s">
        <v>3168</v>
      </c>
      <c r="J2270" s="1">
        <v>4</v>
      </c>
      <c r="K2270" s="1">
        <v>652.26679999999999</v>
      </c>
      <c r="L2270" s="1" t="str">
        <f>HYPERLINK("http://ms.phosphosite.org:5080/cgi-bin/plot-msms.cgi?MassType=1&amp;NumAxis=1&amp;Mod5=170&amp;Mod9=147&amp;Mod16=147&amp;Mod20=147&amp;Pep=GPPSRGGHMDDGGYSMNFNMSSSR&amp;Dta=/var/www/html/dta/yong/23612.4789.4.dta&amp;Global_Mod=CS57.0215", "4789")</f>
        <v>4789</v>
      </c>
      <c r="M2270" s="1" t="str">
        <f>HYPERLINK("http://ms.phosphosite.org:5080/cgi-bin/plot-msms.cgi?MassType=1&amp;NumAxis=1&amp;Mod5=170&amp;Mod9=147&amp;Mod16=147&amp;Mod20=147&amp;Pep=GPPSRGGHMDDGGYSMNFNMSSSR&amp;Dta=/var/www/html/dta/yong/23613.5419.4.dta&amp;Global_Mod=CS57.0215", "5419")</f>
        <v>5419</v>
      </c>
      <c r="N2270" s="27">
        <v>25.03</v>
      </c>
      <c r="O2270" s="27">
        <v>27.23</v>
      </c>
      <c r="P2270" s="27">
        <v>3.113</v>
      </c>
      <c r="Q2270" s="27">
        <v>2.8519999999999999</v>
      </c>
      <c r="R2270" s="27">
        <v>-0.72219999999999995</v>
      </c>
      <c r="S2270" s="27">
        <v>0.33829999999999999</v>
      </c>
      <c r="T2270" s="27">
        <v>0.22439999999999999</v>
      </c>
      <c r="U2270" s="27">
        <v>0.24590000000000001</v>
      </c>
      <c r="V2270" s="1">
        <v>2</v>
      </c>
      <c r="W2270" s="1">
        <v>41</v>
      </c>
      <c r="X2270" s="27">
        <v>1.9</v>
      </c>
      <c r="Y2270" s="27">
        <v>1.88</v>
      </c>
      <c r="Z2270" s="28">
        <v>1000</v>
      </c>
      <c r="AA2270" s="28">
        <v>1000</v>
      </c>
      <c r="AB2270" s="1" t="s">
        <v>13</v>
      </c>
    </row>
    <row r="2271" spans="1:28">
      <c r="A2271" t="s">
        <v>773</v>
      </c>
      <c r="B2271" s="29" t="s">
        <v>3156</v>
      </c>
      <c r="C2271" s="26" t="s">
        <v>3156</v>
      </c>
      <c r="D2271" s="1">
        <v>125</v>
      </c>
      <c r="E2271" t="s">
        <v>3158</v>
      </c>
      <c r="F2271" s="3" t="s">
        <v>3159</v>
      </c>
      <c r="G2271" s="1">
        <v>42.3</v>
      </c>
      <c r="H2271" t="s">
        <v>3162</v>
      </c>
      <c r="I2271" t="s">
        <v>3168</v>
      </c>
      <c r="J2271" s="1">
        <v>4</v>
      </c>
      <c r="K2271" s="1">
        <v>652.26679999999999</v>
      </c>
      <c r="L2271" s="1" t="str">
        <f>HYPERLINK("http://ms.phosphosite.org:5080/cgi-bin/plot-msms.cgi?MassType=1&amp;NumAxis=1&amp;Mod5=170&amp;Mod9=147&amp;Mod16=147&amp;Mod20=147&amp;Pep=GPPSRGGHMDDGGYSMNFNMSSSR&amp;Dta=/var/www/html/dta/yong/23612.4640.4.dta&amp;Global_Mod=CS57.0215", "4640")</f>
        <v>4640</v>
      </c>
      <c r="M2271" s="1" t="str">
        <f>HYPERLINK("http://ms.phosphosite.org:5080/cgi-bin/plot-msms.cgi?MassType=1&amp;NumAxis=1&amp;Mod5=170&amp;Mod9=147&amp;Mod16=147&amp;Mod20=147&amp;Pep=GPPSRGGHMDDGGYSMNFNMSSSR&amp;Dta=/var/www/html/dta/yong/23613.4341.4.dta&amp;Global_Mod=CS57.0215", "4341")</f>
        <v>4341</v>
      </c>
      <c r="N2271" s="27">
        <v>24.47</v>
      </c>
      <c r="O2271" s="27">
        <v>23.08</v>
      </c>
      <c r="P2271" s="27">
        <v>2.9710000000000001</v>
      </c>
      <c r="Q2271" s="27">
        <v>3.3540000000000001</v>
      </c>
      <c r="R2271" s="27">
        <v>0.7702</v>
      </c>
      <c r="S2271" s="27">
        <v>0.76339999999999997</v>
      </c>
      <c r="T2271" s="27">
        <v>0.29399999999999998</v>
      </c>
      <c r="U2271" s="27">
        <v>0.25090000000000001</v>
      </c>
      <c r="V2271" s="1">
        <v>19</v>
      </c>
      <c r="W2271" s="1">
        <v>5</v>
      </c>
      <c r="X2271" s="27">
        <v>2.2400000000000002</v>
      </c>
      <c r="Y2271" s="27">
        <v>2.0099999999999998</v>
      </c>
      <c r="Z2271" s="28">
        <v>1000</v>
      </c>
      <c r="AA2271" s="28">
        <v>1000</v>
      </c>
      <c r="AB2271" s="1" t="s">
        <v>13</v>
      </c>
    </row>
    <row r="2272" spans="1:28">
      <c r="A2272" t="s">
        <v>773</v>
      </c>
      <c r="B2272" s="29" t="s">
        <v>3156</v>
      </c>
      <c r="C2272" s="26" t="s">
        <v>3156</v>
      </c>
      <c r="D2272" s="1">
        <v>125</v>
      </c>
      <c r="E2272" t="s">
        <v>3158</v>
      </c>
      <c r="F2272" s="3" t="s">
        <v>3159</v>
      </c>
      <c r="G2272" s="1">
        <v>42.3</v>
      </c>
      <c r="H2272" t="s">
        <v>3162</v>
      </c>
      <c r="I2272" t="s">
        <v>3168</v>
      </c>
      <c r="J2272" s="1">
        <v>4</v>
      </c>
      <c r="K2272" s="1">
        <v>652.26679999999999</v>
      </c>
      <c r="L2272" s="1" t="str">
        <f>HYPERLINK("http://ms.phosphosite.org:5080/cgi-bin/plot-msms.cgi?MassType=1&amp;NumAxis=1&amp;Mod5=170&amp;Mod9=147&amp;Mod16=147&amp;Mod20=147&amp;Pep=GPPSRGGHMDDGGYSMNFNMSSSR&amp;Dta=/var/www/html/dta/yong/23612.4460.4.dta&amp;Global_Mod=CS57.0215", "4460")</f>
        <v>4460</v>
      </c>
      <c r="M2272" s="1" t="str">
        <f>HYPERLINK("http://ms.phosphosite.org:5080/cgi-bin/plot-msms.cgi?MassType=1&amp;NumAxis=1&amp;Mod5=170&amp;Mod9=147&amp;Mod16=147&amp;Mod20=147&amp;Pep=GPPSRGGHMDDGGYSMNFNMSSSR&amp;Dta=/var/www/html/dta/yong/23613.5390.4.dta&amp;Global_Mod=CS57.0215", "5390")</f>
        <v>5390</v>
      </c>
      <c r="N2272" s="27">
        <v>23.73</v>
      </c>
      <c r="O2272" s="27">
        <v>27.12</v>
      </c>
      <c r="P2272" s="27">
        <v>2.6560000000000001</v>
      </c>
      <c r="Q2272" s="27">
        <v>3.0819999999999999</v>
      </c>
      <c r="R2272" s="27">
        <v>0.65800000000000003</v>
      </c>
      <c r="S2272" s="27">
        <v>0.35880000000000001</v>
      </c>
      <c r="T2272" s="27">
        <v>2.9100000000000001E-2</v>
      </c>
      <c r="U2272" s="27">
        <v>0.31119999999999998</v>
      </c>
      <c r="V2272" s="1">
        <v>5</v>
      </c>
      <c r="W2272" s="1">
        <v>16</v>
      </c>
      <c r="X2272" s="27">
        <v>0.89</v>
      </c>
      <c r="Y2272" s="27">
        <v>2.2599999999999998</v>
      </c>
      <c r="Z2272" s="28">
        <v>1000</v>
      </c>
      <c r="AA2272" s="28">
        <v>1000</v>
      </c>
      <c r="AB2272" s="1" t="s">
        <v>13</v>
      </c>
    </row>
    <row r="2273" spans="1:28">
      <c r="A2273" t="s">
        <v>773</v>
      </c>
      <c r="B2273" s="29" t="s">
        <v>3156</v>
      </c>
      <c r="C2273" s="26" t="s">
        <v>3156</v>
      </c>
      <c r="D2273" s="1">
        <v>125</v>
      </c>
      <c r="E2273" t="s">
        <v>3158</v>
      </c>
      <c r="F2273" s="3" t="s">
        <v>3159</v>
      </c>
      <c r="G2273" s="1">
        <v>42.3</v>
      </c>
      <c r="H2273" t="s">
        <v>3162</v>
      </c>
      <c r="I2273" t="s">
        <v>3168</v>
      </c>
      <c r="J2273" s="1">
        <v>4</v>
      </c>
      <c r="K2273" s="1">
        <v>652.26679999999999</v>
      </c>
      <c r="L2273" s="1"/>
      <c r="M2273" s="1" t="str">
        <f>HYPERLINK("http://ms.phosphosite.org:5080/cgi-bin/plot-msms.cgi?MassType=1&amp;NumAxis=1&amp;Mod5=170&amp;Mod9=147&amp;Mod16=147&amp;Mod20=147&amp;Pep=GPPSRGGHMDDGGYSMNFNMSSSR&amp;Dta=/var/www/html/dta/yong/23613.4521.4.dta&amp;Global_Mod=CS57.0215", "4521")</f>
        <v>4521</v>
      </c>
      <c r="N2273" s="27"/>
      <c r="O2273" s="27">
        <v>23.76</v>
      </c>
      <c r="P2273" s="27"/>
      <c r="Q2273" s="27">
        <v>3.0529999999999999</v>
      </c>
      <c r="R2273" s="27"/>
      <c r="S2273" s="27">
        <v>0.71530000000000005</v>
      </c>
      <c r="T2273" s="27"/>
      <c r="U2273" s="27">
        <v>0.19</v>
      </c>
      <c r="V2273" s="1"/>
      <c r="W2273" s="1">
        <v>3</v>
      </c>
      <c r="X2273" s="27"/>
      <c r="Y2273" s="27">
        <v>1.65</v>
      </c>
      <c r="Z2273" s="28"/>
      <c r="AA2273" s="28">
        <v>1000</v>
      </c>
      <c r="AB2273" s="1" t="s">
        <v>13</v>
      </c>
    </row>
    <row r="2274" spans="1:28">
      <c r="A2274" t="s">
        <v>773</v>
      </c>
      <c r="B2274" s="29" t="s">
        <v>3156</v>
      </c>
      <c r="C2274" s="26" t="s">
        <v>3156</v>
      </c>
      <c r="D2274" s="1">
        <v>125</v>
      </c>
      <c r="E2274" t="s">
        <v>3158</v>
      </c>
      <c r="F2274" s="3" t="s">
        <v>3159</v>
      </c>
      <c r="G2274" s="1">
        <v>42.3</v>
      </c>
      <c r="H2274" t="s">
        <v>3162</v>
      </c>
      <c r="I2274" t="s">
        <v>3169</v>
      </c>
      <c r="J2274" s="1">
        <v>3</v>
      </c>
      <c r="K2274" s="1">
        <v>864.02160000000003</v>
      </c>
      <c r="L2274" s="1" t="str">
        <f>HYPERLINK("http://ms.phosphosite.org:5080/cgi-bin/plot-msms.cgi?MassType=1&amp;NumAxis=1&amp;Mod5=170&amp;Mod9=147&amp;Mod16=147&amp;Pep=GPPSRGGHMDDGGYSMNFNMSSSR&amp;Dta=/var/www/html/dta/yong/23612.6074.3.dta&amp;Global_Mod=CS57.0215", "6074")</f>
        <v>6074</v>
      </c>
      <c r="M2274" s="1" t="str">
        <f>HYPERLINK("http://ms.phosphosite.org:5080/cgi-bin/plot-msms.cgi?MassType=1&amp;NumAxis=1&amp;Mod5=170&amp;Mod9=147&amp;Mod16=147&amp;Pep=GPPSRGGHMDDGGYSMNFNMSSSR&amp;Dta=/var/www/html/dta/yong/23613.6181.3.dta&amp;Global_Mod=CS57.0215", "6181")</f>
        <v>6181</v>
      </c>
      <c r="N2274" s="27">
        <v>29.86</v>
      </c>
      <c r="O2274" s="27">
        <v>30.06</v>
      </c>
      <c r="P2274" s="27">
        <v>5.1660000000000004</v>
      </c>
      <c r="Q2274" s="27">
        <v>5.7370000000000001</v>
      </c>
      <c r="R2274" s="27">
        <v>1.1808000000000001</v>
      </c>
      <c r="S2274" s="27">
        <v>1.6015999999999999</v>
      </c>
      <c r="T2274" s="27">
        <v>0.59109999999999996</v>
      </c>
      <c r="U2274" s="27">
        <v>0.61060000000000003</v>
      </c>
      <c r="V2274" s="1">
        <v>1</v>
      </c>
      <c r="W2274" s="1">
        <v>1</v>
      </c>
      <c r="X2274" s="27">
        <v>4.07</v>
      </c>
      <c r="Y2274" s="27">
        <v>4.1900000000000004</v>
      </c>
      <c r="Z2274" s="28">
        <v>1000</v>
      </c>
      <c r="AA2274" s="28">
        <v>1000</v>
      </c>
      <c r="AB2274" s="1" t="s">
        <v>13</v>
      </c>
    </row>
    <row r="2275" spans="1:28">
      <c r="A2275" t="s">
        <v>773</v>
      </c>
      <c r="B2275" s="29" t="s">
        <v>3156</v>
      </c>
      <c r="C2275" s="26" t="s">
        <v>3156</v>
      </c>
      <c r="D2275" s="1">
        <v>125</v>
      </c>
      <c r="E2275" t="s">
        <v>3158</v>
      </c>
      <c r="F2275" s="3" t="s">
        <v>3159</v>
      </c>
      <c r="G2275" s="1">
        <v>42.3</v>
      </c>
      <c r="H2275" t="s">
        <v>3162</v>
      </c>
      <c r="I2275" t="s">
        <v>3169</v>
      </c>
      <c r="J2275" s="1">
        <v>3</v>
      </c>
      <c r="K2275" s="1">
        <v>864.02160000000003</v>
      </c>
      <c r="L2275" s="1" t="str">
        <f>HYPERLINK("http://ms.phosphosite.org:5080/cgi-bin/plot-msms.cgi?MassType=1&amp;NumAxis=1&amp;Mod5=170&amp;Mod9=147&amp;Mod16=147&amp;Pep=GPPSRGGHMDDGGYSMNFNMSSSR&amp;Dta=/var/www/html/dta/yong/23612.6179.3.dta&amp;Global_Mod=CS57.0215", "6179")</f>
        <v>6179</v>
      </c>
      <c r="M2275" s="1" t="str">
        <f>HYPERLINK("http://ms.phosphosite.org:5080/cgi-bin/plot-msms.cgi?MassType=1&amp;NumAxis=1&amp;Mod5=170&amp;Mod9=147&amp;Mod16=147&amp;Pep=GPPSRGGHMDDGGYSMNFNMSSSR&amp;Dta=/var/www/html/dta/yong/23613.6114.3.dta&amp;Global_Mod=CS57.0215", "6114")</f>
        <v>6114</v>
      </c>
      <c r="N2275" s="27">
        <v>30.24</v>
      </c>
      <c r="O2275" s="27">
        <v>29.82</v>
      </c>
      <c r="P2275" s="27">
        <v>4.8659999999999997</v>
      </c>
      <c r="Q2275" s="27">
        <v>5.5069999999999997</v>
      </c>
      <c r="R2275" s="27">
        <v>-0.27760000000000001</v>
      </c>
      <c r="S2275" s="27">
        <v>1.6015999999999999</v>
      </c>
      <c r="T2275" s="27">
        <v>0.53310000000000002</v>
      </c>
      <c r="U2275" s="27">
        <v>0.58409999999999995</v>
      </c>
      <c r="V2275" s="1">
        <v>2</v>
      </c>
      <c r="W2275" s="1">
        <v>2</v>
      </c>
      <c r="X2275" s="27">
        <v>3.73</v>
      </c>
      <c r="Y2275" s="27">
        <v>4.01</v>
      </c>
      <c r="Z2275" s="28">
        <v>1000</v>
      </c>
      <c r="AA2275" s="28">
        <v>1000</v>
      </c>
      <c r="AB2275" s="1" t="s">
        <v>13</v>
      </c>
    </row>
    <row r="2276" spans="1:28">
      <c r="A2276" t="s">
        <v>773</v>
      </c>
      <c r="B2276" s="29" t="s">
        <v>3156</v>
      </c>
      <c r="C2276" s="26" t="s">
        <v>3156</v>
      </c>
      <c r="D2276" s="1">
        <v>125</v>
      </c>
      <c r="E2276" t="s">
        <v>3158</v>
      </c>
      <c r="F2276" s="3" t="s">
        <v>3159</v>
      </c>
      <c r="G2276" s="1">
        <v>42.3</v>
      </c>
      <c r="H2276" t="s">
        <v>3162</v>
      </c>
      <c r="I2276" t="s">
        <v>3169</v>
      </c>
      <c r="J2276" s="1">
        <v>4</v>
      </c>
      <c r="K2276" s="1">
        <v>648.2681</v>
      </c>
      <c r="L2276" s="1" t="str">
        <f>HYPERLINK("http://ms.phosphosite.org:5080/cgi-bin/plot-msms.cgi?MassType=1&amp;NumAxis=1&amp;Mod5=170&amp;Mod9=147&amp;Mod16=147&amp;Pep=GPPSRGGHMDDGGYSMNFNMSSSR&amp;Dta=/var/www/html/dta/yong/23612.6055.4.dta&amp;Global_Mod=CS57.0215", "6055")</f>
        <v>6055</v>
      </c>
      <c r="M2276" s="1" t="str">
        <f>HYPERLINK("http://ms.phosphosite.org:5080/cgi-bin/plot-msms.cgi?MassType=1&amp;NumAxis=1&amp;Mod5=170&amp;Mod9=147&amp;Mod16=147&amp;Pep=GPPSRGGHMDDGGYSMNFNMSSSR&amp;Dta=/var/www/html/dta/yong/23613.6210.4.dta&amp;Global_Mod=CS57.0215", "6210")</f>
        <v>6210</v>
      </c>
      <c r="N2276" s="27">
        <v>29.79</v>
      </c>
      <c r="O2276" s="27">
        <v>30.16</v>
      </c>
      <c r="P2276" s="27">
        <v>3.2250000000000001</v>
      </c>
      <c r="Q2276" s="27">
        <v>2.5409999999999999</v>
      </c>
      <c r="R2276" s="27">
        <v>1.3875999999999999</v>
      </c>
      <c r="S2276" s="27">
        <v>1.1535</v>
      </c>
      <c r="T2276" s="27">
        <v>0.37390000000000001</v>
      </c>
      <c r="U2276" s="27">
        <v>0.1749</v>
      </c>
      <c r="V2276" s="1">
        <v>1</v>
      </c>
      <c r="W2276" s="1">
        <v>16</v>
      </c>
      <c r="X2276" s="27">
        <v>2.67</v>
      </c>
      <c r="Y2276" s="27">
        <v>1.45</v>
      </c>
      <c r="Z2276" s="28">
        <v>1000</v>
      </c>
      <c r="AA2276" s="28">
        <v>1000</v>
      </c>
      <c r="AB2276" s="1" t="s">
        <v>13</v>
      </c>
    </row>
    <row r="2277" spans="1:28">
      <c r="A2277" t="s">
        <v>773</v>
      </c>
      <c r="B2277" s="29" t="s">
        <v>3156</v>
      </c>
      <c r="C2277" s="26" t="s">
        <v>3156</v>
      </c>
      <c r="D2277" s="1">
        <v>125</v>
      </c>
      <c r="E2277" t="s">
        <v>3158</v>
      </c>
      <c r="F2277" s="3" t="s">
        <v>3159</v>
      </c>
      <c r="G2277" s="1">
        <v>42.3</v>
      </c>
      <c r="H2277" t="s">
        <v>3162</v>
      </c>
      <c r="I2277" t="s">
        <v>3169</v>
      </c>
      <c r="J2277" s="1">
        <v>4</v>
      </c>
      <c r="K2277" s="1">
        <v>648.2681</v>
      </c>
      <c r="L2277" s="1" t="str">
        <f>HYPERLINK("http://ms.phosphosite.org:5080/cgi-bin/plot-msms.cgi?MassType=1&amp;NumAxis=1&amp;Mod5=170&amp;Mod9=147&amp;Mod16=147&amp;Pep=GPPSRGGHMDDGGYSMNFNMSSSR&amp;Dta=/var/www/html/dta/yong/23612.6203.4.dta&amp;Global_Mod=CS57.0215", "6203")</f>
        <v>6203</v>
      </c>
      <c r="M2277" s="1" t="str">
        <f>HYPERLINK("http://ms.phosphosite.org:5080/cgi-bin/plot-msms.cgi?MassType=1&amp;NumAxis=1&amp;Mod5=170&amp;Mod9=147&amp;Mod16=147&amp;Pep=GPPSRGGHMDDGGYSMNFNMSSSR&amp;Dta=/var/www/html/dta/yong/23613.6089.4.dta&amp;Global_Mod=CS57.0215", "6089")</f>
        <v>6089</v>
      </c>
      <c r="N2277" s="27">
        <v>30.32</v>
      </c>
      <c r="O2277" s="27">
        <v>29.74</v>
      </c>
      <c r="P2277" s="27">
        <v>2.5219999999999998</v>
      </c>
      <c r="Q2277" s="27">
        <v>3.2149999999999999</v>
      </c>
      <c r="R2277" s="27">
        <v>1.4167000000000001</v>
      </c>
      <c r="S2277" s="27">
        <v>1.0901000000000001</v>
      </c>
      <c r="T2277" s="27">
        <v>0.13350000000000001</v>
      </c>
      <c r="U2277" s="27">
        <v>0.3226</v>
      </c>
      <c r="V2277" s="1">
        <v>1</v>
      </c>
      <c r="W2277" s="1">
        <v>1</v>
      </c>
      <c r="X2277" s="27">
        <v>1.34</v>
      </c>
      <c r="Y2277" s="27">
        <v>2.3199999999999998</v>
      </c>
      <c r="Z2277" s="28">
        <v>1000</v>
      </c>
      <c r="AA2277" s="28">
        <v>1000</v>
      </c>
      <c r="AB2277" s="1" t="s">
        <v>13</v>
      </c>
    </row>
    <row r="2278" spans="1:28">
      <c r="A2278" t="s">
        <v>773</v>
      </c>
      <c r="B2278" s="29" t="s">
        <v>3156</v>
      </c>
      <c r="C2278" s="26" t="s">
        <v>3156</v>
      </c>
      <c r="D2278" s="1">
        <v>125</v>
      </c>
      <c r="E2278" t="s">
        <v>3158</v>
      </c>
      <c r="F2278" s="3" t="s">
        <v>3159</v>
      </c>
      <c r="G2278" s="1">
        <v>42.3</v>
      </c>
      <c r="H2278" t="s">
        <v>3162</v>
      </c>
      <c r="I2278" t="s">
        <v>3169</v>
      </c>
      <c r="J2278" s="1">
        <v>4</v>
      </c>
      <c r="K2278" s="1">
        <v>648.2681</v>
      </c>
      <c r="L2278" s="1" t="str">
        <f>HYPERLINK("http://ms.phosphosite.org:5080/cgi-bin/plot-msms.cgi?MassType=1&amp;NumAxis=1&amp;Mod5=170&amp;Mod9=147&amp;Mod16=147&amp;Pep=GPPSRGGHMDDGGYSMNFNMSSSR&amp;Dta=/var/www/html/dta/yong/23612.6326.4.dta&amp;Global_Mod=CS57.0215", "6326")</f>
        <v>6326</v>
      </c>
      <c r="M2278" s="1"/>
      <c r="N2278" s="27">
        <v>30.74</v>
      </c>
      <c r="O2278" s="27"/>
      <c r="P2278" s="27">
        <v>2.665</v>
      </c>
      <c r="Q2278" s="27"/>
      <c r="R2278" s="27">
        <v>0.70399999999999996</v>
      </c>
      <c r="S2278" s="27"/>
      <c r="T2278" s="27">
        <v>0.1305</v>
      </c>
      <c r="U2278" s="27"/>
      <c r="V2278" s="1">
        <v>20</v>
      </c>
      <c r="W2278" s="1"/>
      <c r="X2278" s="27">
        <v>1.38</v>
      </c>
      <c r="Y2278" s="27"/>
      <c r="Z2278" s="28">
        <v>1000</v>
      </c>
      <c r="AA2278" s="28"/>
      <c r="AB2278" s="1" t="s">
        <v>13</v>
      </c>
    </row>
    <row r="2279" spans="1:28">
      <c r="A2279" t="s">
        <v>773</v>
      </c>
      <c r="B2279" s="29" t="s">
        <v>3156</v>
      </c>
      <c r="C2279" s="26" t="s">
        <v>3156</v>
      </c>
      <c r="D2279" s="1">
        <v>125</v>
      </c>
      <c r="E2279" t="s">
        <v>3158</v>
      </c>
      <c r="F2279" s="3" t="s">
        <v>3159</v>
      </c>
      <c r="G2279" s="1">
        <v>42.3</v>
      </c>
      <c r="H2279" t="s">
        <v>3162</v>
      </c>
      <c r="I2279" t="s">
        <v>3170</v>
      </c>
      <c r="J2279" s="1">
        <v>3</v>
      </c>
      <c r="K2279" s="1">
        <v>675.94410000000005</v>
      </c>
      <c r="L2279" s="1" t="str">
        <f>HYPERLINK("http://ms.phosphosite.org:5080/cgi-bin/plot-msms.cgi?MassType=1&amp;NumAxis=1&amp;Mod5=170&amp;Mod9=147&amp;Pep=GPPSRGGHMDDGGYSMNFN&amp;Dta=/var/www/html/dta/yong/23612.7567.3.dta&amp;Global_Mod=CS57.0215", "7567")</f>
        <v>7567</v>
      </c>
      <c r="M2279" s="1" t="str">
        <f>HYPERLINK("http://ms.phosphosite.org:5080/cgi-bin/plot-msms.cgi?MassType=1&amp;NumAxis=1&amp;Mod5=170&amp;Mod9=147&amp;Pep=GPPSRGGHMDDGGYSMNFN&amp;Dta=/var/www/html/dta/yong/23613.7612.3.dta&amp;Global_Mod=CS57.0215", "7612")</f>
        <v>7612</v>
      </c>
      <c r="N2279" s="27">
        <v>35.29</v>
      </c>
      <c r="O2279" s="27">
        <v>35.31</v>
      </c>
      <c r="P2279" s="27">
        <v>2.2759999999999998</v>
      </c>
      <c r="Q2279" s="27">
        <v>1.6619999999999999</v>
      </c>
      <c r="R2279" s="27">
        <v>-0.13719999999999999</v>
      </c>
      <c r="S2279" s="27">
        <v>-0.18</v>
      </c>
      <c r="T2279" s="27">
        <v>0.249</v>
      </c>
      <c r="U2279" s="27">
        <v>7.5200000000000003E-2</v>
      </c>
      <c r="V2279" s="1">
        <v>2</v>
      </c>
      <c r="W2279" s="1">
        <v>2</v>
      </c>
      <c r="X2279" s="27">
        <v>1.89</v>
      </c>
      <c r="Y2279" s="27">
        <v>0.81</v>
      </c>
      <c r="Z2279" s="28">
        <v>1000</v>
      </c>
      <c r="AA2279" s="28">
        <v>1000</v>
      </c>
      <c r="AB2279" s="1" t="s">
        <v>13</v>
      </c>
    </row>
    <row r="2280" spans="1:28">
      <c r="A2280" t="s">
        <v>773</v>
      </c>
      <c r="B2280" s="29" t="s">
        <v>3156</v>
      </c>
      <c r="C2280" s="26" t="s">
        <v>3156</v>
      </c>
      <c r="D2280" s="1">
        <v>125</v>
      </c>
      <c r="E2280" t="s">
        <v>3158</v>
      </c>
      <c r="F2280" s="3" t="s">
        <v>3159</v>
      </c>
      <c r="G2280" s="1">
        <v>42.3</v>
      </c>
      <c r="H2280" t="s">
        <v>3162</v>
      </c>
      <c r="I2280" t="s">
        <v>3171</v>
      </c>
      <c r="J2280" s="1">
        <v>3</v>
      </c>
      <c r="K2280" s="1">
        <v>864.02160000000003</v>
      </c>
      <c r="L2280" s="1" t="str">
        <f>HYPERLINK("http://ms.phosphosite.org:5080/cgi-bin/plot-msms.cgi?MassType=1&amp;NumAxis=1&amp;Mod5=170&amp;Mod9=147&amp;Mod20=147&amp;Pep=GPPSRGGHMDDGGYSMNFNMSSSR&amp;Dta=/var/www/html/dta/yong/23612.6506.3.dta&amp;Global_Mod=CS57.0215", "6506")</f>
        <v>6506</v>
      </c>
      <c r="M2280" s="1" t="str">
        <f>HYPERLINK("http://ms.phosphosite.org:5080/cgi-bin/plot-msms.cgi?MassType=1&amp;NumAxis=1&amp;Mod5=170&amp;Mod9=147&amp;Mod20=147&amp;Pep=GPPSRGGHMDDGGYSMNFNMSSSR&amp;Dta=/var/www/html/dta/yong/23613.6518.3.dta&amp;Global_Mod=CS57.0215", "6518")</f>
        <v>6518</v>
      </c>
      <c r="N2280" s="27">
        <v>31.42</v>
      </c>
      <c r="O2280" s="27">
        <v>31.28</v>
      </c>
      <c r="P2280" s="27">
        <v>4.5250000000000004</v>
      </c>
      <c r="Q2280" s="27">
        <v>4.5529999999999999</v>
      </c>
      <c r="R2280" s="27">
        <v>0.56689999999999996</v>
      </c>
      <c r="S2280" s="27">
        <v>0.89339999999999997</v>
      </c>
      <c r="T2280" s="27">
        <v>0.52539999999999998</v>
      </c>
      <c r="U2280" s="27">
        <v>0.56430000000000002</v>
      </c>
      <c r="V2280" s="1">
        <v>1</v>
      </c>
      <c r="W2280" s="1">
        <v>1</v>
      </c>
      <c r="X2280" s="27">
        <v>3.65</v>
      </c>
      <c r="Y2280" s="27">
        <v>3.76</v>
      </c>
      <c r="Z2280" s="28">
        <v>1000</v>
      </c>
      <c r="AA2280" s="28">
        <v>1000</v>
      </c>
      <c r="AB2280" s="1" t="s">
        <v>13</v>
      </c>
    </row>
    <row r="2281" spans="1:28">
      <c r="A2281" t="s">
        <v>773</v>
      </c>
      <c r="B2281" s="29" t="s">
        <v>3156</v>
      </c>
      <c r="C2281" s="26" t="s">
        <v>3156</v>
      </c>
      <c r="D2281" s="1">
        <v>125</v>
      </c>
      <c r="E2281" t="s">
        <v>3158</v>
      </c>
      <c r="F2281" s="3" t="s">
        <v>3159</v>
      </c>
      <c r="G2281" s="1">
        <v>42.3</v>
      </c>
      <c r="H2281" t="s">
        <v>3162</v>
      </c>
      <c r="I2281" t="s">
        <v>3171</v>
      </c>
      <c r="J2281" s="1">
        <v>3</v>
      </c>
      <c r="K2281" s="1">
        <v>864.02160000000003</v>
      </c>
      <c r="L2281" s="1" t="str">
        <f>HYPERLINK("http://ms.phosphosite.org:5080/cgi-bin/plot-msms.cgi?MassType=1&amp;NumAxis=1&amp;Mod5=170&amp;Mod9=147&amp;Mod20=147&amp;Pep=GPPSRGGHMDDGGYSMNFNMSSSR&amp;Dta=/var/www/html/dta/yong/23612.6363.3.dta&amp;Global_Mod=CS57.0215", "6363")</f>
        <v>6363</v>
      </c>
      <c r="M2281" s="1" t="str">
        <f>HYPERLINK("http://ms.phosphosite.org:5080/cgi-bin/plot-msms.cgi?MassType=1&amp;NumAxis=1&amp;Mod5=170&amp;Mod9=147&amp;Mod20=147&amp;Pep=GPPSRGGHMDDGGYSMNFNMSSSR&amp;Dta=/var/www/html/dta/yong/23613.6403.3.dta&amp;Global_Mod=CS57.0215", "6403")</f>
        <v>6403</v>
      </c>
      <c r="N2281" s="27">
        <v>30.89</v>
      </c>
      <c r="O2281" s="27">
        <v>30.86</v>
      </c>
      <c r="P2281" s="27">
        <v>5.4470000000000001</v>
      </c>
      <c r="Q2281" s="27">
        <v>4.875</v>
      </c>
      <c r="R2281" s="27">
        <v>1.2816000000000001</v>
      </c>
      <c r="S2281" s="27">
        <v>1.1180000000000001</v>
      </c>
      <c r="T2281" s="27">
        <v>0.57809999999999995</v>
      </c>
      <c r="U2281" s="27">
        <v>0.49170000000000003</v>
      </c>
      <c r="V2281" s="1">
        <v>1</v>
      </c>
      <c r="W2281" s="1">
        <v>1</v>
      </c>
      <c r="X2281" s="27">
        <v>4.05</v>
      </c>
      <c r="Y2281" s="27">
        <v>3.45</v>
      </c>
      <c r="Z2281" s="28">
        <v>1000</v>
      </c>
      <c r="AA2281" s="28">
        <v>1000</v>
      </c>
      <c r="AB2281" s="1" t="s">
        <v>13</v>
      </c>
    </row>
    <row r="2282" spans="1:28">
      <c r="A2282" t="s">
        <v>773</v>
      </c>
      <c r="B2282" s="29" t="s">
        <v>3156</v>
      </c>
      <c r="C2282" s="26" t="s">
        <v>3156</v>
      </c>
      <c r="D2282" s="1">
        <v>125</v>
      </c>
      <c r="E2282" t="s">
        <v>3158</v>
      </c>
      <c r="F2282" s="3" t="s">
        <v>3159</v>
      </c>
      <c r="G2282" s="1">
        <v>42.3</v>
      </c>
      <c r="H2282" t="s">
        <v>3162</v>
      </c>
      <c r="I2282" t="s">
        <v>3171</v>
      </c>
      <c r="J2282" s="1">
        <v>3</v>
      </c>
      <c r="K2282" s="1">
        <v>864.02160000000003</v>
      </c>
      <c r="L2282" s="1" t="str">
        <f>HYPERLINK("http://ms.phosphosite.org:5080/cgi-bin/plot-msms.cgi?MassType=1&amp;NumAxis=1&amp;Mod5=170&amp;Mod9=147&amp;Mod20=147&amp;Pep=GPPSRGGHMDDGGYSMNFNMSSSR&amp;Dta=/var/www/html/dta/yong/23612.6473.3.dta&amp;Global_Mod=CS57.0215", "6473")</f>
        <v>6473</v>
      </c>
      <c r="M2282" s="1"/>
      <c r="N2282" s="27">
        <v>31.3</v>
      </c>
      <c r="O2282" s="27"/>
      <c r="P2282" s="27">
        <v>5.2969999999999997</v>
      </c>
      <c r="Q2282" s="27"/>
      <c r="R2282" s="27">
        <v>1.0031000000000001</v>
      </c>
      <c r="S2282" s="27"/>
      <c r="T2282" s="27">
        <v>0.55379999999999996</v>
      </c>
      <c r="U2282" s="27"/>
      <c r="V2282" s="1">
        <v>1</v>
      </c>
      <c r="W2282" s="1"/>
      <c r="X2282" s="27">
        <v>3.92</v>
      </c>
      <c r="Y2282" s="27"/>
      <c r="Z2282" s="28">
        <v>1000</v>
      </c>
      <c r="AA2282" s="28"/>
      <c r="AB2282" s="1" t="s">
        <v>13</v>
      </c>
    </row>
    <row r="2283" spans="1:28">
      <c r="A2283" t="s">
        <v>773</v>
      </c>
      <c r="B2283" s="29" t="s">
        <v>3156</v>
      </c>
      <c r="C2283" s="26" t="s">
        <v>3156</v>
      </c>
      <c r="D2283" s="1">
        <v>125</v>
      </c>
      <c r="E2283" t="s">
        <v>3158</v>
      </c>
      <c r="F2283" s="3" t="s">
        <v>3159</v>
      </c>
      <c r="G2283" s="1">
        <v>42.3</v>
      </c>
      <c r="H2283" t="s">
        <v>3162</v>
      </c>
      <c r="I2283" t="s">
        <v>3171</v>
      </c>
      <c r="J2283" s="1">
        <v>4</v>
      </c>
      <c r="K2283" s="1">
        <v>648.2681</v>
      </c>
      <c r="L2283" s="1" t="str">
        <f>HYPERLINK("http://ms.phosphosite.org:5080/cgi-bin/plot-msms.cgi?MassType=1&amp;NumAxis=1&amp;Mod5=170&amp;Mod9=147&amp;Mod20=147&amp;Pep=GPPSRGGHMDDGGYSMNFNMSSSR&amp;Dta=/var/www/html/dta/yong/23612.6759.4.dta&amp;Global_Mod=CS57.0215", "6759")</f>
        <v>6759</v>
      </c>
      <c r="M2283" s="1" t="str">
        <f>HYPERLINK("http://ms.phosphosite.org:5080/cgi-bin/plot-msms.cgi?MassType=1&amp;NumAxis=1&amp;Mod5=170&amp;Mod9=147&amp;Mod20=147&amp;Pep=GPPSRGGHMDDGGYSMNFNMSSSR&amp;Dta=/var/www/html/dta/yong/23613.6544.4.dta&amp;Global_Mod=CS57.0215", "6544")</f>
        <v>6544</v>
      </c>
      <c r="N2283" s="27">
        <v>32.39</v>
      </c>
      <c r="O2283" s="27">
        <v>31.37</v>
      </c>
      <c r="P2283" s="27">
        <v>3.4159999999999999</v>
      </c>
      <c r="Q2283" s="27">
        <v>3.512</v>
      </c>
      <c r="R2283" s="27">
        <v>0.58399999999999996</v>
      </c>
      <c r="S2283" s="27">
        <v>0.69989999999999997</v>
      </c>
      <c r="T2283" s="27">
        <v>0.2369</v>
      </c>
      <c r="U2283" s="27">
        <v>0.2903</v>
      </c>
      <c r="V2283" s="1">
        <v>6</v>
      </c>
      <c r="W2283" s="1">
        <v>3</v>
      </c>
      <c r="X2283" s="27">
        <v>2.06</v>
      </c>
      <c r="Y2283" s="27">
        <v>2.2400000000000002</v>
      </c>
      <c r="Z2283" s="28">
        <v>1000</v>
      </c>
      <c r="AA2283" s="28">
        <v>1000</v>
      </c>
      <c r="AB2283" s="1" t="s">
        <v>13</v>
      </c>
    </row>
    <row r="2284" spans="1:28">
      <c r="A2284" t="s">
        <v>773</v>
      </c>
      <c r="B2284" s="29" t="s">
        <v>3156</v>
      </c>
      <c r="C2284" s="26" t="s">
        <v>3156</v>
      </c>
      <c r="D2284" s="1">
        <v>125</v>
      </c>
      <c r="E2284" t="s">
        <v>3158</v>
      </c>
      <c r="F2284" s="3" t="s">
        <v>3159</v>
      </c>
      <c r="G2284" s="1">
        <v>42.3</v>
      </c>
      <c r="H2284" t="s">
        <v>3162</v>
      </c>
      <c r="I2284" t="s">
        <v>3171</v>
      </c>
      <c r="J2284" s="1">
        <v>4</v>
      </c>
      <c r="K2284" s="1">
        <v>648.2681</v>
      </c>
      <c r="L2284" s="1" t="str">
        <f>HYPERLINK("http://ms.phosphosite.org:5080/cgi-bin/plot-msms.cgi?MassType=1&amp;NumAxis=1&amp;Mod5=170&amp;Mod9=147&amp;Mod20=147&amp;Pep=GPPSRGGHMDDGGYSMNFNMSSSR&amp;Dta=/var/www/html/dta/yong/23612.6883.4.dta&amp;Global_Mod=CS57.0215", "6883")</f>
        <v>6883</v>
      </c>
      <c r="M2284" s="1" t="str">
        <f>HYPERLINK("http://ms.phosphosite.org:5080/cgi-bin/plot-msms.cgi?MassType=1&amp;NumAxis=1&amp;Mod5=170&amp;Mod9=147&amp;Mod20=147&amp;Pep=GPPSRGGHMDDGGYSMNFNMSSSR&amp;Dta=/var/www/html/dta/yong/23613.6579.4.dta&amp;Global_Mod=CS57.0215", "6579")</f>
        <v>6579</v>
      </c>
      <c r="N2284" s="27">
        <v>32.86</v>
      </c>
      <c r="O2284" s="27">
        <v>31.5</v>
      </c>
      <c r="P2284" s="27">
        <v>2.6240000000000001</v>
      </c>
      <c r="Q2284" s="27">
        <v>3.2839999999999998</v>
      </c>
      <c r="R2284" s="27">
        <v>1.0254000000000001</v>
      </c>
      <c r="S2284" s="27">
        <v>0.41959999999999997</v>
      </c>
      <c r="T2284" s="27">
        <v>5.0799999999999998E-2</v>
      </c>
      <c r="U2284" s="27">
        <v>0.2848</v>
      </c>
      <c r="V2284" s="1">
        <v>1</v>
      </c>
      <c r="W2284" s="1">
        <v>2</v>
      </c>
      <c r="X2284" s="27">
        <v>0.97</v>
      </c>
      <c r="Y2284" s="27">
        <v>2.1800000000000002</v>
      </c>
      <c r="Z2284" s="28">
        <v>1000</v>
      </c>
      <c r="AA2284" s="28">
        <v>1000</v>
      </c>
      <c r="AB2284" s="1" t="s">
        <v>13</v>
      </c>
    </row>
    <row r="2285" spans="1:28">
      <c r="A2285" t="s">
        <v>773</v>
      </c>
      <c r="B2285" s="29" t="s">
        <v>3156</v>
      </c>
      <c r="C2285" s="26" t="s">
        <v>3156</v>
      </c>
      <c r="D2285" s="1">
        <v>125</v>
      </c>
      <c r="E2285" t="s">
        <v>3158</v>
      </c>
      <c r="F2285" s="3" t="s">
        <v>3159</v>
      </c>
      <c r="G2285" s="1">
        <v>42.3</v>
      </c>
      <c r="H2285" t="s">
        <v>3162</v>
      </c>
      <c r="I2285" t="s">
        <v>3171</v>
      </c>
      <c r="J2285" s="1">
        <v>4</v>
      </c>
      <c r="K2285" s="1">
        <v>648.2681</v>
      </c>
      <c r="L2285" s="1" t="str">
        <f>HYPERLINK("http://ms.phosphosite.org:5080/cgi-bin/plot-msms.cgi?MassType=1&amp;NumAxis=1&amp;Mod5=170&amp;Mod9=147&amp;Mod20=147&amp;Pep=GPPSRGGHMDDGGYSMNFNMSSSR&amp;Dta=/var/www/html/dta/yong/23612.6516.4.dta&amp;Global_Mod=CS57.0215", "6516")</f>
        <v>6516</v>
      </c>
      <c r="M2285" s="1" t="str">
        <f>HYPERLINK("http://ms.phosphosite.org:5080/cgi-bin/plot-msms.cgi?MassType=1&amp;NumAxis=1&amp;Mod5=170&amp;Mod9=147&amp;Mod20=147&amp;Pep=GPPSRGGHMDDGGYSMNFNMSSSR&amp;Dta=/var/www/html/dta/yong/23613.6384.4.dta&amp;Global_Mod=CS57.0215", "6384")</f>
        <v>6384</v>
      </c>
      <c r="N2285" s="27">
        <v>31.45</v>
      </c>
      <c r="O2285" s="27">
        <v>30.79</v>
      </c>
      <c r="P2285" s="27">
        <v>2.8260000000000001</v>
      </c>
      <c r="Q2285" s="27">
        <v>2.931</v>
      </c>
      <c r="R2285" s="27">
        <v>0.76060000000000005</v>
      </c>
      <c r="S2285" s="27">
        <v>0.61909999999999998</v>
      </c>
      <c r="T2285" s="27">
        <v>1.7000000000000001E-2</v>
      </c>
      <c r="U2285" s="27">
        <v>0.2868</v>
      </c>
      <c r="V2285" s="1">
        <v>8</v>
      </c>
      <c r="W2285" s="1">
        <v>3</v>
      </c>
      <c r="X2285" s="27">
        <v>0.85</v>
      </c>
      <c r="Y2285" s="27">
        <v>2.11</v>
      </c>
      <c r="Z2285" s="28">
        <v>1000</v>
      </c>
      <c r="AA2285" s="28">
        <v>1000</v>
      </c>
      <c r="AB2285" s="1" t="s">
        <v>13</v>
      </c>
    </row>
    <row r="2286" spans="1:28">
      <c r="A2286" t="s">
        <v>773</v>
      </c>
      <c r="B2286" s="29" t="s">
        <v>3156</v>
      </c>
      <c r="C2286" s="26" t="s">
        <v>3156</v>
      </c>
      <c r="D2286" s="1">
        <v>125</v>
      </c>
      <c r="E2286" t="s">
        <v>3158</v>
      </c>
      <c r="F2286" s="3" t="s">
        <v>3159</v>
      </c>
      <c r="G2286" s="1">
        <v>42.3</v>
      </c>
      <c r="H2286" t="s">
        <v>3162</v>
      </c>
      <c r="I2286" t="s">
        <v>3172</v>
      </c>
      <c r="J2286" s="1">
        <v>3</v>
      </c>
      <c r="K2286" s="1">
        <v>858.69</v>
      </c>
      <c r="L2286" s="1" t="str">
        <f>HYPERLINK("http://ms.phosphosite.org:5080/cgi-bin/plot-msms.cgi?MassType=1&amp;NumAxis=1&amp;Mod5=170&amp;Mod9=147&amp;Pep=GPPSRGGHMDDGGYSMNFNMSSSR&amp;Dta=/var/www/html/dta/yong/23612.8306.3.dta&amp;Global_Mod=CS57.0215", "8306")</f>
        <v>8306</v>
      </c>
      <c r="M2286" s="1" t="str">
        <f>HYPERLINK("http://ms.phosphosite.org:5080/cgi-bin/plot-msms.cgi?MassType=1&amp;NumAxis=1&amp;Mod5=170&amp;Mod9=147&amp;Pep=GPPSRGGHMDDGGYSMNFNMSSSR&amp;Dta=/var/www/html/dta/yong/23613.8353.3.dta&amp;Global_Mod=CS57.0215", "8353")</f>
        <v>8353</v>
      </c>
      <c r="N2286" s="27">
        <v>37.94</v>
      </c>
      <c r="O2286" s="27">
        <v>38.04</v>
      </c>
      <c r="P2286" s="27">
        <v>5.0970000000000004</v>
      </c>
      <c r="Q2286" s="27">
        <v>5.1950000000000003</v>
      </c>
      <c r="R2286" s="27">
        <v>0.93169999999999997</v>
      </c>
      <c r="S2286" s="27">
        <v>1.5045999999999999</v>
      </c>
      <c r="T2286" s="27">
        <v>0.58340000000000003</v>
      </c>
      <c r="U2286" s="27">
        <v>0.46250000000000002</v>
      </c>
      <c r="V2286" s="1">
        <v>1</v>
      </c>
      <c r="W2286" s="1">
        <v>1</v>
      </c>
      <c r="X2286" s="27">
        <v>4.03</v>
      </c>
      <c r="Y2286" s="27">
        <v>3.35</v>
      </c>
      <c r="Z2286" s="28">
        <v>1000</v>
      </c>
      <c r="AA2286" s="28">
        <v>1000</v>
      </c>
      <c r="AB2286" s="1" t="s">
        <v>13</v>
      </c>
    </row>
    <row r="2287" spans="1:28">
      <c r="A2287" t="s">
        <v>773</v>
      </c>
      <c r="B2287" s="29" t="s">
        <v>3156</v>
      </c>
      <c r="C2287" s="26" t="s">
        <v>3156</v>
      </c>
      <c r="D2287" s="1">
        <v>125</v>
      </c>
      <c r="E2287" t="s">
        <v>3158</v>
      </c>
      <c r="F2287" s="3" t="s">
        <v>3159</v>
      </c>
      <c r="G2287" s="1">
        <v>42.3</v>
      </c>
      <c r="H2287" t="s">
        <v>3162</v>
      </c>
      <c r="I2287" t="s">
        <v>3172</v>
      </c>
      <c r="J2287" s="1">
        <v>3</v>
      </c>
      <c r="K2287" s="1">
        <v>858.69</v>
      </c>
      <c r="L2287" s="1" t="str">
        <f>HYPERLINK("http://ms.phosphosite.org:5080/cgi-bin/plot-msms.cgi?MassType=1&amp;NumAxis=1&amp;Mod5=170&amp;Mod9=147&amp;Pep=GPPSRGGHMDDGGYSMNFNMSSSR&amp;Dta=/var/www/html/dta/yong/23612.8314.3.dta&amp;Global_Mod=CS57.0215", "8314")</f>
        <v>8314</v>
      </c>
      <c r="M2287" s="1"/>
      <c r="N2287" s="27">
        <v>37.97</v>
      </c>
      <c r="O2287" s="27"/>
      <c r="P2287" s="27">
        <v>5.0730000000000004</v>
      </c>
      <c r="Q2287" s="27"/>
      <c r="R2287" s="27">
        <v>0.93169999999999997</v>
      </c>
      <c r="S2287" s="27"/>
      <c r="T2287" s="27">
        <v>0.57150000000000001</v>
      </c>
      <c r="U2287" s="27"/>
      <c r="V2287" s="1">
        <v>1</v>
      </c>
      <c r="W2287" s="1"/>
      <c r="X2287" s="27">
        <v>3.96</v>
      </c>
      <c r="Y2287" s="27"/>
      <c r="Z2287" s="28">
        <v>1000</v>
      </c>
      <c r="AA2287" s="28"/>
      <c r="AB2287" s="1" t="s">
        <v>13</v>
      </c>
    </row>
    <row r="2288" spans="1:28">
      <c r="A2288" t="s">
        <v>773</v>
      </c>
      <c r="B2288" s="29" t="s">
        <v>3156</v>
      </c>
      <c r="C2288" s="26" t="s">
        <v>3156</v>
      </c>
      <c r="D2288" s="1">
        <v>125</v>
      </c>
      <c r="E2288" t="s">
        <v>3158</v>
      </c>
      <c r="F2288" s="3" t="s">
        <v>3159</v>
      </c>
      <c r="G2288" s="1">
        <v>42.3</v>
      </c>
      <c r="H2288" t="s">
        <v>3162</v>
      </c>
      <c r="I2288" t="s">
        <v>3173</v>
      </c>
      <c r="J2288" s="1">
        <v>3</v>
      </c>
      <c r="K2288" s="1">
        <v>675.94410000000005</v>
      </c>
      <c r="L2288" s="1" t="str">
        <f>HYPERLINK("http://ms.phosphosite.org:5080/cgi-bin/plot-msms.cgi?MassType=1&amp;NumAxis=1&amp;Mod5=170&amp;Mod16=147&amp;Pep=GPPSRGGHMDDGGYSMNFN&amp;Dta=/var/www/html/dta/yong/23612.6157.3.dta&amp;Global_Mod=CS57.0215", "6157")</f>
        <v>6157</v>
      </c>
      <c r="M2288" s="1"/>
      <c r="N2288" s="27">
        <v>30.17</v>
      </c>
      <c r="O2288" s="27"/>
      <c r="P2288" s="27">
        <v>2.2010000000000001</v>
      </c>
      <c r="Q2288" s="27"/>
      <c r="R2288" s="27">
        <v>-0.38679999999999998</v>
      </c>
      <c r="S2288" s="27"/>
      <c r="T2288" s="27">
        <v>0.14680000000000001</v>
      </c>
      <c r="U2288" s="27"/>
      <c r="V2288" s="1">
        <v>1</v>
      </c>
      <c r="W2288" s="1"/>
      <c r="X2288" s="27">
        <v>1.35</v>
      </c>
      <c r="Y2288" s="27"/>
      <c r="Z2288" s="28">
        <v>1000</v>
      </c>
      <c r="AA2288" s="28"/>
      <c r="AB2288" s="1" t="s">
        <v>13</v>
      </c>
    </row>
    <row r="2289" spans="1:28">
      <c r="A2289" t="s">
        <v>773</v>
      </c>
      <c r="B2289" s="29" t="s">
        <v>3156</v>
      </c>
      <c r="C2289" s="26" t="s">
        <v>3156</v>
      </c>
      <c r="D2289" s="1">
        <v>125</v>
      </c>
      <c r="E2289" t="s">
        <v>3158</v>
      </c>
      <c r="F2289" s="3" t="s">
        <v>3159</v>
      </c>
      <c r="G2289" s="1">
        <v>42.3</v>
      </c>
      <c r="H2289" t="s">
        <v>3162</v>
      </c>
      <c r="I2289" t="s">
        <v>3173</v>
      </c>
      <c r="J2289" s="1">
        <v>3</v>
      </c>
      <c r="K2289" s="1">
        <v>675.94410000000005</v>
      </c>
      <c r="L2289" s="1" t="str">
        <f>HYPERLINK("http://ms.phosphosite.org:5080/cgi-bin/plot-msms.cgi?MassType=1&amp;NumAxis=1&amp;Mod5=170&amp;Mod16=147&amp;Pep=GPPSRGGHMDDGGYSMNFN&amp;Dta=/var/www/html/dta/yong/23612.6139.3.dta&amp;Global_Mod=CS57.0215", "6139")</f>
        <v>6139</v>
      </c>
      <c r="M2289" s="1"/>
      <c r="N2289" s="27">
        <v>30.1</v>
      </c>
      <c r="O2289" s="27"/>
      <c r="P2289" s="27">
        <v>1.958</v>
      </c>
      <c r="Q2289" s="27"/>
      <c r="R2289" s="27">
        <v>0.18490000000000001</v>
      </c>
      <c r="S2289" s="27"/>
      <c r="T2289" s="27">
        <v>4.1000000000000002E-2</v>
      </c>
      <c r="U2289" s="27"/>
      <c r="V2289" s="1">
        <v>2</v>
      </c>
      <c r="W2289" s="1"/>
      <c r="X2289" s="27">
        <v>0.81</v>
      </c>
      <c r="Y2289" s="27"/>
      <c r="Z2289" s="28">
        <v>1000</v>
      </c>
      <c r="AA2289" s="28"/>
      <c r="AB2289" s="1" t="s">
        <v>13</v>
      </c>
    </row>
    <row r="2290" spans="1:28">
      <c r="A2290" t="s">
        <v>773</v>
      </c>
      <c r="B2290" s="29" t="s">
        <v>3156</v>
      </c>
      <c r="C2290" s="26" t="s">
        <v>3156</v>
      </c>
      <c r="D2290" s="1">
        <v>125</v>
      </c>
      <c r="E2290" t="s">
        <v>3158</v>
      </c>
      <c r="F2290" s="3" t="s">
        <v>3159</v>
      </c>
      <c r="G2290" s="1">
        <v>42.3</v>
      </c>
      <c r="H2290" t="s">
        <v>3162</v>
      </c>
      <c r="I2290" t="s">
        <v>3174</v>
      </c>
      <c r="J2290" s="1">
        <v>3</v>
      </c>
      <c r="K2290" s="1">
        <v>864.02160000000003</v>
      </c>
      <c r="L2290" s="1" t="str">
        <f>HYPERLINK("http://ms.phosphosite.org:5080/cgi-bin/plot-msms.cgi?MassType=1&amp;NumAxis=1&amp;Mod5=170&amp;Mod16=147&amp;Mod20=147&amp;Pep=GPPSRGGHMDDGGYSMNFNMSSSR&amp;Dta=/var/www/html/dta/yong/23612.5347.3.dta&amp;Global_Mod=CS57.0215", "5347")</f>
        <v>5347</v>
      </c>
      <c r="M2290" s="1" t="str">
        <f>HYPERLINK("http://ms.phosphosite.org:5080/cgi-bin/plot-msms.cgi?MassType=1&amp;NumAxis=1&amp;Mod5=170&amp;Mod16=147&amp;Mod20=147&amp;Pep=GPPSRGGHMDDGGYSMNFNMSSSR&amp;Dta=/var/www/html/dta/yong/23613.5376.3.dta&amp;Global_Mod=CS57.0215", "5376")</f>
        <v>5376</v>
      </c>
      <c r="N2290" s="27">
        <v>27.16</v>
      </c>
      <c r="O2290" s="27">
        <v>27.06</v>
      </c>
      <c r="P2290" s="27">
        <v>6.2060000000000004</v>
      </c>
      <c r="Q2290" s="27">
        <v>6.2469999999999999</v>
      </c>
      <c r="R2290" s="27">
        <v>0.60219999999999996</v>
      </c>
      <c r="S2290" s="27">
        <v>0.80579999999999996</v>
      </c>
      <c r="T2290" s="27">
        <v>0.58440000000000003</v>
      </c>
      <c r="U2290" s="27">
        <v>0.61160000000000003</v>
      </c>
      <c r="V2290" s="1">
        <v>1</v>
      </c>
      <c r="W2290" s="1">
        <v>1</v>
      </c>
      <c r="X2290" s="27">
        <v>4.26</v>
      </c>
      <c r="Y2290" s="27">
        <v>4.34</v>
      </c>
      <c r="Z2290" s="28">
        <v>1000</v>
      </c>
      <c r="AA2290" s="28">
        <v>1000</v>
      </c>
      <c r="AB2290" s="1" t="s">
        <v>13</v>
      </c>
    </row>
    <row r="2291" spans="1:28">
      <c r="A2291" t="s">
        <v>773</v>
      </c>
      <c r="B2291" s="29" t="s">
        <v>3156</v>
      </c>
      <c r="C2291" s="26" t="s">
        <v>3156</v>
      </c>
      <c r="D2291" s="1">
        <v>125</v>
      </c>
      <c r="E2291" t="s">
        <v>3158</v>
      </c>
      <c r="F2291" s="3" t="s">
        <v>3159</v>
      </c>
      <c r="G2291" s="1">
        <v>42.3</v>
      </c>
      <c r="H2291" t="s">
        <v>3162</v>
      </c>
      <c r="I2291" t="s">
        <v>3174</v>
      </c>
      <c r="J2291" s="1">
        <v>3</v>
      </c>
      <c r="K2291" s="1">
        <v>864.02160000000003</v>
      </c>
      <c r="L2291" s="1" t="str">
        <f>HYPERLINK("http://ms.phosphosite.org:5080/cgi-bin/plot-msms.cgi?MassType=1&amp;NumAxis=1&amp;Mod5=170&amp;Mod16=147&amp;Mod20=147&amp;Pep=GPPSRGGHMDDGGYSMNFNMSSSR&amp;Dta=/var/www/html/dta/yong/23612.5456.3.dta&amp;Global_Mod=CS57.0215", "5456")</f>
        <v>5456</v>
      </c>
      <c r="M2291" s="1" t="str">
        <f>HYPERLINK("http://ms.phosphosite.org:5080/cgi-bin/plot-msms.cgi?MassType=1&amp;NumAxis=1&amp;Mod5=170&amp;Mod16=147&amp;Mod20=147&amp;Pep=GPPSRGGHMDDGGYSMNFNMSSSR&amp;Dta=/var/www/html/dta/yong/23613.5387.3.dta&amp;Global_Mod=CS57.0215", "5387")</f>
        <v>5387</v>
      </c>
      <c r="N2291" s="27">
        <v>27.53</v>
      </c>
      <c r="O2291" s="27">
        <v>27.11</v>
      </c>
      <c r="P2291" s="27">
        <v>5.133</v>
      </c>
      <c r="Q2291" s="27">
        <v>6.1749999999999998</v>
      </c>
      <c r="R2291" s="27">
        <v>0.6532</v>
      </c>
      <c r="S2291" s="27">
        <v>0.80449999999999999</v>
      </c>
      <c r="T2291" s="27">
        <v>0.5292</v>
      </c>
      <c r="U2291" s="27">
        <v>0.5847</v>
      </c>
      <c r="V2291" s="1">
        <v>1</v>
      </c>
      <c r="W2291" s="1">
        <v>1</v>
      </c>
      <c r="X2291" s="27">
        <v>3.78</v>
      </c>
      <c r="Y2291" s="27">
        <v>4.1900000000000004</v>
      </c>
      <c r="Z2291" s="28">
        <v>1000</v>
      </c>
      <c r="AA2291" s="28">
        <v>1000</v>
      </c>
      <c r="AB2291" s="1" t="s">
        <v>13</v>
      </c>
    </row>
    <row r="2292" spans="1:28">
      <c r="A2292" t="s">
        <v>773</v>
      </c>
      <c r="B2292" s="29" t="s">
        <v>3156</v>
      </c>
      <c r="C2292" s="26" t="s">
        <v>3156</v>
      </c>
      <c r="D2292" s="1">
        <v>125</v>
      </c>
      <c r="E2292" t="s">
        <v>3158</v>
      </c>
      <c r="F2292" s="3" t="s">
        <v>3159</v>
      </c>
      <c r="G2292" s="1">
        <v>42.3</v>
      </c>
      <c r="H2292" t="s">
        <v>3162</v>
      </c>
      <c r="I2292" t="s">
        <v>3174</v>
      </c>
      <c r="J2292" s="1">
        <v>4</v>
      </c>
      <c r="K2292" s="1">
        <v>648.2681</v>
      </c>
      <c r="L2292" s="1" t="str">
        <f>HYPERLINK("http://ms.phosphosite.org:5080/cgi-bin/plot-msms.cgi?MassType=1&amp;NumAxis=1&amp;Mod5=170&amp;Mod16=147&amp;Mod20=147&amp;Pep=GPPSRGGHMDDGGYSMNFNMSSSR&amp;Dta=/var/www/html/dta/yong/23612.6500.4.dta&amp;Global_Mod=CS57.0215", "6500")</f>
        <v>6500</v>
      </c>
      <c r="M2292" s="1" t="str">
        <f>HYPERLINK("http://ms.phosphosite.org:5080/cgi-bin/plot-msms.cgi?MassType=1&amp;NumAxis=1&amp;Mod5=170&amp;Mod16=147&amp;Mod20=147&amp;Pep=GPPSRGGHMDDGGYSMNFNMSSSR&amp;Dta=/var/www/html/dta/yong/23613.5384.4.dta&amp;Global_Mod=CS57.0215", "5384")</f>
        <v>5384</v>
      </c>
      <c r="N2292" s="27">
        <v>31.4</v>
      </c>
      <c r="O2292" s="27">
        <v>27.1</v>
      </c>
      <c r="P2292" s="27">
        <v>2.77</v>
      </c>
      <c r="Q2292" s="27">
        <v>2.5859999999999999</v>
      </c>
      <c r="R2292" s="27">
        <v>0.69</v>
      </c>
      <c r="S2292" s="27">
        <v>0.48270000000000002</v>
      </c>
      <c r="T2292" s="27">
        <v>7.8299999999999995E-2</v>
      </c>
      <c r="U2292" s="27">
        <v>0.18410000000000001</v>
      </c>
      <c r="V2292" s="1">
        <v>6</v>
      </c>
      <c r="W2292" s="1">
        <v>4</v>
      </c>
      <c r="X2292" s="27">
        <v>1.1499999999999999</v>
      </c>
      <c r="Y2292" s="27">
        <v>1.54</v>
      </c>
      <c r="Z2292" s="28">
        <v>1000</v>
      </c>
      <c r="AA2292" s="28">
        <v>1000</v>
      </c>
      <c r="AB2292" s="1" t="s">
        <v>13</v>
      </c>
    </row>
    <row r="2293" spans="1:28">
      <c r="A2293" t="s">
        <v>773</v>
      </c>
      <c r="B2293" s="29" t="s">
        <v>3156</v>
      </c>
      <c r="C2293" s="26" t="s">
        <v>3156</v>
      </c>
      <c r="D2293" s="1">
        <v>125</v>
      </c>
      <c r="E2293" t="s">
        <v>3158</v>
      </c>
      <c r="F2293" s="3" t="s">
        <v>3159</v>
      </c>
      <c r="G2293" s="1">
        <v>42.3</v>
      </c>
      <c r="H2293" t="s">
        <v>3162</v>
      </c>
      <c r="I2293" t="s">
        <v>3174</v>
      </c>
      <c r="J2293" s="1">
        <v>4</v>
      </c>
      <c r="K2293" s="1">
        <v>648.2681</v>
      </c>
      <c r="L2293" s="1" t="str">
        <f>HYPERLINK("http://ms.phosphosite.org:5080/cgi-bin/plot-msms.cgi?MassType=1&amp;NumAxis=1&amp;Mod5=170&amp;Mod16=147&amp;Mod20=147&amp;Pep=GPPSRGGHMDDGGYSMNFNMSSSR&amp;Dta=/var/www/html/dta/yong/23612.5332.4.dta&amp;Global_Mod=CS57.0215", "5332")</f>
        <v>5332</v>
      </c>
      <c r="M2293" s="1" t="str">
        <f>HYPERLINK("http://ms.phosphosite.org:5080/cgi-bin/plot-msms.cgi?MassType=1&amp;NumAxis=1&amp;Mod5=170&amp;Mod16=147&amp;Mod20=147&amp;Pep=GPPSRGGHMDDGGYSMNFNMSSSR&amp;Dta=/var/www/html/dta/yong/23613.5591.4.dta&amp;Global_Mod=CS57.0215", "5591")</f>
        <v>5591</v>
      </c>
      <c r="N2293" s="27">
        <v>27.09</v>
      </c>
      <c r="O2293" s="27">
        <v>27.86</v>
      </c>
      <c r="P2293" s="27">
        <v>2.6320000000000001</v>
      </c>
      <c r="Q2293" s="27">
        <v>2.4630000000000001</v>
      </c>
      <c r="R2293" s="27">
        <v>0.89839999999999998</v>
      </c>
      <c r="S2293" s="27">
        <v>0.97040000000000004</v>
      </c>
      <c r="T2293" s="27">
        <v>0.15890000000000001</v>
      </c>
      <c r="U2293" s="27">
        <v>0.1507</v>
      </c>
      <c r="V2293" s="1">
        <v>1</v>
      </c>
      <c r="W2293" s="1">
        <v>1</v>
      </c>
      <c r="X2293" s="27">
        <v>1.51</v>
      </c>
      <c r="Y2293" s="27">
        <v>1.33</v>
      </c>
      <c r="Z2293" s="28">
        <v>1000</v>
      </c>
      <c r="AA2293" s="28">
        <v>1000</v>
      </c>
      <c r="AB2293" s="1" t="s">
        <v>13</v>
      </c>
    </row>
    <row r="2294" spans="1:28">
      <c r="A2294" t="s">
        <v>773</v>
      </c>
      <c r="B2294" s="29" t="s">
        <v>3156</v>
      </c>
      <c r="C2294" s="26" t="s">
        <v>3156</v>
      </c>
      <c r="D2294" s="1">
        <v>125</v>
      </c>
      <c r="E2294" t="s">
        <v>3158</v>
      </c>
      <c r="F2294" s="3" t="s">
        <v>3159</v>
      </c>
      <c r="G2294" s="1">
        <v>42.3</v>
      </c>
      <c r="H2294" t="s">
        <v>3162</v>
      </c>
      <c r="I2294" t="s">
        <v>3174</v>
      </c>
      <c r="J2294" s="1">
        <v>4</v>
      </c>
      <c r="K2294" s="1">
        <v>648.2681</v>
      </c>
      <c r="L2294" s="1" t="str">
        <f>HYPERLINK("http://ms.phosphosite.org:5080/cgi-bin/plot-msms.cgi?MassType=1&amp;NumAxis=1&amp;Mod5=170&amp;Mod16=147&amp;Mod20=147&amp;Pep=GPPSRGGHMDDGGYSMNFNMSSSR&amp;Dta=/var/www/html/dta/yong/23612.6572.4.dta&amp;Global_Mod=CS57.0215", "6572")</f>
        <v>6572</v>
      </c>
      <c r="M2294" s="1"/>
      <c r="N2294" s="27">
        <v>31.67</v>
      </c>
      <c r="O2294" s="27"/>
      <c r="P2294" s="27">
        <v>3.49</v>
      </c>
      <c r="Q2294" s="27"/>
      <c r="R2294" s="27">
        <v>0.55279999999999996</v>
      </c>
      <c r="S2294" s="27"/>
      <c r="T2294" s="27">
        <v>0.27779999999999999</v>
      </c>
      <c r="U2294" s="27"/>
      <c r="V2294" s="1">
        <v>2</v>
      </c>
      <c r="W2294" s="1"/>
      <c r="X2294" s="27">
        <v>2.2799999999999998</v>
      </c>
      <c r="Y2294" s="27"/>
      <c r="Z2294" s="28">
        <v>1000</v>
      </c>
      <c r="AA2294" s="28"/>
      <c r="AB2294" s="1" t="s">
        <v>13</v>
      </c>
    </row>
    <row r="2295" spans="1:28">
      <c r="A2295" t="s">
        <v>773</v>
      </c>
      <c r="B2295" s="29" t="s">
        <v>3156</v>
      </c>
      <c r="C2295" s="26" t="s">
        <v>3156</v>
      </c>
      <c r="D2295" s="1">
        <v>125</v>
      </c>
      <c r="E2295" t="s">
        <v>3158</v>
      </c>
      <c r="F2295" s="3" t="s">
        <v>3159</v>
      </c>
      <c r="G2295" s="1">
        <v>42.3</v>
      </c>
      <c r="H2295" t="s">
        <v>3162</v>
      </c>
      <c r="I2295" t="s">
        <v>3174</v>
      </c>
      <c r="J2295" s="1">
        <v>4</v>
      </c>
      <c r="K2295" s="1">
        <v>648.2681</v>
      </c>
      <c r="L2295" s="1" t="str">
        <f>HYPERLINK("http://ms.phosphosite.org:5080/cgi-bin/plot-msms.cgi?MassType=1&amp;NumAxis=1&amp;Mod5=170&amp;Mod16=147&amp;Mod20=147&amp;Pep=GPPSRGGHMDDGGYSMNFNMSSSR&amp;Dta=/var/www/html/dta/yong/23612.5342.4.dta&amp;Global_Mod=CS57.0215", "5342")</f>
        <v>5342</v>
      </c>
      <c r="M2295" s="1"/>
      <c r="N2295" s="27">
        <v>27.14</v>
      </c>
      <c r="O2295" s="27"/>
      <c r="P2295" s="27">
        <v>3.0209999999999999</v>
      </c>
      <c r="Q2295" s="27"/>
      <c r="R2295" s="27">
        <v>0.90369999999999995</v>
      </c>
      <c r="S2295" s="27"/>
      <c r="T2295" s="27">
        <v>0.1966</v>
      </c>
      <c r="U2295" s="27"/>
      <c r="V2295" s="1">
        <v>2</v>
      </c>
      <c r="W2295" s="1"/>
      <c r="X2295" s="27">
        <v>1.77</v>
      </c>
      <c r="Y2295" s="27"/>
      <c r="Z2295" s="28">
        <v>1000</v>
      </c>
      <c r="AA2295" s="28"/>
      <c r="AB2295" s="1" t="s">
        <v>13</v>
      </c>
    </row>
    <row r="2296" spans="1:28">
      <c r="A2296" t="s">
        <v>773</v>
      </c>
      <c r="B2296" s="29" t="s">
        <v>3156</v>
      </c>
      <c r="C2296" s="26" t="s">
        <v>3156</v>
      </c>
      <c r="D2296" s="1">
        <v>125</v>
      </c>
      <c r="E2296" t="s">
        <v>3158</v>
      </c>
      <c r="F2296" s="3" t="s">
        <v>3159</v>
      </c>
      <c r="G2296" s="1">
        <v>42.3</v>
      </c>
      <c r="H2296" t="s">
        <v>3162</v>
      </c>
      <c r="I2296" t="s">
        <v>3175</v>
      </c>
      <c r="J2296" s="1">
        <v>4</v>
      </c>
      <c r="K2296" s="1">
        <v>644.26930000000004</v>
      </c>
      <c r="L2296" s="1" t="str">
        <f>HYPERLINK("http://ms.phosphosite.org:5080/cgi-bin/plot-msms.cgi?MassType=1&amp;NumAxis=1&amp;Mod5=170&amp;Mod16=147&amp;Pep=GPPSRGGHMDDGGYSMNFNMSSSR&amp;Dta=/var/www/html/dta/yong/23612.7021.4.dta&amp;Global_Mod=CS57.0215", "7021")</f>
        <v>7021</v>
      </c>
      <c r="M2296" s="1"/>
      <c r="N2296" s="27">
        <v>33.369999999999997</v>
      </c>
      <c r="O2296" s="27"/>
      <c r="P2296" s="27">
        <v>2.2519999999999998</v>
      </c>
      <c r="Q2296" s="27"/>
      <c r="R2296" s="27">
        <v>0.63480000000000003</v>
      </c>
      <c r="S2296" s="27"/>
      <c r="T2296" s="27">
        <v>3.6499999999999998E-2</v>
      </c>
      <c r="U2296" s="27"/>
      <c r="V2296" s="1">
        <v>1</v>
      </c>
      <c r="W2296" s="1"/>
      <c r="X2296" s="27">
        <v>0.85</v>
      </c>
      <c r="Y2296" s="27"/>
      <c r="Z2296" s="28">
        <v>1000</v>
      </c>
      <c r="AA2296" s="28"/>
      <c r="AB2296" s="1" t="s">
        <v>13</v>
      </c>
    </row>
    <row r="2297" spans="1:28">
      <c r="A2297" t="s">
        <v>773</v>
      </c>
      <c r="B2297" s="29" t="s">
        <v>3156</v>
      </c>
      <c r="C2297" s="26" t="s">
        <v>3156</v>
      </c>
      <c r="D2297" s="1">
        <v>125</v>
      </c>
      <c r="E2297" t="s">
        <v>3158</v>
      </c>
      <c r="F2297" s="3" t="s">
        <v>3159</v>
      </c>
      <c r="G2297" s="1">
        <v>42.3</v>
      </c>
      <c r="H2297" t="s">
        <v>3162</v>
      </c>
      <c r="I2297" t="s">
        <v>3176</v>
      </c>
      <c r="J2297" s="1">
        <v>3</v>
      </c>
      <c r="K2297" s="1">
        <v>858.69</v>
      </c>
      <c r="L2297" s="1" t="str">
        <f>HYPERLINK("http://ms.phosphosite.org:5080/cgi-bin/plot-msms.cgi?MassType=1&amp;NumAxis=1&amp;Mod5=170&amp;Mod20=147&amp;Pep=GPPSRGGHMDDGGYSMNFNMSSSR&amp;Dta=/var/www/html/dta/yong/23612.7382.3.dta&amp;Global_Mod=CS57.0215", "7382")</f>
        <v>7382</v>
      </c>
      <c r="M2297" s="1" t="str">
        <f>HYPERLINK("http://ms.phosphosite.org:5080/cgi-bin/plot-msms.cgi?MassType=1&amp;NumAxis=1&amp;Mod5=170&amp;Mod20=147&amp;Pep=GPPSRGGHMDDGGYSMNFNMSSSR&amp;Dta=/var/www/html/dta/yong/23613.7443.3.dta&amp;Global_Mod=CS57.0215", "7443")</f>
        <v>7443</v>
      </c>
      <c r="N2297" s="27">
        <v>34.65</v>
      </c>
      <c r="O2297" s="27">
        <v>34.72</v>
      </c>
      <c r="P2297" s="27">
        <v>5.0359999999999996</v>
      </c>
      <c r="Q2297" s="27">
        <v>5.28</v>
      </c>
      <c r="R2297" s="27">
        <v>1.2203999999999999</v>
      </c>
      <c r="S2297" s="27">
        <v>0.57410000000000005</v>
      </c>
      <c r="T2297" s="27">
        <v>0.41689999999999999</v>
      </c>
      <c r="U2297" s="27">
        <v>0.56089999999999995</v>
      </c>
      <c r="V2297" s="1">
        <v>1</v>
      </c>
      <c r="W2297" s="1">
        <v>1</v>
      </c>
      <c r="X2297" s="27">
        <v>3.18</v>
      </c>
      <c r="Y2297" s="27">
        <v>3.9</v>
      </c>
      <c r="Z2297" s="28">
        <v>1000</v>
      </c>
      <c r="AA2297" s="28">
        <v>1000</v>
      </c>
      <c r="AB2297" s="1" t="s">
        <v>13</v>
      </c>
    </row>
    <row r="2298" spans="1:28">
      <c r="A2298" t="s">
        <v>773</v>
      </c>
      <c r="B2298" s="29" t="s">
        <v>3156</v>
      </c>
      <c r="C2298" s="26" t="s">
        <v>3156</v>
      </c>
      <c r="D2298" s="1">
        <v>125</v>
      </c>
      <c r="E2298" t="s">
        <v>3158</v>
      </c>
      <c r="F2298" s="3" t="s">
        <v>3159</v>
      </c>
      <c r="G2298" s="1">
        <v>42.3</v>
      </c>
      <c r="H2298" t="s">
        <v>3162</v>
      </c>
      <c r="I2298" t="s">
        <v>3176</v>
      </c>
      <c r="J2298" s="1">
        <v>3</v>
      </c>
      <c r="K2298" s="1">
        <v>858.69</v>
      </c>
      <c r="L2298" s="1"/>
      <c r="M2298" s="1" t="str">
        <f>HYPERLINK("http://ms.phosphosite.org:5080/cgi-bin/plot-msms.cgi?MassType=1&amp;NumAxis=1&amp;Mod5=170&amp;Mod20=147&amp;Pep=GPPSRGGHMDDGGYSMNFNMSSSR&amp;Dta=/var/www/html/dta/yong/23613.7468.3.dta&amp;Global_Mod=CS57.0215", "7468")</f>
        <v>7468</v>
      </c>
      <c r="N2298" s="27"/>
      <c r="O2298" s="27">
        <v>34.82</v>
      </c>
      <c r="P2298" s="27"/>
      <c r="Q2298" s="27">
        <v>4.3449999999999998</v>
      </c>
      <c r="R2298" s="27"/>
      <c r="S2298" s="27">
        <v>0.57410000000000005</v>
      </c>
      <c r="T2298" s="27"/>
      <c r="U2298" s="27">
        <v>0.39100000000000001</v>
      </c>
      <c r="V2298" s="1"/>
      <c r="W2298" s="1">
        <v>1</v>
      </c>
      <c r="X2298" s="27"/>
      <c r="Y2298" s="27">
        <v>2.87</v>
      </c>
      <c r="Z2298" s="28"/>
      <c r="AA2298" s="28">
        <v>1000</v>
      </c>
      <c r="AB2298" s="1" t="s">
        <v>13</v>
      </c>
    </row>
    <row r="2299" spans="1:28">
      <c r="A2299" t="s">
        <v>773</v>
      </c>
      <c r="B2299" s="29" t="s">
        <v>3156</v>
      </c>
      <c r="C2299" s="26" t="s">
        <v>3156</v>
      </c>
      <c r="D2299" s="1">
        <v>125</v>
      </c>
      <c r="E2299" t="s">
        <v>3158</v>
      </c>
      <c r="F2299" s="3" t="s">
        <v>3159</v>
      </c>
      <c r="G2299" s="1">
        <v>42.3</v>
      </c>
      <c r="H2299" t="s">
        <v>3162</v>
      </c>
      <c r="I2299" t="s">
        <v>3177</v>
      </c>
      <c r="J2299" s="1">
        <v>4</v>
      </c>
      <c r="K2299" s="1">
        <v>640.27059999999994</v>
      </c>
      <c r="L2299" s="1" t="str">
        <f>HYPERLINK("http://ms.phosphosite.org:5080/cgi-bin/plot-msms.cgi?MassType=1&amp;NumAxis=1&amp;Mod5=170&amp;Pep=GPPSRGGHMDDGGYSMNFNMSSSR&amp;Dta=/var/www/html/dta/yong/23612.9151.4.dta&amp;Global_Mod=CS57.0215", "9151")</f>
        <v>9151</v>
      </c>
      <c r="M2299" s="1"/>
      <c r="N2299" s="27">
        <v>40.98</v>
      </c>
      <c r="O2299" s="27"/>
      <c r="P2299" s="27">
        <v>2.7029999999999998</v>
      </c>
      <c r="Q2299" s="27"/>
      <c r="R2299" s="27">
        <v>-0.87680000000000002</v>
      </c>
      <c r="S2299" s="27"/>
      <c r="T2299" s="27">
        <v>0.1328</v>
      </c>
      <c r="U2299" s="27"/>
      <c r="V2299" s="1">
        <v>2</v>
      </c>
      <c r="W2299" s="1"/>
      <c r="X2299" s="27">
        <v>1.36</v>
      </c>
      <c r="Y2299" s="27"/>
      <c r="Z2299" s="28">
        <v>1000</v>
      </c>
      <c r="AA2299" s="28"/>
      <c r="AB2299" s="1" t="s">
        <v>13</v>
      </c>
    </row>
    <row r="2300" spans="1:28">
      <c r="A2300" t="s">
        <v>868</v>
      </c>
      <c r="B2300" s="2" t="s">
        <v>3178</v>
      </c>
      <c r="C2300" t="s">
        <v>3179</v>
      </c>
      <c r="D2300" s="1">
        <v>13</v>
      </c>
      <c r="E2300" t="s">
        <v>3180</v>
      </c>
      <c r="F2300" s="3" t="s">
        <v>3181</v>
      </c>
      <c r="G2300" s="1">
        <v>26.6</v>
      </c>
      <c r="H2300" t="s">
        <v>3182</v>
      </c>
      <c r="I2300" t="s">
        <v>3183</v>
      </c>
      <c r="J2300" s="1">
        <v>2</v>
      </c>
      <c r="K2300" s="1">
        <v>551.29359999999997</v>
      </c>
      <c r="L2300" s="1" t="str">
        <f>HYPERLINK("http://ms.phosphosite.org:5080/cgi-bin/plot-msms.cgi?MassType=1&amp;NumAxis=1&amp;Mod7=170&amp;Pep=PTFEPARGGR&amp;Dta=/var/www/html/dta/yong/23612.3724.2.dta&amp;Global_Mod=CS57.0215", "3724")</f>
        <v>3724</v>
      </c>
      <c r="M2300" s="1"/>
      <c r="N2300" s="27">
        <v>20.9</v>
      </c>
      <c r="O2300" s="27"/>
      <c r="P2300" s="27">
        <v>2.0960000000000001</v>
      </c>
      <c r="Q2300" s="27"/>
      <c r="R2300" s="27">
        <v>0.32450000000000001</v>
      </c>
      <c r="S2300" s="27"/>
      <c r="T2300" s="27">
        <v>0.12559999999999999</v>
      </c>
      <c r="U2300" s="27"/>
      <c r="V2300" s="1">
        <v>28</v>
      </c>
      <c r="W2300" s="1"/>
      <c r="X2300" s="27">
        <v>0.84</v>
      </c>
      <c r="Y2300" s="27"/>
      <c r="Z2300" s="28">
        <v>1000</v>
      </c>
      <c r="AA2300" s="28"/>
      <c r="AB2300" s="1" t="s">
        <v>13</v>
      </c>
    </row>
    <row r="2301" spans="1:28">
      <c r="A2301" t="s">
        <v>868</v>
      </c>
      <c r="B2301" s="29" t="s">
        <v>3184</v>
      </c>
      <c r="C2301" s="26" t="s">
        <v>3185</v>
      </c>
      <c r="D2301" s="1">
        <v>225</v>
      </c>
      <c r="E2301" t="s">
        <v>3186</v>
      </c>
      <c r="F2301" s="3" t="s">
        <v>3187</v>
      </c>
      <c r="G2301" s="1">
        <v>34.200000000000003</v>
      </c>
      <c r="H2301" t="s">
        <v>3188</v>
      </c>
      <c r="I2301" t="s">
        <v>3189</v>
      </c>
      <c r="J2301" s="1">
        <v>2</v>
      </c>
      <c r="K2301" s="1">
        <v>485.23050000000001</v>
      </c>
      <c r="L2301" s="1" t="str">
        <f>HYPERLINK("http://ms.phosphosite.org:5080/cgi-bin/plot-msms.cgi?MassType=1&amp;NumAxis=1&amp;Mod7=170&amp;Pep=GGNFSGRGGF&amp;Dta=/var/www/html/dta/yong/23612.7127.2.dta&amp;Global_Mod=CS57.0215", "7127")</f>
        <v>7127</v>
      </c>
      <c r="M2301" s="1" t="str">
        <f>HYPERLINK("http://ms.phosphosite.org:5080/cgi-bin/plot-msms.cgi?MassType=1&amp;NumAxis=1&amp;Mod7=170&amp;Pep=GGNFSGRGGF&amp;Dta=/var/www/html/dta/yong/23613.7181.2.dta&amp;Global_Mod=CS57.0215", "7181")</f>
        <v>7181</v>
      </c>
      <c r="N2301" s="27">
        <v>33.72</v>
      </c>
      <c r="O2301" s="27">
        <v>33.75</v>
      </c>
      <c r="P2301" s="27">
        <v>2.84</v>
      </c>
      <c r="Q2301" s="27">
        <v>2.8010000000000002</v>
      </c>
      <c r="R2301" s="27">
        <v>0.2492</v>
      </c>
      <c r="S2301" s="27">
        <v>0.26079999999999998</v>
      </c>
      <c r="T2301" s="27">
        <v>0.23519999999999999</v>
      </c>
      <c r="U2301" s="27">
        <v>0.27050000000000002</v>
      </c>
      <c r="V2301" s="1">
        <v>2</v>
      </c>
      <c r="W2301" s="1">
        <v>1</v>
      </c>
      <c r="X2301" s="27">
        <v>1.9</v>
      </c>
      <c r="Y2301" s="27">
        <v>2.14</v>
      </c>
      <c r="Z2301" s="28">
        <v>1000</v>
      </c>
      <c r="AA2301" s="28">
        <v>1000</v>
      </c>
      <c r="AB2301" s="1" t="s">
        <v>13</v>
      </c>
    </row>
    <row r="2302" spans="1:28">
      <c r="A2302" t="s">
        <v>868</v>
      </c>
      <c r="B2302" s="29" t="s">
        <v>3184</v>
      </c>
      <c r="C2302" s="26" t="s">
        <v>3185</v>
      </c>
      <c r="D2302" s="1">
        <v>194</v>
      </c>
      <c r="E2302" t="s">
        <v>3186</v>
      </c>
      <c r="F2302" s="3" t="s">
        <v>3187</v>
      </c>
      <c r="G2302" s="1">
        <v>34.200000000000003</v>
      </c>
      <c r="H2302" t="s">
        <v>3190</v>
      </c>
      <c r="I2302" t="s">
        <v>3191</v>
      </c>
      <c r="J2302" s="1">
        <v>2</v>
      </c>
      <c r="K2302" s="1">
        <v>606.26969999999994</v>
      </c>
      <c r="L2302" s="1"/>
      <c r="M2302" s="1" t="str">
        <f>HYPERLINK("http://ms.phosphosite.org:5080/cgi-bin/plot-msms.cgi?MassType=1&amp;NumAxis=1&amp;Mod3=147&amp;Mod11=170&amp;Pep=QEMASASSSQR&amp;Dta=/var/www/html/dta/yong/23613.1023.2.dta&amp;Global_Mod=CS57.0215", "1023")</f>
        <v>1023</v>
      </c>
      <c r="N2302" s="27"/>
      <c r="O2302" s="27">
        <v>10.5</v>
      </c>
      <c r="P2302" s="27"/>
      <c r="Q2302" s="27">
        <v>2.2999999999999998</v>
      </c>
      <c r="R2302" s="27"/>
      <c r="S2302" s="27">
        <v>0.52549999999999997</v>
      </c>
      <c r="T2302" s="27"/>
      <c r="U2302" s="27">
        <v>0.26519999999999999</v>
      </c>
      <c r="V2302" s="1"/>
      <c r="W2302" s="1">
        <v>1</v>
      </c>
      <c r="X2302" s="27"/>
      <c r="Y2302" s="27">
        <v>2.19</v>
      </c>
      <c r="Z2302" s="28"/>
      <c r="AA2302" s="28">
        <v>1000</v>
      </c>
      <c r="AB2302" s="1" t="s">
        <v>13</v>
      </c>
    </row>
    <row r="2303" spans="1:28">
      <c r="A2303" t="s">
        <v>868</v>
      </c>
      <c r="B2303" s="29" t="s">
        <v>3184</v>
      </c>
      <c r="C2303" s="26" t="s">
        <v>3185</v>
      </c>
      <c r="D2303" s="1">
        <v>194</v>
      </c>
      <c r="E2303" t="s">
        <v>3186</v>
      </c>
      <c r="F2303" s="3" t="s">
        <v>3187</v>
      </c>
      <c r="G2303" s="1">
        <v>34.200000000000003</v>
      </c>
      <c r="H2303" t="s">
        <v>3190</v>
      </c>
      <c r="I2303" t="s">
        <v>3192</v>
      </c>
      <c r="J2303" s="1">
        <v>2</v>
      </c>
      <c r="K2303" s="1">
        <v>598.2722</v>
      </c>
      <c r="L2303" s="1" t="str">
        <f>HYPERLINK("http://ms.phosphosite.org:5080/cgi-bin/plot-msms.cgi?MassType=1&amp;NumAxis=1&amp;Mod11=170&amp;Pep=QEMASASSSQR&amp;Dta=/var/www/html/dta/yong/23612.1934.2.dta&amp;Global_Mod=CS57.0215", "1934")</f>
        <v>1934</v>
      </c>
      <c r="M2303" s="1" t="str">
        <f>HYPERLINK("http://ms.phosphosite.org:5080/cgi-bin/plot-msms.cgi?MassType=1&amp;NumAxis=1&amp;Mod11=170&amp;Pep=QEMASASSSQR&amp;Dta=/var/www/html/dta/yong/23613.1952.2.dta&amp;Global_Mod=CS57.0215", "1952")</f>
        <v>1952</v>
      </c>
      <c r="N2303" s="27">
        <v>14.12</v>
      </c>
      <c r="O2303" s="27">
        <v>14.03</v>
      </c>
      <c r="P2303" s="27">
        <v>1.776</v>
      </c>
      <c r="Q2303" s="27">
        <v>2.363</v>
      </c>
      <c r="R2303" s="27">
        <v>1.2909999999999999</v>
      </c>
      <c r="S2303" s="27">
        <v>0.41930000000000001</v>
      </c>
      <c r="T2303" s="27">
        <v>6.5100000000000005E-2</v>
      </c>
      <c r="U2303" s="27">
        <v>0.38719999999999999</v>
      </c>
      <c r="V2303" s="1">
        <v>6</v>
      </c>
      <c r="W2303" s="1">
        <v>1</v>
      </c>
      <c r="X2303" s="27">
        <v>1</v>
      </c>
      <c r="Y2303" s="27">
        <v>2.81</v>
      </c>
      <c r="Z2303" s="28">
        <v>1000</v>
      </c>
      <c r="AA2303" s="28">
        <v>1000</v>
      </c>
      <c r="AB2303" s="1" t="s">
        <v>13</v>
      </c>
    </row>
    <row r="2304" spans="1:28">
      <c r="A2304" t="s">
        <v>868</v>
      </c>
      <c r="B2304" s="29" t="s">
        <v>3184</v>
      </c>
      <c r="C2304" s="26" t="s">
        <v>3185</v>
      </c>
      <c r="D2304" s="1">
        <v>284</v>
      </c>
      <c r="E2304" t="s">
        <v>3186</v>
      </c>
      <c r="F2304" s="3" t="s">
        <v>3187</v>
      </c>
      <c r="G2304" s="1">
        <v>34.200000000000003</v>
      </c>
      <c r="H2304" t="s">
        <v>3193</v>
      </c>
      <c r="I2304" t="s">
        <v>3194</v>
      </c>
      <c r="J2304" s="1">
        <v>3</v>
      </c>
      <c r="K2304" s="1">
        <v>678.98540000000003</v>
      </c>
      <c r="L2304" s="1" t="str">
        <f>HYPERLINK("http://ms.phosphosite.org:5080/cgi-bin/plot-msms.cgi?MassType=1&amp;NumAxis=1&amp;Mod7=170&amp;Pep=GGNFGGRSSGPYGGGGQYFAK&amp;Dta=/var/www/html/dta/yong/23612.8387.3.dta&amp;Global_Mod=CS57.0215", "8387")</f>
        <v>8387</v>
      </c>
      <c r="M2304" s="1" t="str">
        <f>HYPERLINK("http://ms.phosphosite.org:5080/cgi-bin/plot-msms.cgi?MassType=1&amp;NumAxis=1&amp;Mod7=170&amp;Pep=GGNFGGRSSGPYGGGGQYFAK&amp;Dta=/var/www/html/dta/yong/23613.8426.3.dta&amp;Global_Mod=CS57.0215", "8426")</f>
        <v>8426</v>
      </c>
      <c r="N2304" s="27">
        <v>38.26</v>
      </c>
      <c r="O2304" s="27">
        <v>38.32</v>
      </c>
      <c r="P2304" s="27">
        <v>2.5129999999999999</v>
      </c>
      <c r="Q2304" s="27">
        <v>2.7559999999999998</v>
      </c>
      <c r="R2304" s="27">
        <v>0.3019</v>
      </c>
      <c r="S2304" s="27">
        <v>1.1420999999999999</v>
      </c>
      <c r="T2304" s="27">
        <v>0.1978</v>
      </c>
      <c r="U2304" s="27">
        <v>0.2102</v>
      </c>
      <c r="V2304" s="1">
        <v>1</v>
      </c>
      <c r="W2304" s="1">
        <v>1</v>
      </c>
      <c r="X2304" s="27">
        <v>1.59</v>
      </c>
      <c r="Y2304" s="27">
        <v>1.71</v>
      </c>
      <c r="Z2304" s="28">
        <v>1000</v>
      </c>
      <c r="AA2304" s="28">
        <v>1000</v>
      </c>
      <c r="AB2304" s="1" t="s">
        <v>13</v>
      </c>
    </row>
    <row r="2305" spans="1:28">
      <c r="A2305" t="s">
        <v>868</v>
      </c>
      <c r="B2305" s="29" t="s">
        <v>3195</v>
      </c>
      <c r="C2305" s="26" t="s">
        <v>3196</v>
      </c>
      <c r="D2305" s="1">
        <v>349</v>
      </c>
      <c r="E2305" t="s">
        <v>869</v>
      </c>
      <c r="F2305" s="3" t="s">
        <v>3197</v>
      </c>
      <c r="G2305" s="1">
        <v>37.9</v>
      </c>
      <c r="H2305" t="s">
        <v>3198</v>
      </c>
      <c r="I2305" t="s">
        <v>3199</v>
      </c>
      <c r="J2305" s="1">
        <v>4</v>
      </c>
      <c r="K2305" s="1">
        <v>675.09720000000004</v>
      </c>
      <c r="L2305" s="1" t="str">
        <f>HYPERLINK("http://ms.phosphosite.org:5080/cgi-bin/plot-msms.cgi?MassType=1&amp;NumAxis=1&amp;Mod26=170&amp;Pep=VYTADPYHALAPAASYGVGAVASLYR&amp;Dta=/var/www/html/dta/yong/23612.18126.4.dta&amp;Global_Mod=CS57.0215", "18126")</f>
        <v>18126</v>
      </c>
      <c r="M2305" s="1"/>
      <c r="N2305" s="27">
        <v>74.739999999999995</v>
      </c>
      <c r="O2305" s="27"/>
      <c r="P2305" s="27">
        <v>3.101</v>
      </c>
      <c r="Q2305" s="27"/>
      <c r="R2305" s="27">
        <v>1.5214000000000001</v>
      </c>
      <c r="S2305" s="27"/>
      <c r="T2305" s="27">
        <v>0.1459</v>
      </c>
      <c r="U2305" s="27"/>
      <c r="V2305" s="1">
        <v>2</v>
      </c>
      <c r="W2305" s="1"/>
      <c r="X2305" s="27">
        <v>1.25</v>
      </c>
      <c r="Y2305" s="27"/>
      <c r="Z2305" s="28">
        <v>1000</v>
      </c>
      <c r="AA2305" s="28"/>
      <c r="AB2305" s="1" t="s">
        <v>13</v>
      </c>
    </row>
    <row r="2306" spans="1:28">
      <c r="A2306" t="s">
        <v>868</v>
      </c>
      <c r="B2306" s="29" t="s">
        <v>3195</v>
      </c>
      <c r="C2306" s="26" t="s">
        <v>3196</v>
      </c>
      <c r="D2306" s="1">
        <v>349</v>
      </c>
      <c r="E2306" t="s">
        <v>869</v>
      </c>
      <c r="F2306" s="3" t="s">
        <v>3197</v>
      </c>
      <c r="G2306" s="1">
        <v>37.9</v>
      </c>
      <c r="H2306" t="s">
        <v>3198</v>
      </c>
      <c r="I2306" t="s">
        <v>3200</v>
      </c>
      <c r="J2306" s="1">
        <v>3</v>
      </c>
      <c r="K2306" s="1">
        <v>992.1626</v>
      </c>
      <c r="L2306" s="1" t="str">
        <f>HYPERLINK("http://ms.phosphosite.org:5080/cgi-bin/plot-msms.cgi?MassType=1&amp;NumAxis=1&amp;Mod26=170&amp;Pep=VYTADPYHALAPAASYGVGAVASLYRGGY&amp;Dta=/var/www/html/dta/yong/23612.19186.3.dta&amp;Global_Mod=CS57.0215", "19186")</f>
        <v>19186</v>
      </c>
      <c r="M2306" s="1" t="str">
        <f>HYPERLINK("http://ms.phosphosite.org:5080/cgi-bin/plot-msms.cgi?MassType=1&amp;NumAxis=1&amp;Mod26=170&amp;Pep=VYTADPYHALAPAASYGVGAVASLYRGGY&amp;Dta=/var/www/html/dta/yong/23613.19257.3.dta&amp;Global_Mod=CS57.0215", "19257")</f>
        <v>19257</v>
      </c>
      <c r="N2306" s="27">
        <v>79.63</v>
      </c>
      <c r="O2306" s="27">
        <v>79.52</v>
      </c>
      <c r="P2306" s="27">
        <v>3.278</v>
      </c>
      <c r="Q2306" s="27">
        <v>3.2010000000000001</v>
      </c>
      <c r="R2306" s="27">
        <v>1.1544000000000001</v>
      </c>
      <c r="S2306" s="27">
        <v>1.0734999999999999</v>
      </c>
      <c r="T2306" s="27">
        <v>0.27289999999999998</v>
      </c>
      <c r="U2306" s="27">
        <v>0.22850000000000001</v>
      </c>
      <c r="V2306" s="1">
        <v>1</v>
      </c>
      <c r="W2306" s="1">
        <v>2</v>
      </c>
      <c r="X2306" s="27">
        <v>1.64</v>
      </c>
      <c r="Y2306" s="27">
        <v>1.37</v>
      </c>
      <c r="Z2306" s="28">
        <v>1000</v>
      </c>
      <c r="AA2306" s="28">
        <v>1000</v>
      </c>
      <c r="AB2306" s="1" t="s">
        <v>13</v>
      </c>
    </row>
    <row r="2307" spans="1:28">
      <c r="A2307" t="s">
        <v>868</v>
      </c>
      <c r="B2307" s="29" t="s">
        <v>3195</v>
      </c>
      <c r="C2307" s="26" t="s">
        <v>3196</v>
      </c>
      <c r="D2307" s="1">
        <v>349</v>
      </c>
      <c r="E2307" t="s">
        <v>869</v>
      </c>
      <c r="F2307" s="3" t="s">
        <v>3197</v>
      </c>
      <c r="G2307" s="1">
        <v>37.9</v>
      </c>
      <c r="H2307" t="s">
        <v>3198</v>
      </c>
      <c r="I2307" t="s">
        <v>3200</v>
      </c>
      <c r="J2307" s="1">
        <v>3</v>
      </c>
      <c r="K2307" s="1">
        <v>992.1626</v>
      </c>
      <c r="L2307" s="1" t="str">
        <f>HYPERLINK("http://ms.phosphosite.org:5080/cgi-bin/plot-msms.cgi?MassType=1&amp;NumAxis=1&amp;Mod26=170&amp;Pep=VYTADPYHALAPAASYGVGAVASLYRGGY&amp;Dta=/var/www/html/dta/yong/23612.19166.3.dta&amp;Global_Mod=CS57.0215", "19166")</f>
        <v>19166</v>
      </c>
      <c r="M2307" s="1"/>
      <c r="N2307" s="27">
        <v>79.53</v>
      </c>
      <c r="O2307" s="27"/>
      <c r="P2307" s="27">
        <v>3.3639999999999999</v>
      </c>
      <c r="Q2307" s="27"/>
      <c r="R2307" s="27">
        <v>1.1544000000000001</v>
      </c>
      <c r="S2307" s="27"/>
      <c r="T2307" s="27">
        <v>0.4037</v>
      </c>
      <c r="U2307" s="27"/>
      <c r="V2307" s="1">
        <v>1</v>
      </c>
      <c r="W2307" s="1"/>
      <c r="X2307" s="27">
        <v>2.31</v>
      </c>
      <c r="Y2307" s="27"/>
      <c r="Z2307" s="28">
        <v>1000</v>
      </c>
      <c r="AA2307" s="28"/>
      <c r="AB2307" s="1" t="s">
        <v>13</v>
      </c>
    </row>
    <row r="2308" spans="1:28">
      <c r="A2308" t="s">
        <v>868</v>
      </c>
      <c r="B2308" s="29" t="s">
        <v>3195</v>
      </c>
      <c r="C2308" s="26" t="s">
        <v>3196</v>
      </c>
      <c r="D2308" s="1">
        <v>349</v>
      </c>
      <c r="E2308" t="s">
        <v>869</v>
      </c>
      <c r="F2308" s="3" t="s">
        <v>3197</v>
      </c>
      <c r="G2308" s="1">
        <v>37.9</v>
      </c>
      <c r="H2308" t="s">
        <v>3198</v>
      </c>
      <c r="I2308" t="s">
        <v>3201</v>
      </c>
      <c r="J2308" s="1">
        <v>4</v>
      </c>
      <c r="K2308" s="1">
        <v>805.15710000000001</v>
      </c>
      <c r="L2308" s="1"/>
      <c r="M2308" s="1" t="str">
        <f>HYPERLINK("http://ms.phosphosite.org:5080/cgi-bin/plot-msms.cgi?MassType=1&amp;NumAxis=1&amp;Mod26=170&amp;Pep=VYTADPYHALAPAASYGVGAVASLYRGGYSR&amp;Dta=/var/www/html/dta/yong/23613.17888.4.dta&amp;Global_Mod=CS57.0215", "17888")</f>
        <v>17888</v>
      </c>
      <c r="N2308" s="27"/>
      <c r="O2308" s="27">
        <v>73.239999999999995</v>
      </c>
      <c r="P2308" s="27"/>
      <c r="Q2308" s="27">
        <v>3.2879999999999998</v>
      </c>
      <c r="R2308" s="27"/>
      <c r="S2308" s="27">
        <v>1.1173</v>
      </c>
      <c r="T2308" s="27"/>
      <c r="U2308" s="27">
        <v>0.28949999999999998</v>
      </c>
      <c r="V2308" s="1"/>
      <c r="W2308" s="1">
        <v>2</v>
      </c>
      <c r="X2308" s="27"/>
      <c r="Y2308" s="27">
        <v>1.7</v>
      </c>
      <c r="Z2308" s="28"/>
      <c r="AA2308" s="28">
        <v>1000</v>
      </c>
      <c r="AB2308" s="1" t="s">
        <v>13</v>
      </c>
    </row>
    <row r="2309" spans="1:28">
      <c r="A2309" t="s">
        <v>868</v>
      </c>
      <c r="B2309" s="29" t="s">
        <v>3195</v>
      </c>
      <c r="C2309" s="26" t="s">
        <v>3196</v>
      </c>
      <c r="D2309" s="1">
        <v>354</v>
      </c>
      <c r="E2309" t="s">
        <v>869</v>
      </c>
      <c r="F2309" s="3" t="s">
        <v>3197</v>
      </c>
      <c r="G2309" s="1">
        <v>37.9</v>
      </c>
      <c r="H2309" t="s">
        <v>3198</v>
      </c>
      <c r="I2309" t="s">
        <v>3202</v>
      </c>
      <c r="J2309" s="1">
        <v>4</v>
      </c>
      <c r="K2309" s="1">
        <v>805.15710000000001</v>
      </c>
      <c r="L2309" s="1" t="str">
        <f>HYPERLINK("http://ms.phosphosite.org:5080/cgi-bin/plot-msms.cgi?MassType=1&amp;NumAxis=1&amp;Mod31=170&amp;Pep=VYTADPYHALAPAASYGVGAVASLYRGGYSR&amp;Dta=/var/www/html/dta/yong/23612.17820.4.dta&amp;Global_Mod=CS57.0215", "17820")</f>
        <v>17820</v>
      </c>
      <c r="M2309" s="1"/>
      <c r="N2309" s="27">
        <v>73.39</v>
      </c>
      <c r="O2309" s="27"/>
      <c r="P2309" s="27">
        <v>3.6920000000000002</v>
      </c>
      <c r="Q2309" s="27"/>
      <c r="R2309" s="27">
        <v>1.5271999999999999</v>
      </c>
      <c r="S2309" s="27"/>
      <c r="T2309" s="27">
        <v>0.25719999999999998</v>
      </c>
      <c r="U2309" s="27"/>
      <c r="V2309" s="1">
        <v>1</v>
      </c>
      <c r="W2309" s="1"/>
      <c r="X2309" s="27">
        <v>1.66</v>
      </c>
      <c r="Y2309" s="27"/>
      <c r="Z2309" s="28">
        <v>1000</v>
      </c>
      <c r="AA2309" s="28"/>
      <c r="AB2309" s="1" t="s">
        <v>13</v>
      </c>
    </row>
    <row r="2310" spans="1:28">
      <c r="A2310" t="s">
        <v>888</v>
      </c>
      <c r="B2310" s="2" t="s">
        <v>3203</v>
      </c>
      <c r="C2310" t="s">
        <v>3204</v>
      </c>
      <c r="D2310" s="1">
        <v>564</v>
      </c>
      <c r="E2310" t="s">
        <v>3205</v>
      </c>
      <c r="F2310" s="3" t="s">
        <v>3206</v>
      </c>
      <c r="G2310" s="1">
        <v>62.9</v>
      </c>
      <c r="H2310" t="s">
        <v>3207</v>
      </c>
      <c r="I2310" t="s">
        <v>3208</v>
      </c>
      <c r="J2310" s="1">
        <v>2</v>
      </c>
      <c r="K2310" s="1">
        <v>546.24490000000003</v>
      </c>
      <c r="L2310" s="1" t="str">
        <f>HYPERLINK("http://ms.phosphosite.org:5080/cgi-bin/plot-msms.cgi?MassType=1&amp;NumAxis=1&amp;Mod14=170&amp;Pep=GGGGGGSSSNAGGR&amp;Dta=/var/www/html/dta/yong/23612.3015.2.dta&amp;Global_Mod=CS57.0215", "3015")</f>
        <v>3015</v>
      </c>
      <c r="M2310" s="1"/>
      <c r="N2310" s="27">
        <v>18.2</v>
      </c>
      <c r="O2310" s="27"/>
      <c r="P2310" s="27">
        <v>2.1469999999999998</v>
      </c>
      <c r="Q2310" s="27"/>
      <c r="R2310" s="27">
        <v>-3.76</v>
      </c>
      <c r="S2310" s="27"/>
      <c r="T2310" s="27">
        <v>0.1205</v>
      </c>
      <c r="U2310" s="27"/>
      <c r="V2310" s="1">
        <v>42</v>
      </c>
      <c r="W2310" s="1"/>
      <c r="X2310" s="27">
        <v>0.74</v>
      </c>
      <c r="Y2310" s="27"/>
      <c r="Z2310" s="28">
        <v>1000</v>
      </c>
      <c r="AA2310" s="28"/>
      <c r="AB2310" s="1" t="s">
        <v>13</v>
      </c>
    </row>
    <row r="2311" spans="1:28">
      <c r="A2311" t="s">
        <v>888</v>
      </c>
      <c r="B2311" s="2" t="s">
        <v>893</v>
      </c>
      <c r="C2311" t="s">
        <v>894</v>
      </c>
      <c r="D2311" s="1">
        <v>1882</v>
      </c>
      <c r="E2311" t="s">
        <v>895</v>
      </c>
      <c r="F2311" s="3" t="s">
        <v>3209</v>
      </c>
      <c r="G2311" s="1">
        <v>243.7</v>
      </c>
      <c r="H2311" t="s">
        <v>3210</v>
      </c>
      <c r="I2311" t="s">
        <v>896</v>
      </c>
      <c r="J2311" s="1">
        <v>3</v>
      </c>
      <c r="K2311" s="1">
        <v>1057.4948999999999</v>
      </c>
      <c r="L2311" s="1" t="str">
        <f>HYPERLINK("http://ms.phosphosite.org:5080/cgi-bin/plot-msms.cgi?MassType=1&amp;NumAxis=1&amp;Mod29=170&amp;Pep=EFQDAPYNEVTGAPAQFEGTEQAPFLGSR&amp;Dta=/var/www/html/dta/yong/23612.16468.3.dta&amp;Global_Mod=CS57.0215", "16468")</f>
        <v>16468</v>
      </c>
      <c r="M2311" s="1" t="str">
        <f>HYPERLINK("http://ms.phosphosite.org:5080/cgi-bin/plot-msms.cgi?MassType=1&amp;NumAxis=1&amp;Mod29=170&amp;Pep=EFQDAPYNEVTGAPAQFEGTEQAPFLGSR&amp;Dta=/var/www/html/dta/yong/23613.16543.3.dta&amp;Global_Mod=CS57.0215", "16543")</f>
        <v>16543</v>
      </c>
      <c r="N2311" s="27">
        <v>67.55</v>
      </c>
      <c r="O2311" s="27">
        <v>67.5</v>
      </c>
      <c r="P2311" s="27">
        <v>4.9489999999999998</v>
      </c>
      <c r="Q2311" s="27">
        <v>5.008</v>
      </c>
      <c r="R2311" s="27">
        <v>1.3773</v>
      </c>
      <c r="S2311" s="27">
        <v>1.3409</v>
      </c>
      <c r="T2311" s="27">
        <v>0.50119999999999998</v>
      </c>
      <c r="U2311" s="27">
        <v>0.40210000000000001</v>
      </c>
      <c r="V2311" s="1">
        <v>1</v>
      </c>
      <c r="W2311" s="1">
        <v>1</v>
      </c>
      <c r="X2311" s="27">
        <v>3.27</v>
      </c>
      <c r="Y2311" s="27">
        <v>2.79</v>
      </c>
      <c r="Z2311" s="28">
        <v>1000</v>
      </c>
      <c r="AA2311" s="28">
        <v>1000</v>
      </c>
      <c r="AB2311" s="1" t="s">
        <v>13</v>
      </c>
    </row>
    <row r="2312" spans="1:28">
      <c r="A2312" t="s">
        <v>888</v>
      </c>
      <c r="B2312" s="2" t="s">
        <v>893</v>
      </c>
      <c r="C2312" t="s">
        <v>894</v>
      </c>
      <c r="D2312" s="1">
        <v>1882</v>
      </c>
      <c r="E2312" t="s">
        <v>895</v>
      </c>
      <c r="F2312" s="3" t="s">
        <v>3209</v>
      </c>
      <c r="G2312" s="1">
        <v>243.7</v>
      </c>
      <c r="H2312" t="s">
        <v>3210</v>
      </c>
      <c r="I2312" t="s">
        <v>896</v>
      </c>
      <c r="J2312" s="1">
        <v>3</v>
      </c>
      <c r="K2312" s="1">
        <v>1057.4948999999999</v>
      </c>
      <c r="L2312" s="1"/>
      <c r="M2312" s="1" t="str">
        <f>HYPERLINK("http://ms.phosphosite.org:5080/cgi-bin/plot-msms.cgi?MassType=1&amp;NumAxis=1&amp;Mod29=170&amp;Pep=EFQDAPYNEVTGAPAQFEGTEQAPFLGSR&amp;Dta=/var/www/html/dta/yong/23613.16531.3.dta&amp;Global_Mod=CS57.0215", "16531")</f>
        <v>16531</v>
      </c>
      <c r="N2312" s="27"/>
      <c r="O2312" s="27">
        <v>67.44</v>
      </c>
      <c r="P2312" s="27"/>
      <c r="Q2312" s="27">
        <v>5.6870000000000003</v>
      </c>
      <c r="R2312" s="27"/>
      <c r="S2312" s="27">
        <v>1.3412999999999999</v>
      </c>
      <c r="T2312" s="27"/>
      <c r="U2312" s="27">
        <v>0.4945</v>
      </c>
      <c r="V2312" s="1"/>
      <c r="W2312" s="1">
        <v>1</v>
      </c>
      <c r="X2312" s="27"/>
      <c r="Y2312" s="27">
        <v>3.39</v>
      </c>
      <c r="Z2312" s="28"/>
      <c r="AA2312" s="28">
        <v>1000</v>
      </c>
      <c r="AB2312" s="1" t="s">
        <v>13</v>
      </c>
    </row>
    <row r="2313" spans="1:28">
      <c r="A2313" t="s">
        <v>888</v>
      </c>
      <c r="B2313" s="2" t="s">
        <v>893</v>
      </c>
      <c r="C2313" t="s">
        <v>894</v>
      </c>
      <c r="D2313" s="1">
        <v>1882</v>
      </c>
      <c r="E2313" t="s">
        <v>895</v>
      </c>
      <c r="F2313" s="3" t="s">
        <v>3209</v>
      </c>
      <c r="G2313" s="1">
        <v>243.7</v>
      </c>
      <c r="H2313" t="s">
        <v>3210</v>
      </c>
      <c r="I2313" t="s">
        <v>3211</v>
      </c>
      <c r="J2313" s="1">
        <v>2</v>
      </c>
      <c r="K2313" s="1">
        <v>989.48689999999999</v>
      </c>
      <c r="L2313" s="1"/>
      <c r="M2313" s="1" t="str">
        <f>HYPERLINK("http://ms.phosphosite.org:5080/cgi-bin/plot-msms.cgi?MassType=1&amp;NumAxis=1&amp;Mod19=170&amp;Pep=TGAPAQFEGTEQAPFLGSR&amp;Dta=/var/www/html/dta/yong/23613.12929.2.dta&amp;Global_Mod=CS57.0215", "12929")</f>
        <v>12929</v>
      </c>
      <c r="N2313" s="27"/>
      <c r="O2313" s="27">
        <v>53.68</v>
      </c>
      <c r="P2313" s="27"/>
      <c r="Q2313" s="27">
        <v>5.1440000000000001</v>
      </c>
      <c r="R2313" s="27"/>
      <c r="S2313" s="27">
        <v>-0.1923</v>
      </c>
      <c r="T2313" s="27"/>
      <c r="U2313" s="27">
        <v>0.48060000000000003</v>
      </c>
      <c r="V2313" s="1"/>
      <c r="W2313" s="1">
        <v>1</v>
      </c>
      <c r="X2313" s="27"/>
      <c r="Y2313" s="27">
        <v>3.3</v>
      </c>
      <c r="Z2313" s="28"/>
      <c r="AA2313" s="28">
        <v>1000</v>
      </c>
      <c r="AB2313" s="1" t="s">
        <v>13</v>
      </c>
    </row>
    <row r="2314" spans="1:28">
      <c r="A2314" t="s">
        <v>888</v>
      </c>
      <c r="B2314" s="2" t="s">
        <v>893</v>
      </c>
      <c r="C2314" t="s">
        <v>894</v>
      </c>
      <c r="D2314" s="1">
        <v>1882</v>
      </c>
      <c r="E2314" t="s">
        <v>895</v>
      </c>
      <c r="F2314" s="3" t="s">
        <v>3209</v>
      </c>
      <c r="G2314" s="1">
        <v>243.7</v>
      </c>
      <c r="H2314" t="s">
        <v>3210</v>
      </c>
      <c r="I2314" t="s">
        <v>3211</v>
      </c>
      <c r="J2314" s="1">
        <v>3</v>
      </c>
      <c r="K2314" s="1">
        <v>659.99369999999999</v>
      </c>
      <c r="L2314" s="1"/>
      <c r="M2314" s="1" t="str">
        <f>HYPERLINK("http://ms.phosphosite.org:5080/cgi-bin/plot-msms.cgi?MassType=1&amp;NumAxis=1&amp;Mod19=170&amp;Pep=TGAPAQFEGTEQAPFLGSR&amp;Dta=/var/www/html/dta/yong/23613.12917.3.dta&amp;Global_Mod=CS57.0215", "12917")</f>
        <v>12917</v>
      </c>
      <c r="N2314" s="27"/>
      <c r="O2314" s="27">
        <v>53.63</v>
      </c>
      <c r="P2314" s="27"/>
      <c r="Q2314" s="27">
        <v>2.8639999999999999</v>
      </c>
      <c r="R2314" s="27"/>
      <c r="S2314" s="27">
        <v>-4.8999999999999998E-3</v>
      </c>
      <c r="T2314" s="27"/>
      <c r="U2314" s="27">
        <v>0.14169999999999999</v>
      </c>
      <c r="V2314" s="1"/>
      <c r="W2314" s="1">
        <v>9</v>
      </c>
      <c r="X2314" s="27"/>
      <c r="Y2314" s="27">
        <v>1.21</v>
      </c>
      <c r="Z2314" s="28"/>
      <c r="AA2314" s="28">
        <v>1000</v>
      </c>
      <c r="AB2314" s="1" t="s">
        <v>13</v>
      </c>
    </row>
    <row r="2315" spans="1:28">
      <c r="A2315" t="s">
        <v>888</v>
      </c>
      <c r="B2315" s="2" t="s">
        <v>3212</v>
      </c>
      <c r="C2315" t="s">
        <v>3213</v>
      </c>
      <c r="D2315" s="1">
        <v>337</v>
      </c>
      <c r="E2315" t="s">
        <v>3214</v>
      </c>
      <c r="F2315" s="3" t="s">
        <v>3215</v>
      </c>
      <c r="G2315" s="1">
        <v>61.6</v>
      </c>
      <c r="H2315" t="s">
        <v>3216</v>
      </c>
      <c r="I2315" t="s">
        <v>3217</v>
      </c>
      <c r="J2315" s="1">
        <v>4</v>
      </c>
      <c r="K2315" s="1">
        <v>755.64369999999997</v>
      </c>
      <c r="L2315" s="1"/>
      <c r="M2315" s="1" t="str">
        <f>HYPERLINK("http://ms.phosphosite.org:5080/cgi-bin/plot-msms.cgi?MassType=1&amp;NumAxis=1&amp;Mod28=170&amp;Pep=CQHAAHIISELILTAQERDGFGGLAAAR&amp;Dta=/var/www/html/dta/yong/23613.17196.4.dta&amp;Global_Mod=CS57.0215", "17196")</f>
        <v>17196</v>
      </c>
      <c r="N2315" s="27"/>
      <c r="O2315" s="27">
        <v>70.209999999999994</v>
      </c>
      <c r="P2315" s="27"/>
      <c r="Q2315" s="27">
        <v>4.3479999999999999</v>
      </c>
      <c r="R2315" s="27"/>
      <c r="S2315" s="27">
        <v>1.8555999999999999</v>
      </c>
      <c r="T2315" s="27"/>
      <c r="U2315" s="27">
        <v>0.25309999999999999</v>
      </c>
      <c r="V2315" s="1"/>
      <c r="W2315" s="1">
        <v>1</v>
      </c>
      <c r="X2315" s="27"/>
      <c r="Y2315" s="27">
        <v>1.78</v>
      </c>
      <c r="Z2315" s="28"/>
      <c r="AA2315" s="28">
        <v>1000</v>
      </c>
      <c r="AB2315" s="1" t="s">
        <v>13</v>
      </c>
    </row>
    <row r="2316" spans="1:28">
      <c r="A2316" t="s">
        <v>888</v>
      </c>
      <c r="B2316" s="2" t="s">
        <v>3212</v>
      </c>
      <c r="C2316" t="s">
        <v>3213</v>
      </c>
      <c r="D2316" s="1">
        <v>337</v>
      </c>
      <c r="E2316" t="s">
        <v>3214</v>
      </c>
      <c r="F2316" s="3" t="s">
        <v>3215</v>
      </c>
      <c r="G2316" s="1">
        <v>61.6</v>
      </c>
      <c r="H2316" t="s">
        <v>3218</v>
      </c>
      <c r="I2316" t="s">
        <v>3219</v>
      </c>
      <c r="J2316" s="1">
        <v>2</v>
      </c>
      <c r="K2316" s="1">
        <v>474.74849999999998</v>
      </c>
      <c r="L2316" s="1" t="str">
        <f>HYPERLINK("http://ms.phosphosite.org:5080/cgi-bin/plot-msms.cgi?MassType=1&amp;NumAxis=1&amp;Mod10=170&amp;Pep=DGFGGLAAAR&amp;Dta=/var/www/html/dta/yong/23612.9327.2.dta&amp;Global_Mod=CS57.0215", "9327")</f>
        <v>9327</v>
      </c>
      <c r="M2316" s="1" t="str">
        <f>HYPERLINK("http://ms.phosphosite.org:5080/cgi-bin/plot-msms.cgi?MassType=1&amp;NumAxis=1&amp;Mod10=170&amp;Pep=DGFGGLAAAR&amp;Dta=/var/www/html/dta/yong/23613.10271.2.dta&amp;Global_Mod=CS57.0215", "10271")</f>
        <v>10271</v>
      </c>
      <c r="N2316" s="27">
        <v>41.65</v>
      </c>
      <c r="O2316" s="27">
        <v>44.69</v>
      </c>
      <c r="P2316" s="27">
        <v>3.206</v>
      </c>
      <c r="Q2316" s="27">
        <v>3.2080000000000002</v>
      </c>
      <c r="R2316" s="27">
        <v>9.8699999999999996E-2</v>
      </c>
      <c r="S2316" s="27">
        <v>-0.21890000000000001</v>
      </c>
      <c r="T2316" s="27">
        <v>0.29420000000000002</v>
      </c>
      <c r="U2316" s="27">
        <v>0.35210000000000002</v>
      </c>
      <c r="V2316" s="1">
        <v>1</v>
      </c>
      <c r="W2316" s="1">
        <v>1</v>
      </c>
      <c r="X2316" s="27">
        <v>2.12</v>
      </c>
      <c r="Y2316" s="27">
        <v>2.4</v>
      </c>
      <c r="Z2316" s="28">
        <v>1000</v>
      </c>
      <c r="AA2316" s="28">
        <v>1000</v>
      </c>
      <c r="AB2316" s="1" t="s">
        <v>13</v>
      </c>
    </row>
    <row r="2317" spans="1:28">
      <c r="A2317" t="s">
        <v>888</v>
      </c>
      <c r="B2317" s="2" t="s">
        <v>3212</v>
      </c>
      <c r="C2317" t="s">
        <v>3213</v>
      </c>
      <c r="D2317" s="1">
        <v>337</v>
      </c>
      <c r="E2317" t="s">
        <v>3214</v>
      </c>
      <c r="F2317" s="3" t="s">
        <v>3215</v>
      </c>
      <c r="G2317" s="1">
        <v>61.6</v>
      </c>
      <c r="H2317" t="s">
        <v>3218</v>
      </c>
      <c r="I2317" t="s">
        <v>3219</v>
      </c>
      <c r="J2317" s="1">
        <v>2</v>
      </c>
      <c r="K2317" s="1">
        <v>474.74849999999998</v>
      </c>
      <c r="L2317" s="1" t="str">
        <f>HYPERLINK("http://ms.phosphosite.org:5080/cgi-bin/plot-msms.cgi?MassType=1&amp;NumAxis=1&amp;Mod10=170&amp;Pep=DGFGGLAAAR&amp;Dta=/var/www/html/dta/yong/23612.10125.2.dta&amp;Global_Mod=CS57.0215", "10125")</f>
        <v>10125</v>
      </c>
      <c r="M2317" s="1" t="str">
        <f>HYPERLINK("http://ms.phosphosite.org:5080/cgi-bin/plot-msms.cgi?MassType=1&amp;NumAxis=1&amp;Mod10=170&amp;Pep=DGFGGLAAAR&amp;Dta=/var/www/html/dta/yong/23613.9267.2.dta&amp;Global_Mod=CS57.0215", "9267")</f>
        <v>9267</v>
      </c>
      <c r="N2317" s="27">
        <v>44.41</v>
      </c>
      <c r="O2317" s="27">
        <v>41.31</v>
      </c>
      <c r="P2317" s="27">
        <v>3.044</v>
      </c>
      <c r="Q2317" s="27">
        <v>2.6549999999999998</v>
      </c>
      <c r="R2317" s="27">
        <v>0.2999</v>
      </c>
      <c r="S2317" s="27">
        <v>0.19</v>
      </c>
      <c r="T2317" s="27">
        <v>0.3513</v>
      </c>
      <c r="U2317" s="27">
        <v>0.14199999999999999</v>
      </c>
      <c r="V2317" s="1">
        <v>1</v>
      </c>
      <c r="W2317" s="1">
        <v>2</v>
      </c>
      <c r="X2317" s="27">
        <v>2.38</v>
      </c>
      <c r="Y2317" s="27">
        <v>1.27</v>
      </c>
      <c r="Z2317" s="28">
        <v>1000</v>
      </c>
      <c r="AA2317" s="28">
        <v>1000</v>
      </c>
      <c r="AB2317" s="1" t="s">
        <v>13</v>
      </c>
    </row>
    <row r="2318" spans="1:28">
      <c r="A2318" t="s">
        <v>888</v>
      </c>
      <c r="B2318" s="2" t="s">
        <v>3212</v>
      </c>
      <c r="C2318" t="s">
        <v>3213</v>
      </c>
      <c r="D2318" s="1">
        <v>337</v>
      </c>
      <c r="E2318" t="s">
        <v>3214</v>
      </c>
      <c r="F2318" s="3" t="s">
        <v>3215</v>
      </c>
      <c r="G2318" s="1">
        <v>61.6</v>
      </c>
      <c r="H2318" t="s">
        <v>3218</v>
      </c>
      <c r="I2318" t="s">
        <v>3219</v>
      </c>
      <c r="J2318" s="1">
        <v>2</v>
      </c>
      <c r="K2318" s="1">
        <v>474.74849999999998</v>
      </c>
      <c r="L2318" s="1"/>
      <c r="M2318" s="1" t="str">
        <f>HYPERLINK("http://ms.phosphosite.org:5080/cgi-bin/plot-msms.cgi?MassType=1&amp;NumAxis=1&amp;Mod10=170&amp;Pep=DGFGGLAAAR&amp;Dta=/var/www/html/dta/yong/23613.10189.2.dta&amp;Global_Mod=CS57.0215", "10189")</f>
        <v>10189</v>
      </c>
      <c r="N2318" s="27"/>
      <c r="O2318" s="27">
        <v>44.43</v>
      </c>
      <c r="P2318" s="27"/>
      <c r="Q2318" s="27">
        <v>2.9390000000000001</v>
      </c>
      <c r="R2318" s="27"/>
      <c r="S2318" s="27">
        <v>-0.21510000000000001</v>
      </c>
      <c r="T2318" s="27"/>
      <c r="U2318" s="27">
        <v>0.3881</v>
      </c>
      <c r="V2318" s="1"/>
      <c r="W2318" s="1">
        <v>1</v>
      </c>
      <c r="X2318" s="27"/>
      <c r="Y2318" s="27">
        <v>2.52</v>
      </c>
      <c r="Z2318" s="28"/>
      <c r="AA2318" s="28">
        <v>1000</v>
      </c>
      <c r="AB2318" s="1" t="s">
        <v>13</v>
      </c>
    </row>
    <row r="2319" spans="1:28">
      <c r="A2319" t="s">
        <v>888</v>
      </c>
      <c r="B2319" s="2" t="s">
        <v>3212</v>
      </c>
      <c r="C2319" t="s">
        <v>3213</v>
      </c>
      <c r="D2319" s="1">
        <v>337</v>
      </c>
      <c r="E2319" t="s">
        <v>3214</v>
      </c>
      <c r="F2319" s="3" t="s">
        <v>3215</v>
      </c>
      <c r="G2319" s="1">
        <v>61.6</v>
      </c>
      <c r="H2319" t="s">
        <v>3218</v>
      </c>
      <c r="I2319" t="s">
        <v>3219</v>
      </c>
      <c r="J2319" s="1">
        <v>2</v>
      </c>
      <c r="K2319" s="1">
        <v>474.74849999999998</v>
      </c>
      <c r="L2319" s="1"/>
      <c r="M2319" s="1" t="str">
        <f>HYPERLINK("http://ms.phosphosite.org:5080/cgi-bin/plot-msms.cgi?MassType=1&amp;NumAxis=1&amp;Mod10=170&amp;Pep=DGFGGLAAAR&amp;Dta=/var/www/html/dta/yong/23613.9373.2.dta&amp;Global_Mod=CS57.0215", "9373")</f>
        <v>9373</v>
      </c>
      <c r="N2319" s="27"/>
      <c r="O2319" s="27">
        <v>41.66</v>
      </c>
      <c r="P2319" s="27"/>
      <c r="Q2319" s="27">
        <v>3.3460000000000001</v>
      </c>
      <c r="R2319" s="27"/>
      <c r="S2319" s="27">
        <v>0.14560000000000001</v>
      </c>
      <c r="T2319" s="27"/>
      <c r="U2319" s="27">
        <v>0.32450000000000001</v>
      </c>
      <c r="V2319" s="1"/>
      <c r="W2319" s="1">
        <v>1</v>
      </c>
      <c r="X2319" s="27"/>
      <c r="Y2319" s="27">
        <v>2.31</v>
      </c>
      <c r="Z2319" s="28"/>
      <c r="AA2319" s="28">
        <v>1000</v>
      </c>
      <c r="AB2319" s="1" t="s">
        <v>13</v>
      </c>
    </row>
    <row r="2320" spans="1:28">
      <c r="A2320" t="s">
        <v>888</v>
      </c>
      <c r="B2320" s="2" t="s">
        <v>3220</v>
      </c>
      <c r="C2320" t="s">
        <v>3221</v>
      </c>
      <c r="D2320" s="1">
        <v>81</v>
      </c>
      <c r="E2320" t="s">
        <v>3222</v>
      </c>
      <c r="F2320" s="3" t="s">
        <v>3223</v>
      </c>
      <c r="G2320" s="1">
        <v>46.7</v>
      </c>
      <c r="H2320" t="s">
        <v>3224</v>
      </c>
      <c r="I2320" t="s">
        <v>3225</v>
      </c>
      <c r="J2320" s="1">
        <v>3</v>
      </c>
      <c r="K2320" s="1">
        <v>544.9239</v>
      </c>
      <c r="L2320" s="1" t="str">
        <f>HYPERLINK("http://ms.phosphosite.org:5080/cgi-bin/plot-msms.cgi?MassType=1&amp;NumAxis=1&amp;Mod9=170&amp;Pep=GSQAADSDREDAAVAR&amp;Dta=/var/www/html/dta/yong/23612.21771.3.dta&amp;Global_Mod=CS57.0215", "21771")</f>
        <v>21771</v>
      </c>
      <c r="M2320" s="1"/>
      <c r="N2320" s="27">
        <v>92.02</v>
      </c>
      <c r="O2320" s="27"/>
      <c r="P2320" s="27">
        <v>2.0150000000000001</v>
      </c>
      <c r="Q2320" s="27"/>
      <c r="R2320" s="27">
        <v>-4.8331999999999997</v>
      </c>
      <c r="S2320" s="27"/>
      <c r="T2320" s="27">
        <v>0.16420000000000001</v>
      </c>
      <c r="U2320" s="27"/>
      <c r="V2320" s="1">
        <v>34</v>
      </c>
      <c r="W2320" s="1"/>
      <c r="X2320" s="27">
        <v>0.72</v>
      </c>
      <c r="Y2320" s="27"/>
      <c r="Z2320" s="28">
        <v>1000</v>
      </c>
      <c r="AA2320" s="28"/>
      <c r="AB2320" s="1" t="s">
        <v>13</v>
      </c>
    </row>
    <row r="2321" spans="1:28">
      <c r="A2321" t="s">
        <v>888</v>
      </c>
      <c r="B2321" s="29" t="s">
        <v>3226</v>
      </c>
      <c r="C2321" s="26" t="s">
        <v>3227</v>
      </c>
      <c r="D2321" s="1">
        <v>20</v>
      </c>
      <c r="E2321" t="s">
        <v>919</v>
      </c>
      <c r="F2321" s="3" t="s">
        <v>3228</v>
      </c>
      <c r="G2321" s="1">
        <v>123.8</v>
      </c>
      <c r="H2321" t="s">
        <v>924</v>
      </c>
      <c r="I2321" t="s">
        <v>3229</v>
      </c>
      <c r="J2321" s="1">
        <v>2</v>
      </c>
      <c r="K2321" s="1">
        <v>423.72710000000001</v>
      </c>
      <c r="L2321" s="1" t="str">
        <f>HYPERLINK("http://ms.phosphosite.org:5080/cgi-bin/plot-msms.cgi?MassType=1&amp;NumAxis=1&amp;Mod7=170&amp;Pep=FNPGELR&amp;Dta=/var/www/html/dta/yong/23612.7823.2.dta&amp;Global_Mod=CS57.0215", "7823")</f>
        <v>7823</v>
      </c>
      <c r="M2321" s="1"/>
      <c r="N2321" s="27">
        <v>36.19</v>
      </c>
      <c r="O2321" s="27"/>
      <c r="P2321" s="27">
        <v>1.839</v>
      </c>
      <c r="Q2321" s="27"/>
      <c r="R2321" s="27">
        <v>0.1145</v>
      </c>
      <c r="S2321" s="27"/>
      <c r="T2321" s="27">
        <v>9.9000000000000005E-2</v>
      </c>
      <c r="U2321" s="27"/>
      <c r="V2321" s="1">
        <v>109</v>
      </c>
      <c r="W2321" s="1"/>
      <c r="X2321" s="27">
        <v>0.81</v>
      </c>
      <c r="Y2321" s="27"/>
      <c r="Z2321" s="28">
        <v>1000</v>
      </c>
      <c r="AA2321" s="28"/>
      <c r="AB2321" s="1" t="s">
        <v>13</v>
      </c>
    </row>
    <row r="2322" spans="1:28">
      <c r="A2322" t="s">
        <v>888</v>
      </c>
      <c r="B2322" s="31" t="s">
        <v>3230</v>
      </c>
      <c r="C2322" t="s">
        <v>3231</v>
      </c>
      <c r="D2322" s="1">
        <v>239</v>
      </c>
      <c r="E2322" t="s">
        <v>3232</v>
      </c>
      <c r="F2322" s="3" t="s">
        <v>3233</v>
      </c>
      <c r="G2322" s="1">
        <v>35.9</v>
      </c>
      <c r="H2322" t="s">
        <v>3234</v>
      </c>
      <c r="I2322" t="s">
        <v>3235</v>
      </c>
      <c r="J2322" s="1">
        <v>3</v>
      </c>
      <c r="K2322" s="1">
        <v>452.23140000000001</v>
      </c>
      <c r="L2322" s="1"/>
      <c r="M2322" s="1" t="str">
        <f>HYPERLINK("http://ms.phosphosite.org:5080/cgi-bin/plot-msms.cgi?MassType=1&amp;NumAxis=1&amp;Mod5=170&amp;Pep=QNMYRGYRPR&amp;Dta=/var/www/html/dta/yong/23613.3697.3.dta&amp;Global_Mod=CS57.0215", "3697")</f>
        <v>3697</v>
      </c>
      <c r="N2322" s="27"/>
      <c r="O2322" s="27">
        <v>20.64</v>
      </c>
      <c r="P2322" s="27"/>
      <c r="Q2322" s="27">
        <v>2.1269999999999998</v>
      </c>
      <c r="R2322" s="27"/>
      <c r="S2322" s="27">
        <v>2.3900000000000001E-2</v>
      </c>
      <c r="T2322" s="27"/>
      <c r="U2322" s="27">
        <v>0.06</v>
      </c>
      <c r="V2322" s="1"/>
      <c r="W2322" s="1">
        <v>46</v>
      </c>
      <c r="X2322" s="27"/>
      <c r="Y2322" s="27">
        <v>0.68</v>
      </c>
      <c r="Z2322" s="28"/>
      <c r="AA2322" s="28">
        <v>24</v>
      </c>
      <c r="AB2322" s="1" t="s">
        <v>13</v>
      </c>
    </row>
    <row r="2323" spans="1:28">
      <c r="A2323" t="s">
        <v>888</v>
      </c>
      <c r="B2323" s="31" t="s">
        <v>3230</v>
      </c>
      <c r="C2323" t="s">
        <v>3231</v>
      </c>
      <c r="D2323" s="1">
        <v>199</v>
      </c>
      <c r="E2323" t="s">
        <v>3232</v>
      </c>
      <c r="F2323" s="3" t="s">
        <v>3233</v>
      </c>
      <c r="G2323" s="1">
        <v>35.9</v>
      </c>
      <c r="H2323" t="s">
        <v>3236</v>
      </c>
      <c r="I2323" t="s">
        <v>3237</v>
      </c>
      <c r="J2323" s="1">
        <v>3</v>
      </c>
      <c r="K2323" s="1">
        <v>387.19540000000001</v>
      </c>
      <c r="L2323" s="1" t="str">
        <f>HYPERLINK("http://ms.phosphosite.org:5080/cgi-bin/plot-msms.cgi?MassType=1&amp;NumAxis=1&amp;Mod7=147&amp;Mod8=170&amp;Pep=RFPPYYMR&amp;Dta=/var/www/html/dta/yong/23612.8494.3.dta&amp;Global_Mod=CS57.0215", "8494")</f>
        <v>8494</v>
      </c>
      <c r="M2323" s="1" t="str">
        <f>HYPERLINK("http://ms.phosphosite.org:5080/cgi-bin/plot-msms.cgi?MassType=1&amp;NumAxis=1&amp;Mod7=147&amp;Mod8=170&amp;Pep=RFPPYYMR&amp;Dta=/var/www/html/dta/yong/23613.8718.3.dta&amp;Global_Mod=CS57.0215", "8718")</f>
        <v>8718</v>
      </c>
      <c r="N2323" s="27">
        <v>38.619999999999997</v>
      </c>
      <c r="O2323" s="27">
        <v>39.31</v>
      </c>
      <c r="P2323" s="27">
        <v>2.6389999999999998</v>
      </c>
      <c r="Q2323" s="27">
        <v>2.4689999999999999</v>
      </c>
      <c r="R2323" s="27">
        <v>2.4899999999999999E-2</v>
      </c>
      <c r="S2323" s="27">
        <v>0.4461</v>
      </c>
      <c r="T2323" s="27">
        <v>7.9100000000000004E-2</v>
      </c>
      <c r="U2323" s="27">
        <v>0.1166</v>
      </c>
      <c r="V2323" s="1">
        <v>1</v>
      </c>
      <c r="W2323" s="1">
        <v>1</v>
      </c>
      <c r="X2323" s="27">
        <v>0.92</v>
      </c>
      <c r="Y2323" s="27">
        <v>1.1000000000000001</v>
      </c>
      <c r="Z2323" s="28">
        <v>1000</v>
      </c>
      <c r="AA2323" s="28">
        <v>1000</v>
      </c>
      <c r="AB2323" s="1" t="s">
        <v>13</v>
      </c>
    </row>
    <row r="2324" spans="1:28">
      <c r="A2324" t="s">
        <v>888</v>
      </c>
      <c r="B2324" s="31" t="s">
        <v>3230</v>
      </c>
      <c r="C2324" t="s">
        <v>3231</v>
      </c>
      <c r="D2324" s="1">
        <v>199</v>
      </c>
      <c r="E2324" t="s">
        <v>3232</v>
      </c>
      <c r="F2324" s="3" t="s">
        <v>3233</v>
      </c>
      <c r="G2324" s="1">
        <v>35.9</v>
      </c>
      <c r="H2324" t="s">
        <v>3236</v>
      </c>
      <c r="I2324" t="s">
        <v>3237</v>
      </c>
      <c r="J2324" s="1">
        <v>3</v>
      </c>
      <c r="K2324" s="1">
        <v>387.19540000000001</v>
      </c>
      <c r="L2324" s="1" t="str">
        <f>HYPERLINK("http://ms.phosphosite.org:5080/cgi-bin/plot-msms.cgi?MassType=1&amp;NumAxis=1&amp;Mod7=147&amp;Mod8=170&amp;Pep=RFPPYYMR&amp;Dta=/var/www/html/dta/yong/23612.8693.3.dta&amp;Global_Mod=CS57.0215", "8693")</f>
        <v>8693</v>
      </c>
      <c r="M2324" s="1"/>
      <c r="N2324" s="27">
        <v>39.32</v>
      </c>
      <c r="O2324" s="27"/>
      <c r="P2324" s="27">
        <v>2.1890000000000001</v>
      </c>
      <c r="Q2324" s="27"/>
      <c r="R2324" s="27">
        <v>0.31359999999999999</v>
      </c>
      <c r="S2324" s="27"/>
      <c r="T2324" s="27">
        <v>6.3100000000000003E-2</v>
      </c>
      <c r="U2324" s="27"/>
      <c r="V2324" s="1">
        <v>1</v>
      </c>
      <c r="W2324" s="1"/>
      <c r="X2324" s="27">
        <v>0.77</v>
      </c>
      <c r="Y2324" s="27"/>
      <c r="Z2324" s="28">
        <v>1000</v>
      </c>
      <c r="AA2324" s="28"/>
      <c r="AB2324" s="1" t="s">
        <v>13</v>
      </c>
    </row>
    <row r="2325" spans="1:28">
      <c r="A2325" t="s">
        <v>888</v>
      </c>
      <c r="B2325" s="29" t="s">
        <v>3238</v>
      </c>
      <c r="C2325" s="26" t="s">
        <v>3239</v>
      </c>
      <c r="D2325" s="1">
        <v>831</v>
      </c>
      <c r="E2325" t="s">
        <v>926</v>
      </c>
      <c r="F2325" s="3" t="s">
        <v>3240</v>
      </c>
      <c r="G2325" s="1">
        <v>241.5</v>
      </c>
      <c r="H2325" t="s">
        <v>3241</v>
      </c>
      <c r="I2325" t="s">
        <v>3242</v>
      </c>
      <c r="J2325" s="1">
        <v>2</v>
      </c>
      <c r="K2325" s="1">
        <v>911.97029999999995</v>
      </c>
      <c r="L2325" s="1" t="str">
        <f>HYPERLINK("http://ms.phosphosite.org:5080/cgi-bin/plot-msms.cgi?MassType=1&amp;NumAxis=1&amp;Mod17=170&amp;Pep=GPASQFYITPSTSLSPR&amp;Dta=/var/www/html/dta/yong/23612.13321.2.dta&amp;Global_Mod=CS57.0215", "13321")</f>
        <v>13321</v>
      </c>
      <c r="M2325" s="1" t="str">
        <f>HYPERLINK("http://ms.phosphosite.org:5080/cgi-bin/plot-msms.cgi?MassType=1&amp;NumAxis=1&amp;Mod17=170&amp;Pep=GPASQFYITPSTSLSPR&amp;Dta=/var/www/html/dta/yong/23613.13430.2.dta&amp;Global_Mod=CS57.0215", "13430")</f>
        <v>13430</v>
      </c>
      <c r="N2325" s="27">
        <v>55.43</v>
      </c>
      <c r="O2325" s="27">
        <v>55.49</v>
      </c>
      <c r="P2325" s="27">
        <v>4.5220000000000002</v>
      </c>
      <c r="Q2325" s="27">
        <v>4.8230000000000004</v>
      </c>
      <c r="R2325" s="27">
        <v>1.8685</v>
      </c>
      <c r="S2325" s="27">
        <v>0.95330000000000004</v>
      </c>
      <c r="T2325" s="27">
        <v>0.48359999999999997</v>
      </c>
      <c r="U2325" s="27">
        <v>0.46400000000000002</v>
      </c>
      <c r="V2325" s="1">
        <v>1</v>
      </c>
      <c r="W2325" s="1">
        <v>1</v>
      </c>
      <c r="X2325" s="27">
        <v>3.15</v>
      </c>
      <c r="Y2325" s="27">
        <v>3.18</v>
      </c>
      <c r="Z2325" s="28">
        <v>1000</v>
      </c>
      <c r="AA2325" s="28">
        <v>1000</v>
      </c>
      <c r="AB2325" s="1" t="s">
        <v>13</v>
      </c>
    </row>
    <row r="2326" spans="1:28">
      <c r="A2326" t="s">
        <v>888</v>
      </c>
      <c r="B2326" s="29" t="s">
        <v>3238</v>
      </c>
      <c r="C2326" s="26" t="s">
        <v>3239</v>
      </c>
      <c r="D2326" s="1">
        <v>831</v>
      </c>
      <c r="E2326" t="s">
        <v>926</v>
      </c>
      <c r="F2326" s="3" t="s">
        <v>3240</v>
      </c>
      <c r="G2326" s="1">
        <v>241.5</v>
      </c>
      <c r="H2326" t="s">
        <v>3241</v>
      </c>
      <c r="I2326" t="s">
        <v>3242</v>
      </c>
      <c r="J2326" s="1">
        <v>2</v>
      </c>
      <c r="K2326" s="1">
        <v>911.97029999999995</v>
      </c>
      <c r="L2326" s="1"/>
      <c r="M2326" s="1" t="str">
        <f>HYPERLINK("http://ms.phosphosite.org:5080/cgi-bin/plot-msms.cgi?MassType=1&amp;NumAxis=1&amp;Mod17=170&amp;Pep=GPASQFYITPSTSLSPR&amp;Dta=/var/www/html/dta/yong/23613.13473.2.dta&amp;Global_Mod=CS57.0215", "13473")</f>
        <v>13473</v>
      </c>
      <c r="N2326" s="27"/>
      <c r="O2326" s="27">
        <v>55.66</v>
      </c>
      <c r="P2326" s="27"/>
      <c r="Q2326" s="27">
        <v>3.8450000000000002</v>
      </c>
      <c r="R2326" s="27"/>
      <c r="S2326" s="27">
        <v>0.95330000000000004</v>
      </c>
      <c r="T2326" s="27"/>
      <c r="U2326" s="27">
        <v>0.3695</v>
      </c>
      <c r="V2326" s="1"/>
      <c r="W2326" s="1">
        <v>1</v>
      </c>
      <c r="X2326" s="27"/>
      <c r="Y2326" s="27">
        <v>2.52</v>
      </c>
      <c r="Z2326" s="28"/>
      <c r="AA2326" s="28">
        <v>1000</v>
      </c>
      <c r="AB2326" s="1" t="s">
        <v>13</v>
      </c>
    </row>
    <row r="2327" spans="1:28">
      <c r="A2327" t="s">
        <v>888</v>
      </c>
      <c r="B2327" s="2" t="s">
        <v>3243</v>
      </c>
      <c r="C2327" t="s">
        <v>3244</v>
      </c>
      <c r="D2327" s="1">
        <v>46</v>
      </c>
      <c r="E2327" t="s">
        <v>3245</v>
      </c>
      <c r="F2327" s="3" t="s">
        <v>3246</v>
      </c>
      <c r="G2327" s="1">
        <v>61.1</v>
      </c>
      <c r="H2327" t="s">
        <v>3247</v>
      </c>
      <c r="I2327" t="s">
        <v>3248</v>
      </c>
      <c r="J2327" s="1">
        <v>3</v>
      </c>
      <c r="K2327" s="1">
        <v>674.36270000000002</v>
      </c>
      <c r="L2327" s="1"/>
      <c r="M2327" s="1" t="str">
        <f>HYPERLINK("http://ms.phosphosite.org:5080/cgi-bin/plot-msms.cgi?MassType=1&amp;NumAxis=1&amp;Mod2=147&amp;Mod18=170&amp;Pep=VMLDNFALVASLGLSTSRP&amp;Dta=/var/www/html/dta/yong/23613.21751.3.dta&amp;Global_Mod=CS57.0215", "21751")</f>
        <v>21751</v>
      </c>
      <c r="N2327" s="27"/>
      <c r="O2327" s="27">
        <v>91.45</v>
      </c>
      <c r="P2327" s="27"/>
      <c r="Q2327" s="27">
        <v>2.121</v>
      </c>
      <c r="R2327" s="27"/>
      <c r="S2327" s="27">
        <v>6.8875000000000002</v>
      </c>
      <c r="T2327" s="27"/>
      <c r="U2327" s="27">
        <v>0.1444</v>
      </c>
      <c r="V2327" s="1"/>
      <c r="W2327" s="1">
        <v>44</v>
      </c>
      <c r="X2327" s="27"/>
      <c r="Y2327" s="27">
        <v>0.68</v>
      </c>
      <c r="Z2327" s="28"/>
      <c r="AA2327" s="28">
        <v>1000</v>
      </c>
      <c r="AB2327" s="1" t="s">
        <v>13</v>
      </c>
    </row>
    <row r="2328" spans="1:28">
      <c r="A2328" t="s">
        <v>929</v>
      </c>
      <c r="B2328" s="29" t="s">
        <v>3249</v>
      </c>
      <c r="C2328" s="26" t="s">
        <v>3250</v>
      </c>
      <c r="D2328" s="1">
        <v>162</v>
      </c>
      <c r="E2328" t="s">
        <v>3251</v>
      </c>
      <c r="F2328" s="3" t="s">
        <v>3252</v>
      </c>
      <c r="G2328" s="1">
        <v>55</v>
      </c>
      <c r="H2328" t="s">
        <v>3253</v>
      </c>
      <c r="I2328" t="s">
        <v>3254</v>
      </c>
      <c r="J2328" s="1">
        <v>2</v>
      </c>
      <c r="K2328" s="1">
        <v>745.86410000000001</v>
      </c>
      <c r="L2328" s="1" t="str">
        <f>HYPERLINK("http://ms.phosphosite.org:5080/cgi-bin/plot-msms.cgi?MassType=1&amp;NumAxis=1&amp;Mod14=170&amp;Pep=FCAFGGNPPVTGPR&amp;Dta=/var/www/html/dta/yong/23612.10728.2.dta&amp;Global_Mod=CS57.0215", "10728")</f>
        <v>10728</v>
      </c>
      <c r="M2328" s="1" t="str">
        <f>HYPERLINK("http://ms.phosphosite.org:5080/cgi-bin/plot-msms.cgi?MassType=1&amp;NumAxis=1&amp;Mod14=170&amp;Pep=FCAFGGNPPVTGPR&amp;Dta=/var/www/html/dta/yong/23613.10807.2.dta&amp;Global_Mod=CS57.0215", "10807")</f>
        <v>10807</v>
      </c>
      <c r="N2328" s="27">
        <v>46.53</v>
      </c>
      <c r="O2328" s="27">
        <v>46.55</v>
      </c>
      <c r="P2328" s="27">
        <v>3.3620000000000001</v>
      </c>
      <c r="Q2328" s="27">
        <v>3.5760000000000001</v>
      </c>
      <c r="R2328" s="27">
        <v>0.55689999999999995</v>
      </c>
      <c r="S2328" s="27">
        <v>0.52949999999999997</v>
      </c>
      <c r="T2328" s="27">
        <v>0.47739999999999999</v>
      </c>
      <c r="U2328" s="27">
        <v>0.48220000000000002</v>
      </c>
      <c r="V2328" s="1">
        <v>1</v>
      </c>
      <c r="W2328" s="1">
        <v>1</v>
      </c>
      <c r="X2328" s="27">
        <v>2.98</v>
      </c>
      <c r="Y2328" s="27">
        <v>3.05</v>
      </c>
      <c r="Z2328" s="28">
        <v>1000</v>
      </c>
      <c r="AA2328" s="28">
        <v>1000</v>
      </c>
      <c r="AB2328" s="1" t="s">
        <v>13</v>
      </c>
    </row>
    <row r="2329" spans="1:28">
      <c r="A2329" t="s">
        <v>929</v>
      </c>
      <c r="B2329" s="29" t="s">
        <v>3249</v>
      </c>
      <c r="C2329" s="26" t="s">
        <v>3250</v>
      </c>
      <c r="D2329" s="1">
        <v>148</v>
      </c>
      <c r="E2329" t="s">
        <v>3251</v>
      </c>
      <c r="F2329" s="3" t="s">
        <v>3252</v>
      </c>
      <c r="G2329" s="1">
        <v>55</v>
      </c>
      <c r="H2329" s="31" t="s">
        <v>3255</v>
      </c>
      <c r="I2329" t="s">
        <v>3256</v>
      </c>
      <c r="J2329" s="1">
        <v>3</v>
      </c>
      <c r="K2329" s="1">
        <v>1113.6242999999999</v>
      </c>
      <c r="L2329" s="1"/>
      <c r="M2329" s="1" t="str">
        <f>HYPERLINK("http://ms.phosphosite.org:5080/cgi-bin/plot-msms.cgi?MassType=1&amp;NumAxis=1&amp;Mod32=170&amp;Pep=ILEGPQQSLSGSPLQPIPASPPPQIPPGLRPR&amp;Dta=/var/www/html/dta/yong/23613.15757.3.dta&amp;Global_Mod=CS57.0215", "15757")</f>
        <v>15757</v>
      </c>
      <c r="N2329" s="27"/>
      <c r="O2329" s="27">
        <v>64.27</v>
      </c>
      <c r="P2329" s="27"/>
      <c r="Q2329" s="27">
        <v>4.4539999999999997</v>
      </c>
      <c r="R2329" s="27"/>
      <c r="S2329" s="27">
        <v>1.7774000000000001</v>
      </c>
      <c r="T2329" s="27"/>
      <c r="U2329" s="27">
        <v>0.50749999999999995</v>
      </c>
      <c r="V2329" s="1"/>
      <c r="W2329" s="1">
        <v>2</v>
      </c>
      <c r="X2329" s="27"/>
      <c r="Y2329" s="27">
        <v>3.11</v>
      </c>
      <c r="Z2329" s="28"/>
      <c r="AA2329" s="28">
        <v>1000</v>
      </c>
      <c r="AB2329" s="1" t="s">
        <v>13</v>
      </c>
    </row>
    <row r="2330" spans="1:28">
      <c r="A2330" t="s">
        <v>929</v>
      </c>
      <c r="B2330" s="29" t="s">
        <v>3249</v>
      </c>
      <c r="C2330" s="26" t="s">
        <v>3250</v>
      </c>
      <c r="D2330" s="1">
        <v>148</v>
      </c>
      <c r="E2330" t="s">
        <v>3251</v>
      </c>
      <c r="F2330" s="3" t="s">
        <v>3252</v>
      </c>
      <c r="G2330" s="1">
        <v>55</v>
      </c>
      <c r="H2330" s="31" t="s">
        <v>3255</v>
      </c>
      <c r="I2330" t="s">
        <v>3256</v>
      </c>
      <c r="J2330" s="1">
        <v>4</v>
      </c>
      <c r="K2330" s="1">
        <v>835.47</v>
      </c>
      <c r="L2330" s="1"/>
      <c r="M2330" s="1" t="str">
        <f>HYPERLINK("http://ms.phosphosite.org:5080/cgi-bin/plot-msms.cgi?MassType=1&amp;NumAxis=1&amp;Mod32=170&amp;Pep=ILEGPQQSLSGSPLQPIPASPPPQIPPGLRPR&amp;Dta=/var/www/html/dta/yong/23613.15758.4.dta&amp;Global_Mod=CS57.0215", "15758")</f>
        <v>15758</v>
      </c>
      <c r="N2330" s="27"/>
      <c r="O2330" s="27">
        <v>64.28</v>
      </c>
      <c r="P2330" s="27"/>
      <c r="Q2330" s="27">
        <v>3.0459999999999998</v>
      </c>
      <c r="R2330" s="27"/>
      <c r="S2330" s="27">
        <v>-0.78490000000000004</v>
      </c>
      <c r="T2330" s="27"/>
      <c r="U2330" s="27">
        <v>0.1285</v>
      </c>
      <c r="V2330" s="1"/>
      <c r="W2330" s="1">
        <v>8</v>
      </c>
      <c r="X2330" s="27"/>
      <c r="Y2330" s="27">
        <v>1</v>
      </c>
      <c r="Z2330" s="28"/>
      <c r="AA2330" s="28">
        <v>1000</v>
      </c>
      <c r="AB2330" s="1" t="s">
        <v>13</v>
      </c>
    </row>
    <row r="2331" spans="1:28">
      <c r="A2331" t="s">
        <v>929</v>
      </c>
      <c r="B2331" s="29" t="s">
        <v>3249</v>
      </c>
      <c r="C2331" s="26" t="s">
        <v>3250</v>
      </c>
      <c r="D2331" s="1">
        <v>146</v>
      </c>
      <c r="E2331" t="s">
        <v>3251</v>
      </c>
      <c r="F2331" s="3" t="s">
        <v>3252</v>
      </c>
      <c r="G2331" s="1">
        <v>55</v>
      </c>
      <c r="H2331" s="31" t="s">
        <v>3257</v>
      </c>
      <c r="I2331" t="s">
        <v>3258</v>
      </c>
      <c r="J2331" s="1">
        <v>4</v>
      </c>
      <c r="K2331" s="1">
        <v>835.47</v>
      </c>
      <c r="L2331" s="1" t="str">
        <f>HYPERLINK("http://ms.phosphosite.org:5080/cgi-bin/plot-msms.cgi?MassType=1&amp;NumAxis=1&amp;Mod30=170&amp;Pep=ILEGPQQSLSGSPLQPIPASPPPQIPPGLRPR&amp;Dta=/var/www/html/dta/yong/23612.15707.4.dta&amp;Global_Mod=CS57.0215", "15707")</f>
        <v>15707</v>
      </c>
      <c r="M2331" s="1"/>
      <c r="N2331" s="27">
        <v>64.41</v>
      </c>
      <c r="O2331" s="27"/>
      <c r="P2331" s="27">
        <v>3.4369999999999998</v>
      </c>
      <c r="Q2331" s="27"/>
      <c r="R2331" s="27">
        <v>1.6298999999999999</v>
      </c>
      <c r="S2331" s="27"/>
      <c r="T2331" s="27">
        <v>0.1196</v>
      </c>
      <c r="U2331" s="27"/>
      <c r="V2331" s="1">
        <v>11</v>
      </c>
      <c r="W2331" s="1"/>
      <c r="X2331" s="27">
        <v>1.08</v>
      </c>
      <c r="Y2331" s="27"/>
      <c r="Z2331" s="28">
        <v>1000</v>
      </c>
      <c r="AA2331" s="28"/>
      <c r="AB2331" s="1" t="s">
        <v>13</v>
      </c>
    </row>
    <row r="2332" spans="1:28">
      <c r="A2332" t="s">
        <v>929</v>
      </c>
      <c r="B2332" s="29" t="s">
        <v>3259</v>
      </c>
      <c r="C2332" s="26" t="s">
        <v>3260</v>
      </c>
      <c r="D2332" s="1">
        <v>185</v>
      </c>
      <c r="E2332" t="s">
        <v>930</v>
      </c>
      <c r="F2332" s="3" t="s">
        <v>3261</v>
      </c>
      <c r="G2332" s="1">
        <v>61.8</v>
      </c>
      <c r="H2332" t="s">
        <v>3262</v>
      </c>
      <c r="I2332" t="s">
        <v>3263</v>
      </c>
      <c r="J2332" s="1">
        <v>2</v>
      </c>
      <c r="K2332" s="1">
        <v>455.21230000000003</v>
      </c>
      <c r="L2332" s="1" t="str">
        <f>HYPERLINK("http://ms.phosphosite.org:5080/cgi-bin/plot-msms.cgi?MassType=1&amp;NumAxis=1&amp;Mod10=170&amp;Pep=GYGGSQGGGR&amp;Dta=/var/www/html/dta/yong/23612.1347.2.dta&amp;Global_Mod=CS57.0215", "1347")</f>
        <v>1347</v>
      </c>
      <c r="M2332" s="1" t="str">
        <f>HYPERLINK("http://ms.phosphosite.org:5080/cgi-bin/plot-msms.cgi?MassType=1&amp;NumAxis=1&amp;Mod10=170&amp;Pep=GYGGSQGGGR&amp;Dta=/var/www/html/dta/yong/23613.1361.2.dta&amp;Global_Mod=CS57.0215", "1361")</f>
        <v>1361</v>
      </c>
      <c r="N2332" s="27">
        <v>11.92</v>
      </c>
      <c r="O2332" s="27">
        <v>11.81</v>
      </c>
      <c r="P2332" s="27">
        <v>2.0249999999999999</v>
      </c>
      <c r="Q2332" s="27">
        <v>2.2599999999999998</v>
      </c>
      <c r="R2332" s="27">
        <v>0.38390000000000002</v>
      </c>
      <c r="S2332" s="27">
        <v>0.56599999999999995</v>
      </c>
      <c r="T2332" s="27">
        <v>0.1648</v>
      </c>
      <c r="U2332" s="27">
        <v>0.32450000000000001</v>
      </c>
      <c r="V2332" s="1">
        <v>1</v>
      </c>
      <c r="W2332" s="1">
        <v>1</v>
      </c>
      <c r="X2332" s="27">
        <v>1.5</v>
      </c>
      <c r="Y2332" s="27">
        <v>2.38</v>
      </c>
      <c r="Z2332" s="28">
        <v>1000</v>
      </c>
      <c r="AA2332" s="28">
        <v>1000</v>
      </c>
      <c r="AB2332" s="1" t="s">
        <v>13</v>
      </c>
    </row>
    <row r="2333" spans="1:28">
      <c r="A2333" t="s">
        <v>929</v>
      </c>
      <c r="B2333" s="29" t="s">
        <v>3259</v>
      </c>
      <c r="C2333" s="26" t="s">
        <v>3260</v>
      </c>
      <c r="D2333" s="1">
        <v>185</v>
      </c>
      <c r="E2333" t="s">
        <v>930</v>
      </c>
      <c r="F2333" s="3" t="s">
        <v>3261</v>
      </c>
      <c r="G2333" s="1">
        <v>61.8</v>
      </c>
      <c r="H2333" t="s">
        <v>3262</v>
      </c>
      <c r="I2333" t="s">
        <v>3264</v>
      </c>
      <c r="J2333" s="1">
        <v>2</v>
      </c>
      <c r="K2333" s="1">
        <v>561.77359999999999</v>
      </c>
      <c r="L2333" s="1"/>
      <c r="M2333" s="1" t="str">
        <f>HYPERLINK("http://ms.phosphosite.org:5080/cgi-bin/plot-msms.cgi?MassType=1&amp;NumAxis=1&amp;Mod10=170&amp;Pep=GYGGSQGGGRGR&amp;Dta=/var/www/html/dta/yong/23613.1067.2.dta&amp;Global_Mod=CS57.0215", "1067")</f>
        <v>1067</v>
      </c>
      <c r="N2333" s="27"/>
      <c r="O2333" s="27">
        <v>10.68</v>
      </c>
      <c r="P2333" s="27"/>
      <c r="Q2333" s="27">
        <v>1.774</v>
      </c>
      <c r="R2333" s="27"/>
      <c r="S2333" s="27">
        <v>1.0452999999999999</v>
      </c>
      <c r="T2333" s="27"/>
      <c r="U2333" s="27">
        <v>0.1439</v>
      </c>
      <c r="V2333" s="1"/>
      <c r="W2333" s="1">
        <v>34</v>
      </c>
      <c r="X2333" s="27"/>
      <c r="Y2333" s="27">
        <v>1.1299999999999999</v>
      </c>
      <c r="Z2333" s="28"/>
      <c r="AA2333" s="28">
        <v>1000</v>
      </c>
      <c r="AB2333" s="1" t="s">
        <v>13</v>
      </c>
    </row>
    <row r="2334" spans="1:28">
      <c r="A2334" t="s">
        <v>929</v>
      </c>
      <c r="B2334" s="29" t="s">
        <v>3259</v>
      </c>
      <c r="C2334" s="26" t="s">
        <v>3260</v>
      </c>
      <c r="D2334" s="1">
        <v>206</v>
      </c>
      <c r="E2334" t="s">
        <v>930</v>
      </c>
      <c r="F2334" s="3" t="s">
        <v>3261</v>
      </c>
      <c r="G2334" s="1">
        <v>61.8</v>
      </c>
      <c r="H2334" t="s">
        <v>931</v>
      </c>
      <c r="I2334" t="s">
        <v>3265</v>
      </c>
      <c r="J2334" s="1">
        <v>2</v>
      </c>
      <c r="K2334" s="1">
        <v>720.83040000000005</v>
      </c>
      <c r="L2334" s="1" t="str">
        <f>HYPERLINK("http://ms.phosphosite.org:5080/cgi-bin/plot-msms.cgi?MassType=1&amp;NumAxis=1&amp;Mod3=147&amp;Mod11=170&amp;Pep=GPMTGSSGGDRGGFK&amp;Dta=/var/www/html/dta/yong/23612.2458.2.dta&amp;Global_Mod=CS57.0215", "2458")</f>
        <v>2458</v>
      </c>
      <c r="M2334" s="1"/>
      <c r="N2334" s="27">
        <v>16.12</v>
      </c>
      <c r="O2334" s="27"/>
      <c r="P2334" s="27">
        <v>2.7749999999999999</v>
      </c>
      <c r="Q2334" s="27"/>
      <c r="R2334" s="27">
        <v>2.2936000000000001</v>
      </c>
      <c r="S2334" s="27"/>
      <c r="T2334" s="27">
        <v>0.26829999999999998</v>
      </c>
      <c r="U2334" s="27"/>
      <c r="V2334" s="1">
        <v>1</v>
      </c>
      <c r="W2334" s="1"/>
      <c r="X2334" s="27">
        <v>1.81</v>
      </c>
      <c r="Y2334" s="27"/>
      <c r="Z2334" s="28">
        <v>1000</v>
      </c>
      <c r="AA2334" s="28"/>
      <c r="AB2334" s="1" t="s">
        <v>13</v>
      </c>
    </row>
    <row r="2335" spans="1:28">
      <c r="A2335" t="s">
        <v>929</v>
      </c>
      <c r="B2335" s="29" t="s">
        <v>3259</v>
      </c>
      <c r="C2335" s="26" t="s">
        <v>3260</v>
      </c>
      <c r="D2335" s="1">
        <v>206</v>
      </c>
      <c r="E2335" t="s">
        <v>930</v>
      </c>
      <c r="F2335" s="3" t="s">
        <v>3261</v>
      </c>
      <c r="G2335" s="1">
        <v>61.8</v>
      </c>
      <c r="H2335" t="s">
        <v>931</v>
      </c>
      <c r="I2335" t="s">
        <v>3265</v>
      </c>
      <c r="J2335" s="1">
        <v>3</v>
      </c>
      <c r="K2335" s="1">
        <v>480.88940000000002</v>
      </c>
      <c r="L2335" s="1"/>
      <c r="M2335" s="1" t="str">
        <f>HYPERLINK("http://ms.phosphosite.org:5080/cgi-bin/plot-msms.cgi?MassType=1&amp;NumAxis=1&amp;Mod3=147&amp;Mod11=170&amp;Pep=GPMTGSSGGDRGGFK&amp;Dta=/var/www/html/dta/yong/23613.2506.3.dta&amp;Global_Mod=CS57.0215", "2506")</f>
        <v>2506</v>
      </c>
      <c r="N2335" s="27"/>
      <c r="O2335" s="27">
        <v>16.170000000000002</v>
      </c>
      <c r="P2335" s="27"/>
      <c r="Q2335" s="27">
        <v>2.0779999999999998</v>
      </c>
      <c r="R2335" s="27"/>
      <c r="S2335" s="27">
        <v>0.2555</v>
      </c>
      <c r="T2335" s="27"/>
      <c r="U2335" s="27">
        <v>0.15790000000000001</v>
      </c>
      <c r="V2335" s="1"/>
      <c r="W2335" s="1">
        <v>51</v>
      </c>
      <c r="X2335" s="27"/>
      <c r="Y2335" s="27">
        <v>1.28</v>
      </c>
      <c r="Z2335" s="28"/>
      <c r="AA2335" s="28">
        <v>1000</v>
      </c>
      <c r="AB2335" s="1" t="s">
        <v>13</v>
      </c>
    </row>
    <row r="2336" spans="1:28">
      <c r="A2336" t="s">
        <v>929</v>
      </c>
      <c r="B2336" s="29" t="s">
        <v>3259</v>
      </c>
      <c r="C2336" s="26" t="s">
        <v>3260</v>
      </c>
      <c r="D2336" s="1">
        <v>206</v>
      </c>
      <c r="E2336" t="s">
        <v>930</v>
      </c>
      <c r="F2336" s="3" t="s">
        <v>3261</v>
      </c>
      <c r="G2336" s="1">
        <v>61.8</v>
      </c>
      <c r="H2336" t="s">
        <v>931</v>
      </c>
      <c r="I2336" t="s">
        <v>3266</v>
      </c>
      <c r="J2336" s="1">
        <v>2</v>
      </c>
      <c r="K2336" s="1">
        <v>643.79330000000004</v>
      </c>
      <c r="L2336" s="1" t="str">
        <f>HYPERLINK("http://ms.phosphosite.org:5080/cgi-bin/plot-msms.cgi?MassType=1&amp;NumAxis=1&amp;Mod1=147&amp;Mod9=170&amp;Pep=MTGSSGGDRGGFK&amp;Dta=/var/www/html/dta/yong/23612.1867.2.dta&amp;Global_Mod=CS57.0215", "1867")</f>
        <v>1867</v>
      </c>
      <c r="M2336" s="1" t="str">
        <f>HYPERLINK("http://ms.phosphosite.org:5080/cgi-bin/plot-msms.cgi?MassType=1&amp;NumAxis=1&amp;Mod1=147&amp;Mod9=170&amp;Pep=MTGSSGGDRGGFK&amp;Dta=/var/www/html/dta/yong/23613.1879.2.dta&amp;Global_Mod=CS57.0215", "1879")</f>
        <v>1879</v>
      </c>
      <c r="N2336" s="27">
        <v>13.88</v>
      </c>
      <c r="O2336" s="27">
        <v>13.77</v>
      </c>
      <c r="P2336" s="27">
        <v>3.278</v>
      </c>
      <c r="Q2336" s="27">
        <v>3.2160000000000002</v>
      </c>
      <c r="R2336" s="27">
        <v>0.2215</v>
      </c>
      <c r="S2336" s="27">
        <v>0.192</v>
      </c>
      <c r="T2336" s="27">
        <v>0.35410000000000003</v>
      </c>
      <c r="U2336" s="27">
        <v>0.1482</v>
      </c>
      <c r="V2336" s="1">
        <v>1</v>
      </c>
      <c r="W2336" s="1">
        <v>1</v>
      </c>
      <c r="X2336" s="27">
        <v>2.4500000000000002</v>
      </c>
      <c r="Y2336" s="27">
        <v>1.47</v>
      </c>
      <c r="Z2336" s="28">
        <v>1000</v>
      </c>
      <c r="AA2336" s="28">
        <v>1000</v>
      </c>
      <c r="AB2336" s="1" t="s">
        <v>13</v>
      </c>
    </row>
    <row r="2337" spans="1:28">
      <c r="A2337" t="s">
        <v>929</v>
      </c>
      <c r="B2337" s="29" t="s">
        <v>3259</v>
      </c>
      <c r="C2337" s="26" t="s">
        <v>3260</v>
      </c>
      <c r="D2337" s="1">
        <v>206</v>
      </c>
      <c r="E2337" t="s">
        <v>930</v>
      </c>
      <c r="F2337" s="3" t="s">
        <v>3261</v>
      </c>
      <c r="G2337" s="1">
        <v>61.8</v>
      </c>
      <c r="H2337" t="s">
        <v>931</v>
      </c>
      <c r="I2337" t="s">
        <v>3267</v>
      </c>
      <c r="J2337" s="1">
        <v>2</v>
      </c>
      <c r="K2337" s="1">
        <v>635.79589999999996</v>
      </c>
      <c r="L2337" s="1" t="str">
        <f>HYPERLINK("http://ms.phosphosite.org:5080/cgi-bin/plot-msms.cgi?MassType=1&amp;NumAxis=1&amp;Mod9=170&amp;Pep=MTGSSGGDRGGFK&amp;Dta=/var/www/html/dta/yong/23612.2556.2.dta&amp;Global_Mod=CS57.0215", "2556")</f>
        <v>2556</v>
      </c>
      <c r="M2337" s="1" t="str">
        <f>HYPERLINK("http://ms.phosphosite.org:5080/cgi-bin/plot-msms.cgi?MassType=1&amp;NumAxis=1&amp;Mod9=170&amp;Pep=MTGSSGGDRGGFK&amp;Dta=/var/www/html/dta/yong/23613.2619.2.dta&amp;Global_Mod=CS57.0215", "2619")</f>
        <v>2619</v>
      </c>
      <c r="N2337" s="27">
        <v>16.489999999999998</v>
      </c>
      <c r="O2337" s="27">
        <v>16.559999999999999</v>
      </c>
      <c r="P2337" s="27">
        <v>3.306</v>
      </c>
      <c r="Q2337" s="27">
        <v>2.2440000000000002</v>
      </c>
      <c r="R2337" s="27">
        <v>5.9299999999999999E-2</v>
      </c>
      <c r="S2337" s="27">
        <v>0.33289999999999997</v>
      </c>
      <c r="T2337" s="27">
        <v>0.44240000000000002</v>
      </c>
      <c r="U2337" s="27">
        <v>0.32169999999999999</v>
      </c>
      <c r="V2337" s="1">
        <v>1</v>
      </c>
      <c r="W2337" s="1">
        <v>2</v>
      </c>
      <c r="X2337" s="27">
        <v>2.88</v>
      </c>
      <c r="Y2337" s="27">
        <v>2.14</v>
      </c>
      <c r="Z2337" s="28">
        <v>1000</v>
      </c>
      <c r="AA2337" s="28">
        <v>1000</v>
      </c>
      <c r="AB2337" s="1" t="s">
        <v>13</v>
      </c>
    </row>
    <row r="2338" spans="1:28">
      <c r="A2338" t="s">
        <v>929</v>
      </c>
      <c r="B2338" s="29" t="s">
        <v>3259</v>
      </c>
      <c r="C2338" s="26" t="s">
        <v>3260</v>
      </c>
      <c r="D2338" s="1">
        <v>206</v>
      </c>
      <c r="E2338" t="s">
        <v>930</v>
      </c>
      <c r="F2338" s="3" t="s">
        <v>3261</v>
      </c>
      <c r="G2338" s="1">
        <v>61.8</v>
      </c>
      <c r="H2338" t="s">
        <v>931</v>
      </c>
      <c r="I2338" t="s">
        <v>3267</v>
      </c>
      <c r="J2338" s="1">
        <v>2</v>
      </c>
      <c r="K2338" s="1">
        <v>635.79589999999996</v>
      </c>
      <c r="L2338" s="1"/>
      <c r="M2338" s="1" t="str">
        <f>HYPERLINK("http://ms.phosphosite.org:5080/cgi-bin/plot-msms.cgi?MassType=1&amp;NumAxis=1&amp;Mod9=170&amp;Pep=MTGSSGGDRGGFK&amp;Dta=/var/www/html/dta/yong/23613.2596.2.dta&amp;Global_Mod=CS57.0215", "2596")</f>
        <v>2596</v>
      </c>
      <c r="N2338" s="27"/>
      <c r="O2338" s="27">
        <v>16.489999999999998</v>
      </c>
      <c r="P2338" s="27"/>
      <c r="Q2338" s="27">
        <v>3.6280000000000001</v>
      </c>
      <c r="R2338" s="27"/>
      <c r="S2338" s="27">
        <v>0.33289999999999997</v>
      </c>
      <c r="T2338" s="27"/>
      <c r="U2338" s="27">
        <v>0.46610000000000001</v>
      </c>
      <c r="V2338" s="1"/>
      <c r="W2338" s="1">
        <v>1</v>
      </c>
      <c r="X2338" s="27"/>
      <c r="Y2338" s="27">
        <v>3.13</v>
      </c>
      <c r="Z2338" s="28"/>
      <c r="AA2338" s="28">
        <v>1000</v>
      </c>
      <c r="AB2338" s="1" t="s">
        <v>13</v>
      </c>
    </row>
    <row r="2339" spans="1:28">
      <c r="A2339" t="s">
        <v>929</v>
      </c>
      <c r="B2339" s="29" t="s">
        <v>3259</v>
      </c>
      <c r="C2339" s="26" t="s">
        <v>3260</v>
      </c>
      <c r="D2339" s="30" t="s">
        <v>3268</v>
      </c>
      <c r="E2339" t="s">
        <v>930</v>
      </c>
      <c r="F2339" s="3" t="s">
        <v>3261</v>
      </c>
      <c r="G2339" s="1">
        <v>61.8</v>
      </c>
      <c r="H2339" t="s">
        <v>3269</v>
      </c>
      <c r="I2339" t="s">
        <v>3270</v>
      </c>
      <c r="J2339" s="1">
        <v>3</v>
      </c>
      <c r="K2339" s="1">
        <v>379.52339999999998</v>
      </c>
      <c r="L2339" s="1"/>
      <c r="M2339" s="1" t="str">
        <f>HYPERLINK("http://ms.phosphosite.org:5080/cgi-bin/plot-msms.cgi?MassType=1&amp;NumAxis=1&amp;Mod10=170&amp;Mod12=170&amp;Pep=GYGGSQGGGRGR&amp;Dta=/var/www/html/dta/yong/23613.1226.3.dta&amp;Global_Mod=CS57.0215", "1226")</f>
        <v>1226</v>
      </c>
      <c r="N2339" s="27"/>
      <c r="O2339" s="27">
        <v>11.3</v>
      </c>
      <c r="P2339" s="27"/>
      <c r="Q2339" s="27">
        <v>1.2030000000000001</v>
      </c>
      <c r="R2339" s="27"/>
      <c r="S2339" s="27">
        <v>0.1288</v>
      </c>
      <c r="T2339" s="27"/>
      <c r="U2339" s="27">
        <v>0.115</v>
      </c>
      <c r="V2339" s="1"/>
      <c r="W2339" s="1">
        <v>73</v>
      </c>
      <c r="X2339" s="27"/>
      <c r="Y2339" s="27">
        <v>0.91</v>
      </c>
      <c r="Z2339" s="28"/>
      <c r="AA2339" s="28" t="s">
        <v>1306</v>
      </c>
      <c r="AB2339" s="1" t="s">
        <v>13</v>
      </c>
    </row>
    <row r="2340" spans="1:28">
      <c r="A2340" t="s">
        <v>929</v>
      </c>
      <c r="B2340" s="29" t="s">
        <v>3259</v>
      </c>
      <c r="C2340" s="26" t="s">
        <v>3260</v>
      </c>
      <c r="D2340" s="30" t="s">
        <v>3271</v>
      </c>
      <c r="E2340" t="s">
        <v>930</v>
      </c>
      <c r="F2340" s="3" t="s">
        <v>3261</v>
      </c>
      <c r="G2340" s="1">
        <v>61.8</v>
      </c>
      <c r="H2340" t="s">
        <v>3272</v>
      </c>
      <c r="I2340" t="s">
        <v>3273</v>
      </c>
      <c r="J2340" s="1">
        <v>3</v>
      </c>
      <c r="K2340" s="1">
        <v>769.33579999999995</v>
      </c>
      <c r="L2340" s="1"/>
      <c r="M2340" s="1" t="str">
        <f>HYPERLINK("http://ms.phosphosite.org:5080/cgi-bin/plot-msms.cgi?MassType=1&amp;NumAxis=1&amp;Mod9=170&amp;Mod17=170&amp;Mod25=170&amp;Pep=SGGGYGGDRGGGYGGDRGGGYGGDR&amp;Dta=/var/www/html/dta/yong/23613.4264.3.dta&amp;Global_Mod=CS57.0215", "4264")</f>
        <v>4264</v>
      </c>
      <c r="N2340" s="27"/>
      <c r="O2340" s="27">
        <v>22.78</v>
      </c>
      <c r="P2340" s="27"/>
      <c r="Q2340" s="27">
        <v>2.6219999999999999</v>
      </c>
      <c r="R2340" s="27"/>
      <c r="S2340" s="27">
        <v>1.0254000000000001</v>
      </c>
      <c r="T2340" s="27"/>
      <c r="U2340" s="27">
        <v>9.3100000000000002E-2</v>
      </c>
      <c r="V2340" s="1"/>
      <c r="W2340" s="1">
        <v>18</v>
      </c>
      <c r="X2340" s="27"/>
      <c r="Y2340" s="27">
        <v>0.76</v>
      </c>
      <c r="Z2340" s="28"/>
      <c r="AA2340" s="28" t="s">
        <v>1307</v>
      </c>
      <c r="AB2340" s="1" t="s">
        <v>13</v>
      </c>
    </row>
    <row r="2341" spans="1:28">
      <c r="A2341" t="s">
        <v>929</v>
      </c>
      <c r="B2341" s="29" t="s">
        <v>3259</v>
      </c>
      <c r="C2341" s="26" t="s">
        <v>3260</v>
      </c>
      <c r="D2341" s="1">
        <v>459</v>
      </c>
      <c r="E2341" t="s">
        <v>930</v>
      </c>
      <c r="F2341" s="3" t="s">
        <v>3261</v>
      </c>
      <c r="G2341" s="1">
        <v>61.8</v>
      </c>
      <c r="H2341" t="s">
        <v>3274</v>
      </c>
      <c r="I2341" t="s">
        <v>3275</v>
      </c>
      <c r="J2341" s="1">
        <v>2</v>
      </c>
      <c r="K2341" s="1">
        <v>736.31910000000005</v>
      </c>
      <c r="L2341" s="1" t="str">
        <f>HYPERLINK("http://ms.phosphosite.org:5080/cgi-bin/plot-msms.cgi?MassType=1&amp;NumAxis=1&amp;Mod8=170&amp;Pep=GGGYGGDRGGGYGGDR&amp;Dta=/var/www/html/dta/yong/23612.2898.2.dta&amp;Global_Mod=CS57.0215", "2898")</f>
        <v>2898</v>
      </c>
      <c r="M2341" s="1" t="str">
        <f>HYPERLINK("http://ms.phosphosite.org:5080/cgi-bin/plot-msms.cgi?MassType=1&amp;NumAxis=1&amp;Mod8=170&amp;Pep=GGGYGGDRGGGYGGDR&amp;Dta=/var/www/html/dta/yong/23613.2952.2.dta&amp;Global_Mod=CS57.0215", "2952")</f>
        <v>2952</v>
      </c>
      <c r="N2341" s="27">
        <v>17.75</v>
      </c>
      <c r="O2341" s="27">
        <v>17.79</v>
      </c>
      <c r="P2341" s="27">
        <v>2.5590000000000002</v>
      </c>
      <c r="Q2341" s="27">
        <v>2.8410000000000002</v>
      </c>
      <c r="R2341" s="27">
        <v>1.0438000000000001</v>
      </c>
      <c r="S2341" s="27">
        <v>1.0862000000000001</v>
      </c>
      <c r="T2341" s="27">
        <v>0.1026</v>
      </c>
      <c r="U2341" s="27">
        <v>0.14199999999999999</v>
      </c>
      <c r="V2341" s="1">
        <v>2</v>
      </c>
      <c r="W2341" s="1">
        <v>1</v>
      </c>
      <c r="X2341" s="27">
        <v>1.01</v>
      </c>
      <c r="Y2341" s="27">
        <v>1.31</v>
      </c>
      <c r="Z2341" s="28">
        <v>1000</v>
      </c>
      <c r="AA2341" s="28">
        <v>1000</v>
      </c>
      <c r="AB2341" s="1" t="s">
        <v>13</v>
      </c>
    </row>
    <row r="2342" spans="1:28">
      <c r="A2342" t="s">
        <v>929</v>
      </c>
      <c r="B2342" s="29" t="s">
        <v>3259</v>
      </c>
      <c r="C2342" s="26" t="s">
        <v>3260</v>
      </c>
      <c r="D2342" s="1">
        <v>459</v>
      </c>
      <c r="E2342" t="s">
        <v>930</v>
      </c>
      <c r="F2342" s="3" t="s">
        <v>3261</v>
      </c>
      <c r="G2342" s="1">
        <v>61.8</v>
      </c>
      <c r="H2342" t="s">
        <v>3274</v>
      </c>
      <c r="I2342" t="s">
        <v>3275</v>
      </c>
      <c r="J2342" s="1">
        <v>3</v>
      </c>
      <c r="K2342" s="1">
        <v>491.21519999999998</v>
      </c>
      <c r="L2342" s="1" t="str">
        <f>HYPERLINK("http://ms.phosphosite.org:5080/cgi-bin/plot-msms.cgi?MassType=1&amp;NumAxis=1&amp;Mod8=170&amp;Pep=GGGYGGDRGGGYGGDR&amp;Dta=/var/www/html/dta/yong/23612.2896.3.dta&amp;Global_Mod=CS57.0215", "2896")</f>
        <v>2896</v>
      </c>
      <c r="M2342" s="1" t="str">
        <f>HYPERLINK("http://ms.phosphosite.org:5080/cgi-bin/plot-msms.cgi?MassType=1&amp;NumAxis=1&amp;Mod8=170&amp;Pep=GGGYGGDRGGGYGGDR&amp;Dta=/var/www/html/dta/yong/23613.2948.3.dta&amp;Global_Mod=CS57.0215", "2948")</f>
        <v>2948</v>
      </c>
      <c r="N2342" s="27">
        <v>17.75</v>
      </c>
      <c r="O2342" s="27">
        <v>17.78</v>
      </c>
      <c r="P2342" s="27">
        <v>2.5649999999999999</v>
      </c>
      <c r="Q2342" s="27">
        <v>2.5259999999999998</v>
      </c>
      <c r="R2342" s="27">
        <v>0.3347</v>
      </c>
      <c r="S2342" s="27">
        <v>0.40050000000000002</v>
      </c>
      <c r="T2342" s="27">
        <v>0.25600000000000001</v>
      </c>
      <c r="U2342" s="27">
        <v>0.1565</v>
      </c>
      <c r="V2342" s="1">
        <v>1</v>
      </c>
      <c r="W2342" s="1">
        <v>1</v>
      </c>
      <c r="X2342" s="27">
        <v>1.85</v>
      </c>
      <c r="Y2342" s="27">
        <v>1.39</v>
      </c>
      <c r="Z2342" s="28">
        <v>1000</v>
      </c>
      <c r="AA2342" s="28">
        <v>1000</v>
      </c>
      <c r="AB2342" s="1" t="s">
        <v>13</v>
      </c>
    </row>
    <row r="2343" spans="1:28">
      <c r="A2343" t="s">
        <v>929</v>
      </c>
      <c r="B2343" s="29" t="s">
        <v>3259</v>
      </c>
      <c r="C2343" s="26" t="s">
        <v>3260</v>
      </c>
      <c r="D2343" s="1">
        <v>459</v>
      </c>
      <c r="E2343" t="s">
        <v>930</v>
      </c>
      <c r="F2343" s="3" t="s">
        <v>3261</v>
      </c>
      <c r="G2343" s="1">
        <v>61.8</v>
      </c>
      <c r="H2343" t="s">
        <v>3274</v>
      </c>
      <c r="I2343" t="s">
        <v>3276</v>
      </c>
      <c r="J2343" s="1">
        <v>2</v>
      </c>
      <c r="K2343" s="1">
        <v>779.83510000000001</v>
      </c>
      <c r="L2343" s="1" t="str">
        <f>HYPERLINK("http://ms.phosphosite.org:5080/cgi-bin/plot-msms.cgi?MassType=1&amp;NumAxis=1&amp;Mod9=170&amp;Pep=SGGGYGGDRGGGYGGDR&amp;Dta=/var/www/html/dta/yong/23612.2948.2.dta&amp;Global_Mod=CS57.0215", "2948")</f>
        <v>2948</v>
      </c>
      <c r="M2343" s="1" t="str">
        <f>HYPERLINK("http://ms.phosphosite.org:5080/cgi-bin/plot-msms.cgi?MassType=1&amp;NumAxis=1&amp;Mod9=170&amp;Pep=SGGGYGGDRGGGYGGDR&amp;Dta=/var/www/html/dta/yong/23613.3003.2.dta&amp;Global_Mod=CS57.0215", "3003")</f>
        <v>3003</v>
      </c>
      <c r="N2343" s="27">
        <v>17.940000000000001</v>
      </c>
      <c r="O2343" s="27">
        <v>17.989999999999998</v>
      </c>
      <c r="P2343" s="27">
        <v>3.3559999999999999</v>
      </c>
      <c r="Q2343" s="27">
        <v>3.3279999999999998</v>
      </c>
      <c r="R2343" s="27">
        <v>1.3655999999999999</v>
      </c>
      <c r="S2343" s="27">
        <v>1.3514999999999999</v>
      </c>
      <c r="T2343" s="27">
        <v>0.18110000000000001</v>
      </c>
      <c r="U2343" s="27">
        <v>0.17199999999999999</v>
      </c>
      <c r="V2343" s="1">
        <v>1</v>
      </c>
      <c r="W2343" s="1">
        <v>2</v>
      </c>
      <c r="X2343" s="27">
        <v>1.52</v>
      </c>
      <c r="Y2343" s="27">
        <v>1.53</v>
      </c>
      <c r="Z2343" s="28">
        <v>1000</v>
      </c>
      <c r="AA2343" s="28">
        <v>1000</v>
      </c>
      <c r="AB2343" s="1" t="s">
        <v>13</v>
      </c>
    </row>
    <row r="2344" spans="1:28">
      <c r="A2344" t="s">
        <v>929</v>
      </c>
      <c r="B2344" s="29" t="s">
        <v>3259</v>
      </c>
      <c r="C2344" s="26" t="s">
        <v>3260</v>
      </c>
      <c r="D2344" s="1">
        <v>459</v>
      </c>
      <c r="E2344" t="s">
        <v>930</v>
      </c>
      <c r="F2344" s="3" t="s">
        <v>3261</v>
      </c>
      <c r="G2344" s="1">
        <v>61.8</v>
      </c>
      <c r="H2344" t="s">
        <v>3274</v>
      </c>
      <c r="I2344" t="s">
        <v>3276</v>
      </c>
      <c r="J2344" s="1">
        <v>3</v>
      </c>
      <c r="K2344" s="1">
        <v>520.22580000000005</v>
      </c>
      <c r="L2344" s="1" t="str">
        <f>HYPERLINK("http://ms.phosphosite.org:5080/cgi-bin/plot-msms.cgi?MassType=1&amp;NumAxis=1&amp;Mod9=170&amp;Pep=SGGGYGGDRGGGYGGDR&amp;Dta=/var/www/html/dta/yong/23612.2940.3.dta&amp;Global_Mod=CS57.0215", "2940")</f>
        <v>2940</v>
      </c>
      <c r="M2344" s="1" t="str">
        <f>HYPERLINK("http://ms.phosphosite.org:5080/cgi-bin/plot-msms.cgi?MassType=1&amp;NumAxis=1&amp;Mod9=170&amp;Pep=SGGGYGGDRGGGYGGDR&amp;Dta=/var/www/html/dta/yong/23613.2990.3.dta&amp;Global_Mod=CS57.0215", "2990")</f>
        <v>2990</v>
      </c>
      <c r="N2344" s="27">
        <v>17.91</v>
      </c>
      <c r="O2344" s="27">
        <v>17.95</v>
      </c>
      <c r="P2344" s="27">
        <v>2.6349999999999998</v>
      </c>
      <c r="Q2344" s="27">
        <v>2.5819999999999999</v>
      </c>
      <c r="R2344" s="27">
        <v>0.69530000000000003</v>
      </c>
      <c r="S2344" s="27">
        <v>0.61560000000000004</v>
      </c>
      <c r="T2344" s="27">
        <v>0.29830000000000001</v>
      </c>
      <c r="U2344" s="27">
        <v>0.36830000000000002</v>
      </c>
      <c r="V2344" s="1">
        <v>1</v>
      </c>
      <c r="W2344" s="1">
        <v>1</v>
      </c>
      <c r="X2344" s="27">
        <v>2.0499999999999998</v>
      </c>
      <c r="Y2344" s="27">
        <v>2.42</v>
      </c>
      <c r="Z2344" s="28">
        <v>1000</v>
      </c>
      <c r="AA2344" s="28">
        <v>1000</v>
      </c>
      <c r="AB2344" s="1" t="s">
        <v>13</v>
      </c>
    </row>
    <row r="2345" spans="1:28">
      <c r="A2345" t="s">
        <v>929</v>
      </c>
      <c r="B2345" s="29" t="s">
        <v>3259</v>
      </c>
      <c r="C2345" s="26" t="s">
        <v>3260</v>
      </c>
      <c r="D2345" s="1">
        <v>483</v>
      </c>
      <c r="E2345" t="s">
        <v>930</v>
      </c>
      <c r="F2345" s="3" t="s">
        <v>3261</v>
      </c>
      <c r="G2345" s="1">
        <v>61.8</v>
      </c>
      <c r="H2345" t="s">
        <v>3277</v>
      </c>
      <c r="I2345" t="s">
        <v>3278</v>
      </c>
      <c r="J2345" s="1">
        <v>2</v>
      </c>
      <c r="K2345" s="1">
        <v>707.80840000000001</v>
      </c>
      <c r="L2345" s="1"/>
      <c r="M2345" s="1" t="str">
        <f>HYPERLINK("http://ms.phosphosite.org:5080/cgi-bin/plot-msms.cgi?MassType=1&amp;NumAxis=1&amp;Mod8=170&amp;Pep=GGGYGGDRGGYGGDR&amp;Dta=/var/www/html/dta/yong/23613.3036.2.dta&amp;Global_Mod=CS57.0215", "3036")</f>
        <v>3036</v>
      </c>
      <c r="N2345" s="27"/>
      <c r="O2345" s="27">
        <v>18.100000000000001</v>
      </c>
      <c r="P2345" s="27"/>
      <c r="Q2345" s="27">
        <v>2.7480000000000002</v>
      </c>
      <c r="R2345" s="27"/>
      <c r="S2345" s="27">
        <v>0.89510000000000001</v>
      </c>
      <c r="T2345" s="27"/>
      <c r="U2345" s="27">
        <v>0.1002</v>
      </c>
      <c r="V2345" s="1"/>
      <c r="W2345" s="1">
        <v>1</v>
      </c>
      <c r="X2345" s="27"/>
      <c r="Y2345" s="27">
        <v>1.1000000000000001</v>
      </c>
      <c r="Z2345" s="28"/>
      <c r="AA2345" s="28">
        <v>1000</v>
      </c>
      <c r="AB2345" s="1" t="s">
        <v>13</v>
      </c>
    </row>
    <row r="2346" spans="1:28">
      <c r="A2346" t="s">
        <v>929</v>
      </c>
      <c r="B2346" s="29" t="s">
        <v>3259</v>
      </c>
      <c r="C2346" s="26" t="s">
        <v>3260</v>
      </c>
      <c r="D2346" s="1">
        <v>483</v>
      </c>
      <c r="E2346" t="s">
        <v>930</v>
      </c>
      <c r="F2346" s="3" t="s">
        <v>3261</v>
      </c>
      <c r="G2346" s="1">
        <v>61.8</v>
      </c>
      <c r="H2346" t="s">
        <v>3277</v>
      </c>
      <c r="I2346" t="s">
        <v>3278</v>
      </c>
      <c r="J2346" s="1">
        <v>3</v>
      </c>
      <c r="K2346" s="1">
        <v>472.20800000000003</v>
      </c>
      <c r="L2346" s="1" t="str">
        <f>HYPERLINK("http://ms.phosphosite.org:5080/cgi-bin/plot-msms.cgi?MassType=1&amp;NumAxis=1&amp;Mod8=170&amp;Pep=GGGYGGDRGGYGGDR&amp;Dta=/var/www/html/dta/yong/23612.2963.3.dta&amp;Global_Mod=CS57.0215", "2963")</f>
        <v>2963</v>
      </c>
      <c r="M2346" s="1" t="str">
        <f>HYPERLINK("http://ms.phosphosite.org:5080/cgi-bin/plot-msms.cgi?MassType=1&amp;NumAxis=1&amp;Mod8=170&amp;Pep=GGGYGGDRGGYGGDR&amp;Dta=/var/www/html/dta/yong/23613.3031.3.dta&amp;Global_Mod=CS57.0215", "3031")</f>
        <v>3031</v>
      </c>
      <c r="N2346" s="27">
        <v>18</v>
      </c>
      <c r="O2346" s="27">
        <v>18.09</v>
      </c>
      <c r="P2346" s="27">
        <v>1.742</v>
      </c>
      <c r="Q2346" s="27">
        <v>2.121</v>
      </c>
      <c r="R2346" s="27">
        <v>0.3271</v>
      </c>
      <c r="S2346" s="27">
        <v>0.20200000000000001</v>
      </c>
      <c r="T2346" s="27">
        <v>0.1201</v>
      </c>
      <c r="U2346" s="27">
        <v>0.20649999999999999</v>
      </c>
      <c r="V2346" s="1">
        <v>1</v>
      </c>
      <c r="W2346" s="1">
        <v>4</v>
      </c>
      <c r="X2346" s="27">
        <v>1.03</v>
      </c>
      <c r="Y2346" s="27">
        <v>1.55</v>
      </c>
      <c r="Z2346" s="28">
        <v>1000</v>
      </c>
      <c r="AA2346" s="28">
        <v>1000</v>
      </c>
      <c r="AB2346" s="1" t="s">
        <v>13</v>
      </c>
    </row>
    <row r="2347" spans="1:28">
      <c r="A2347" t="s">
        <v>933</v>
      </c>
      <c r="B2347" s="2" t="s">
        <v>3279</v>
      </c>
      <c r="C2347" t="s">
        <v>3279</v>
      </c>
      <c r="D2347" s="1">
        <v>247</v>
      </c>
      <c r="E2347" t="s">
        <v>3280</v>
      </c>
      <c r="F2347" s="3" t="s">
        <v>3281</v>
      </c>
      <c r="G2347" s="1">
        <v>56</v>
      </c>
      <c r="H2347" t="s">
        <v>3282</v>
      </c>
      <c r="I2347" t="s">
        <v>3283</v>
      </c>
      <c r="J2347" s="1">
        <v>2</v>
      </c>
      <c r="K2347" s="1">
        <v>903.94380000000001</v>
      </c>
      <c r="L2347" s="1" t="str">
        <f>HYPERLINK("http://ms.phosphosite.org:5080/cgi-bin/plot-msms.cgi?MassType=1&amp;NumAxis=1&amp;Mod2=147&amp;Mod8=170&amp;Pep=GMASSPGRGGISWQSSIV&amp;Dta=/var/www/html/dta/yong/23612.12999.2.dta&amp;Global_Mod=CS57.0215", "12999")</f>
        <v>12999</v>
      </c>
      <c r="M2347" s="1" t="str">
        <f>HYPERLINK("http://ms.phosphosite.org:5080/cgi-bin/plot-msms.cgi?MassType=1&amp;NumAxis=1&amp;Mod2=147&amp;Mod8=170&amp;Pep=GMASSPGRGGISWQSSIV&amp;Dta=/var/www/html/dta/yong/23613.13107.2.dta&amp;Global_Mod=CS57.0215", "13107")</f>
        <v>13107</v>
      </c>
      <c r="N2347" s="27">
        <v>54.25</v>
      </c>
      <c r="O2347" s="27">
        <v>54.29</v>
      </c>
      <c r="P2347" s="27">
        <v>3.0550000000000002</v>
      </c>
      <c r="Q2347" s="27">
        <v>3.1139999999999999</v>
      </c>
      <c r="R2347" s="27">
        <v>0.83220000000000005</v>
      </c>
      <c r="S2347" s="27">
        <v>1.1472</v>
      </c>
      <c r="T2347" s="27">
        <v>0.34620000000000001</v>
      </c>
      <c r="U2347" s="27">
        <v>0.27139999999999997</v>
      </c>
      <c r="V2347" s="1">
        <v>1</v>
      </c>
      <c r="W2347" s="1">
        <v>1</v>
      </c>
      <c r="X2347" s="27">
        <v>2.0099999999999998</v>
      </c>
      <c r="Y2347" s="27">
        <v>1.62</v>
      </c>
      <c r="Z2347" s="28">
        <v>1000</v>
      </c>
      <c r="AA2347" s="28">
        <v>1000</v>
      </c>
      <c r="AB2347" s="1" t="s">
        <v>13</v>
      </c>
    </row>
    <row r="2348" spans="1:28">
      <c r="A2348" t="s">
        <v>933</v>
      </c>
      <c r="B2348" s="29" t="s">
        <v>3284</v>
      </c>
      <c r="C2348" s="26" t="s">
        <v>3284</v>
      </c>
      <c r="D2348" s="1">
        <v>117</v>
      </c>
      <c r="E2348" t="s">
        <v>3285</v>
      </c>
      <c r="F2348" s="3" t="s">
        <v>3286</v>
      </c>
      <c r="G2348" s="1">
        <v>91.1</v>
      </c>
      <c r="H2348" t="s">
        <v>3287</v>
      </c>
      <c r="I2348" t="s">
        <v>3288</v>
      </c>
      <c r="J2348" s="1">
        <v>2</v>
      </c>
      <c r="K2348" s="1">
        <v>708.35130000000004</v>
      </c>
      <c r="L2348" s="1" t="str">
        <f>HYPERLINK("http://ms.phosphosite.org:5080/cgi-bin/plot-msms.cgi?MassType=1&amp;NumAxis=1&amp;Mod12=170&amp;Pep=GFYPQYGALETR&amp;Dta=/var/www/html/dta/yong/23612.12242.2.dta&amp;Global_Mod=CS57.0215", "12242")</f>
        <v>12242</v>
      </c>
      <c r="M2348" s="1" t="str">
        <f>HYPERLINK("http://ms.phosphosite.org:5080/cgi-bin/plot-msms.cgi?MassType=1&amp;NumAxis=1&amp;Mod12=170&amp;Pep=GFYPQYGALETR&amp;Dta=/var/www/html/dta/yong/23613.12333.2.dta&amp;Global_Mod=CS57.0215", "12333")</f>
        <v>12333</v>
      </c>
      <c r="N2348" s="27">
        <v>51.57</v>
      </c>
      <c r="O2348" s="27">
        <v>51.58</v>
      </c>
      <c r="P2348" s="27">
        <v>3.0150000000000001</v>
      </c>
      <c r="Q2348" s="27">
        <v>2.7069999999999999</v>
      </c>
      <c r="R2348" s="27">
        <v>0.82150000000000001</v>
      </c>
      <c r="S2348" s="27">
        <v>9.6100000000000005E-2</v>
      </c>
      <c r="T2348" s="27">
        <v>0.29630000000000001</v>
      </c>
      <c r="U2348" s="27">
        <v>0.37</v>
      </c>
      <c r="V2348" s="1">
        <v>1</v>
      </c>
      <c r="W2348" s="1">
        <v>1</v>
      </c>
      <c r="X2348" s="27">
        <v>2.0299999999999998</v>
      </c>
      <c r="Y2348" s="27">
        <v>2.33</v>
      </c>
      <c r="Z2348" s="28">
        <v>1000</v>
      </c>
      <c r="AA2348" s="28">
        <v>1000</v>
      </c>
      <c r="AB2348" s="1" t="s">
        <v>13</v>
      </c>
    </row>
    <row r="2349" spans="1:28">
      <c r="A2349" t="s">
        <v>933</v>
      </c>
      <c r="B2349" s="29" t="s">
        <v>3289</v>
      </c>
      <c r="C2349" s="26" t="s">
        <v>3290</v>
      </c>
      <c r="D2349" s="30" t="s">
        <v>3291</v>
      </c>
      <c r="E2349" t="s">
        <v>3292</v>
      </c>
      <c r="F2349" s="3" t="s">
        <v>3293</v>
      </c>
      <c r="G2349" s="1">
        <v>60.5</v>
      </c>
      <c r="H2349" t="s">
        <v>3294</v>
      </c>
      <c r="I2349" t="s">
        <v>3295</v>
      </c>
      <c r="J2349" s="1">
        <v>3</v>
      </c>
      <c r="K2349" s="1">
        <v>539.26800000000003</v>
      </c>
      <c r="L2349" s="1" t="str">
        <f>HYPERLINK("http://ms.phosphosite.org:5080/cgi-bin/plot-msms.cgi?MassType=1&amp;NumAxis=1&amp;Mod2=170&amp;Mod14=170&amp;Pep=GRGGGAEEATEAGRGGR&amp;Dta=/var/www/html/dta/yong/23612.1751.3.dta&amp;Global_Mod=CS57.0215", "1751")</f>
        <v>1751</v>
      </c>
      <c r="M2349" s="1" t="str">
        <f>HYPERLINK("http://ms.phosphosite.org:5080/cgi-bin/plot-msms.cgi?MassType=1&amp;NumAxis=1&amp;Mod2=170&amp;Mod14=170&amp;Pep=GRGGGAEEATEAGRGGR&amp;Dta=/var/www/html/dta/yong/23613.1782.3.dta&amp;Global_Mod=CS57.0215", "1782")</f>
        <v>1782</v>
      </c>
      <c r="N2349" s="27">
        <v>13.45</v>
      </c>
      <c r="O2349" s="27">
        <v>13.4</v>
      </c>
      <c r="P2349" s="27">
        <v>3.3490000000000002</v>
      </c>
      <c r="Q2349" s="27">
        <v>2.2949999999999999</v>
      </c>
      <c r="R2349" s="27">
        <v>0.1163</v>
      </c>
      <c r="S2349" s="27">
        <v>1.3097000000000001</v>
      </c>
      <c r="T2349" s="27">
        <v>0.34310000000000002</v>
      </c>
      <c r="U2349" s="27">
        <v>0.1835</v>
      </c>
      <c r="V2349" s="1">
        <v>1</v>
      </c>
      <c r="W2349" s="1">
        <v>51</v>
      </c>
      <c r="X2349" s="27">
        <v>1.94</v>
      </c>
      <c r="Y2349" s="27">
        <v>0.86</v>
      </c>
      <c r="Z2349" s="28" t="s">
        <v>1306</v>
      </c>
      <c r="AA2349" s="28" t="s">
        <v>1306</v>
      </c>
      <c r="AB2349" s="1" t="s">
        <v>13</v>
      </c>
    </row>
    <row r="2350" spans="1:28">
      <c r="A2350" t="s">
        <v>945</v>
      </c>
      <c r="B2350" s="2" t="s">
        <v>3296</v>
      </c>
      <c r="C2350" t="s">
        <v>3297</v>
      </c>
      <c r="D2350" s="1">
        <v>81</v>
      </c>
      <c r="E2350" t="s">
        <v>3298</v>
      </c>
      <c r="F2350" s="3" t="s">
        <v>3299</v>
      </c>
      <c r="G2350" s="1">
        <v>80.2</v>
      </c>
      <c r="H2350" t="s">
        <v>3300</v>
      </c>
      <c r="I2350" t="s">
        <v>3301</v>
      </c>
      <c r="J2350" s="1">
        <v>2</v>
      </c>
      <c r="K2350" s="1">
        <v>754.38430000000005</v>
      </c>
      <c r="L2350" s="1" t="str">
        <f>HYPERLINK("http://ms.phosphosite.org:5080/cgi-bin/plot-msms.cgi?MassType=1&amp;NumAxis=1&amp;Mod12=147&amp;Mod13=170&amp;Pep=APLPDLYPFGTMR&amp;Dta=/var/www/html/dta/yong/23612.15929.2.dta&amp;Global_Mod=CS57.0215", "15929")</f>
        <v>15929</v>
      </c>
      <c r="M2350" s="1" t="str">
        <f>HYPERLINK("http://ms.phosphosite.org:5080/cgi-bin/plot-msms.cgi?MassType=1&amp;NumAxis=1&amp;Mod12=147&amp;Mod13=170&amp;Pep=APLPDLYPFGTMR&amp;Dta=/var/www/html/dta/yong/23613.16072.2.dta&amp;Global_Mod=CS57.0215", "16072")</f>
        <v>16072</v>
      </c>
      <c r="N2350" s="27">
        <v>65.349999999999994</v>
      </c>
      <c r="O2350" s="27">
        <v>65.56</v>
      </c>
      <c r="P2350" s="27">
        <v>1.772</v>
      </c>
      <c r="Q2350" s="27">
        <v>2.2130000000000001</v>
      </c>
      <c r="R2350" s="27">
        <v>6.3799999999999996E-2</v>
      </c>
      <c r="S2350" s="27">
        <v>0.54559999999999997</v>
      </c>
      <c r="T2350" s="27">
        <v>0.23810000000000001</v>
      </c>
      <c r="U2350" s="27">
        <v>0.31619999999999998</v>
      </c>
      <c r="V2350" s="1">
        <v>2</v>
      </c>
      <c r="W2350" s="1">
        <v>1</v>
      </c>
      <c r="X2350" s="27">
        <v>1.65</v>
      </c>
      <c r="Y2350" s="27">
        <v>2.12</v>
      </c>
      <c r="Z2350" s="28">
        <v>1000</v>
      </c>
      <c r="AA2350" s="28">
        <v>1000</v>
      </c>
      <c r="AB2350" s="1" t="s">
        <v>13</v>
      </c>
    </row>
    <row r="2351" spans="1:28">
      <c r="A2351" t="s">
        <v>945</v>
      </c>
      <c r="B2351" s="29" t="s">
        <v>3302</v>
      </c>
      <c r="C2351" s="26" t="s">
        <v>3303</v>
      </c>
      <c r="D2351" s="1">
        <v>684</v>
      </c>
      <c r="E2351" t="s">
        <v>3298</v>
      </c>
      <c r="F2351" s="3" t="s">
        <v>3299</v>
      </c>
      <c r="G2351" s="1">
        <v>80.2</v>
      </c>
      <c r="H2351" t="s">
        <v>3304</v>
      </c>
      <c r="I2351" t="s">
        <v>3305</v>
      </c>
      <c r="J2351" s="1">
        <v>2</v>
      </c>
      <c r="K2351" s="1">
        <v>735.35260000000005</v>
      </c>
      <c r="L2351" s="1" t="str">
        <f>HYPERLINK("http://ms.phosphosite.org:5080/cgi-bin/plot-msms.cgi?MassType=1&amp;NumAxis=1&amp;Mod14=170&amp;Pep=SSQSSSQQFSGIGR&amp;Dta=/var/www/html/dta/yong/23612.6472.2.dta&amp;Global_Mod=CS57.0215", "6472")</f>
        <v>6472</v>
      </c>
      <c r="M2351" s="1" t="str">
        <f>HYPERLINK("http://ms.phosphosite.org:5080/cgi-bin/plot-msms.cgi?MassType=1&amp;NumAxis=1&amp;Mod14=170&amp;Pep=SSQSSSQQFSGIGR&amp;Dta=/var/www/html/dta/yong/23613.6524.2.dta&amp;Global_Mod=CS57.0215", "6524")</f>
        <v>6524</v>
      </c>
      <c r="N2351" s="27">
        <v>31.3</v>
      </c>
      <c r="O2351" s="27">
        <v>31.3</v>
      </c>
      <c r="P2351" s="27">
        <v>4.0439999999999996</v>
      </c>
      <c r="Q2351" s="27">
        <v>4.0759999999999996</v>
      </c>
      <c r="R2351" s="27">
        <v>0.4128</v>
      </c>
      <c r="S2351" s="27">
        <v>0.10150000000000001</v>
      </c>
      <c r="T2351" s="27">
        <v>0.32219999999999999</v>
      </c>
      <c r="U2351" s="27">
        <v>0.3306</v>
      </c>
      <c r="V2351" s="1">
        <v>1</v>
      </c>
      <c r="W2351" s="1">
        <v>1</v>
      </c>
      <c r="X2351" s="27">
        <v>2.5099999999999998</v>
      </c>
      <c r="Y2351" s="27">
        <v>2.5499999999999998</v>
      </c>
      <c r="Z2351" s="28">
        <v>1000</v>
      </c>
      <c r="AA2351" s="28">
        <v>1000</v>
      </c>
      <c r="AB2351" s="1" t="s">
        <v>13</v>
      </c>
    </row>
    <row r="2352" spans="1:28">
      <c r="A2352" t="s">
        <v>945</v>
      </c>
      <c r="B2352" s="29" t="s">
        <v>3302</v>
      </c>
      <c r="C2352" s="26" t="s">
        <v>3303</v>
      </c>
      <c r="D2352" s="1">
        <v>100</v>
      </c>
      <c r="E2352" t="s">
        <v>3298</v>
      </c>
      <c r="F2352" s="3" t="s">
        <v>3299</v>
      </c>
      <c r="G2352" s="1">
        <v>80.2</v>
      </c>
      <c r="H2352" t="s">
        <v>3306</v>
      </c>
      <c r="I2352" t="s">
        <v>3307</v>
      </c>
      <c r="J2352" s="1">
        <v>3</v>
      </c>
      <c r="K2352" s="1">
        <v>414.56319999999999</v>
      </c>
      <c r="L2352" s="1" t="str">
        <f>HYPERLINK("http://ms.phosphosite.org:5080/cgi-bin/plot-msms.cgi?MassType=1&amp;NumAxis=1&amp;Mod6=170&amp;Pep=GGFGARGGGGLPPK&amp;Dta=/var/www/html/dta/yong/23612.5306.3.dta&amp;Global_Mod=CS57.0215", "5306")</f>
        <v>5306</v>
      </c>
      <c r="M2352" s="1" t="str">
        <f>HYPERLINK("http://ms.phosphosite.org:5080/cgi-bin/plot-msms.cgi?MassType=1&amp;NumAxis=1&amp;Mod6=170&amp;Pep=GGFGARGGGGLPPK&amp;Dta=/var/www/html/dta/yong/23613.5728.3.dta&amp;Global_Mod=CS57.0215", "5728")</f>
        <v>5728</v>
      </c>
      <c r="N2352" s="27">
        <v>26.98</v>
      </c>
      <c r="O2352" s="27">
        <v>28.35</v>
      </c>
      <c r="P2352" s="27">
        <v>2.0979999999999999</v>
      </c>
      <c r="Q2352" s="27">
        <v>1.998</v>
      </c>
      <c r="R2352" s="27">
        <v>0.31159999999999999</v>
      </c>
      <c r="S2352" s="27">
        <v>0.31890000000000002</v>
      </c>
      <c r="T2352" s="27">
        <v>0.19620000000000001</v>
      </c>
      <c r="U2352" s="27">
        <v>0.2228</v>
      </c>
      <c r="V2352" s="1">
        <v>17</v>
      </c>
      <c r="W2352" s="1">
        <v>18</v>
      </c>
      <c r="X2352" s="27">
        <v>1.37</v>
      </c>
      <c r="Y2352" s="27">
        <v>1.45</v>
      </c>
      <c r="Z2352" s="28">
        <v>1000</v>
      </c>
      <c r="AA2352" s="28">
        <v>1000</v>
      </c>
      <c r="AB2352" s="1" t="s">
        <v>13</v>
      </c>
    </row>
    <row r="2353" spans="1:28">
      <c r="A2353" t="s">
        <v>945</v>
      </c>
      <c r="B2353" s="29" t="s">
        <v>3302</v>
      </c>
      <c r="C2353" s="26" t="s">
        <v>3303</v>
      </c>
      <c r="D2353" s="1">
        <v>100</v>
      </c>
      <c r="E2353" t="s">
        <v>3298</v>
      </c>
      <c r="F2353" s="3" t="s">
        <v>3299</v>
      </c>
      <c r="G2353" s="1">
        <v>80.2</v>
      </c>
      <c r="H2353" t="s">
        <v>3306</v>
      </c>
      <c r="I2353" t="s">
        <v>3307</v>
      </c>
      <c r="J2353" s="1">
        <v>3</v>
      </c>
      <c r="K2353" s="1">
        <v>414.56319999999999</v>
      </c>
      <c r="L2353" s="1" t="str">
        <f>HYPERLINK("http://ms.phosphosite.org:5080/cgi-bin/plot-msms.cgi?MassType=1&amp;NumAxis=1&amp;Mod6=170&amp;Pep=GGFGARGGGGLPPK&amp;Dta=/var/www/html/dta/yong/23612.5710.3.dta&amp;Global_Mod=CS57.0215", "5710")</f>
        <v>5710</v>
      </c>
      <c r="M2353" s="1" t="str">
        <f>HYPERLINK("http://ms.phosphosite.org:5080/cgi-bin/plot-msms.cgi?MassType=1&amp;NumAxis=1&amp;Mod6=170&amp;Pep=GGFGARGGGGLPPK&amp;Dta=/var/www/html/dta/yong/23613.5348.3.dta&amp;Global_Mod=CS57.0215", "5348")</f>
        <v>5348</v>
      </c>
      <c r="N2353" s="27">
        <v>28.49</v>
      </c>
      <c r="O2353" s="27">
        <v>26.95</v>
      </c>
      <c r="P2353" s="27">
        <v>1.958</v>
      </c>
      <c r="Q2353" s="27">
        <v>1.841</v>
      </c>
      <c r="R2353" s="27">
        <v>-0.21410000000000001</v>
      </c>
      <c r="S2353" s="27">
        <v>0.30969999999999998</v>
      </c>
      <c r="T2353" s="27">
        <v>0.16089999999999999</v>
      </c>
      <c r="U2353" s="27">
        <v>9.6199999999999994E-2</v>
      </c>
      <c r="V2353" s="1">
        <v>71</v>
      </c>
      <c r="W2353" s="1">
        <v>10</v>
      </c>
      <c r="X2353" s="27">
        <v>1.1000000000000001</v>
      </c>
      <c r="Y2353" s="27">
        <v>0.8</v>
      </c>
      <c r="Z2353" s="28">
        <v>1000</v>
      </c>
      <c r="AA2353" s="28">
        <v>1000</v>
      </c>
      <c r="AB2353" s="1" t="s">
        <v>13</v>
      </c>
    </row>
    <row r="2354" spans="1:28">
      <c r="A2354" t="s">
        <v>945</v>
      </c>
      <c r="B2354" s="29" t="s">
        <v>3302</v>
      </c>
      <c r="C2354" s="26" t="s">
        <v>3303</v>
      </c>
      <c r="D2354" s="1">
        <v>100</v>
      </c>
      <c r="E2354" t="s">
        <v>3298</v>
      </c>
      <c r="F2354" s="3" t="s">
        <v>3299</v>
      </c>
      <c r="G2354" s="1">
        <v>80.2</v>
      </c>
      <c r="H2354" t="s">
        <v>3306</v>
      </c>
      <c r="I2354" t="s">
        <v>3307</v>
      </c>
      <c r="J2354" s="1">
        <v>3</v>
      </c>
      <c r="K2354" s="1">
        <v>414.56319999999999</v>
      </c>
      <c r="L2354" s="1" t="str">
        <f>HYPERLINK("http://ms.phosphosite.org:5080/cgi-bin/plot-msms.cgi?MassType=1&amp;NumAxis=1&amp;Mod6=170&amp;Pep=GGFGARGGGGLPPK&amp;Dta=/var/www/html/dta/yong/23612.5686.3.dta&amp;Global_Mod=CS57.0215", "5686")</f>
        <v>5686</v>
      </c>
      <c r="M2354" s="1"/>
      <c r="N2354" s="27">
        <v>28.41</v>
      </c>
      <c r="O2354" s="27"/>
      <c r="P2354" s="27">
        <v>1.8440000000000001</v>
      </c>
      <c r="Q2354" s="27"/>
      <c r="R2354" s="27">
        <v>-8.8999999999999996E-2</v>
      </c>
      <c r="S2354" s="27"/>
      <c r="T2354" s="27">
        <v>0.185</v>
      </c>
      <c r="U2354" s="27"/>
      <c r="V2354" s="1">
        <v>59</v>
      </c>
      <c r="W2354" s="1"/>
      <c r="X2354" s="27">
        <v>1.21</v>
      </c>
      <c r="Y2354" s="27"/>
      <c r="Z2354" s="28">
        <v>1000</v>
      </c>
      <c r="AA2354" s="28"/>
      <c r="AB2354" s="1" t="s">
        <v>13</v>
      </c>
    </row>
    <row r="2355" spans="1:28">
      <c r="A2355" t="s">
        <v>945</v>
      </c>
      <c r="B2355" s="29" t="s">
        <v>3302</v>
      </c>
      <c r="C2355" s="26" t="s">
        <v>3303</v>
      </c>
      <c r="D2355" s="1">
        <v>81</v>
      </c>
      <c r="E2355" t="s">
        <v>3298</v>
      </c>
      <c r="F2355" s="3" t="s">
        <v>3299</v>
      </c>
      <c r="G2355" s="1">
        <v>80.2</v>
      </c>
      <c r="H2355" t="s">
        <v>3300</v>
      </c>
      <c r="I2355" t="s">
        <v>3308</v>
      </c>
      <c r="J2355" s="1">
        <v>3</v>
      </c>
      <c r="K2355" s="1">
        <v>328.15559999999999</v>
      </c>
      <c r="L2355" s="1"/>
      <c r="M2355" s="1" t="str">
        <f>HYPERLINK("http://ms.phosphosite.org:5080/cgi-bin/plot-msms.cgi?MassType=1&amp;NumAxis=1&amp;Mod1=147&amp;Mod2=170&amp;Pep=MRGGGFGDR&amp;Dta=/var/www/html/dta/yong/23613.1934.3.dta&amp;Global_Mod=CS57.0215", "1934")</f>
        <v>1934</v>
      </c>
      <c r="N2355" s="27"/>
      <c r="O2355" s="27">
        <v>13.95</v>
      </c>
      <c r="P2355" s="27"/>
      <c r="Q2355" s="27">
        <v>2.5009999999999999</v>
      </c>
      <c r="R2355" s="27"/>
      <c r="S2355" s="27">
        <v>0.55520000000000003</v>
      </c>
      <c r="T2355" s="27"/>
      <c r="U2355" s="27">
        <v>8.3299999999999999E-2</v>
      </c>
      <c r="V2355" s="1"/>
      <c r="W2355" s="1">
        <v>1</v>
      </c>
      <c r="X2355" s="27"/>
      <c r="Y2355" s="27">
        <v>0.93</v>
      </c>
      <c r="Z2355" s="28"/>
      <c r="AA2355" s="28">
        <v>1000</v>
      </c>
      <c r="AB2355" s="1" t="s">
        <v>13</v>
      </c>
    </row>
    <row r="2356" spans="1:28">
      <c r="A2356" t="s">
        <v>945</v>
      </c>
      <c r="B2356" s="29" t="s">
        <v>3302</v>
      </c>
      <c r="C2356" s="26" t="s">
        <v>3303</v>
      </c>
      <c r="D2356" s="1">
        <v>81</v>
      </c>
      <c r="E2356" t="s">
        <v>3298</v>
      </c>
      <c r="F2356" s="3" t="s">
        <v>3299</v>
      </c>
      <c r="G2356" s="1">
        <v>80.2</v>
      </c>
      <c r="H2356" t="s">
        <v>3300</v>
      </c>
      <c r="I2356" t="s">
        <v>3309</v>
      </c>
      <c r="J2356" s="1">
        <v>3</v>
      </c>
      <c r="K2356" s="1">
        <v>322.82400000000001</v>
      </c>
      <c r="L2356" s="1" t="str">
        <f>HYPERLINK("http://ms.phosphosite.org:5080/cgi-bin/plot-msms.cgi?MassType=1&amp;NumAxis=1&amp;Mod2=170&amp;Pep=MRGGGFGDR&amp;Dta=/var/www/html/dta/yong/23612.2760.3.dta&amp;Global_Mod=CS57.0215", "2760")</f>
        <v>2760</v>
      </c>
      <c r="M2356" s="1" t="str">
        <f>HYPERLINK("http://ms.phosphosite.org:5080/cgi-bin/plot-msms.cgi?MassType=1&amp;NumAxis=1&amp;Mod2=170&amp;Pep=MRGGGFGDR&amp;Dta=/var/www/html/dta/yong/23613.2802.3.dta&amp;Global_Mod=CS57.0215", "2802")</f>
        <v>2802</v>
      </c>
      <c r="N2356" s="27">
        <v>17.239999999999998</v>
      </c>
      <c r="O2356" s="27">
        <v>17.239999999999998</v>
      </c>
      <c r="P2356" s="27">
        <v>2.302</v>
      </c>
      <c r="Q2356" s="27">
        <v>2.1629999999999998</v>
      </c>
      <c r="R2356" s="27">
        <v>0.3644</v>
      </c>
      <c r="S2356" s="27">
        <v>0.28760000000000002</v>
      </c>
      <c r="T2356" s="27">
        <v>0.1338</v>
      </c>
      <c r="U2356" s="27">
        <v>0.12909999999999999</v>
      </c>
      <c r="V2356" s="1">
        <v>4</v>
      </c>
      <c r="W2356" s="1">
        <v>10</v>
      </c>
      <c r="X2356" s="27">
        <v>1.1599999999999999</v>
      </c>
      <c r="Y2356" s="27">
        <v>1.0900000000000001</v>
      </c>
      <c r="Z2356" s="28">
        <v>1000</v>
      </c>
      <c r="AA2356" s="28">
        <v>1000</v>
      </c>
      <c r="AB2356" s="1" t="s">
        <v>13</v>
      </c>
    </row>
    <row r="2357" spans="1:28">
      <c r="A2357" t="s">
        <v>945</v>
      </c>
      <c r="B2357" s="2" t="s">
        <v>3310</v>
      </c>
      <c r="C2357" t="s">
        <v>3311</v>
      </c>
      <c r="D2357" s="1">
        <v>2056</v>
      </c>
      <c r="E2357" t="s">
        <v>3312</v>
      </c>
      <c r="F2357" s="3" t="s">
        <v>3313</v>
      </c>
      <c r="G2357" s="1">
        <v>264</v>
      </c>
      <c r="H2357" t="s">
        <v>3314</v>
      </c>
      <c r="I2357" t="s">
        <v>3315</v>
      </c>
      <c r="J2357" s="1">
        <v>4</v>
      </c>
      <c r="K2357" s="1">
        <v>994.2903</v>
      </c>
      <c r="L2357" s="1"/>
      <c r="M2357" s="1" t="str">
        <f>HYPERLINK("http://ms.phosphosite.org:5080/cgi-bin/plot-msms.cgi?MassType=1&amp;NumAxis=1&amp;Mod9=147&amp;Mod38=170&amp;Pep=AQHGQPLNMAPQPGLGQVGISPLKPGTVSQQALQNLLR&amp;Dta=/var/www/html/dta/yong/23613.17340.4.dta&amp;Global_Mod=CS57.0215", "17340")</f>
        <v>17340</v>
      </c>
      <c r="N2357" s="27"/>
      <c r="O2357" s="27">
        <v>70.8</v>
      </c>
      <c r="P2357" s="27"/>
      <c r="Q2357" s="27">
        <v>4.4580000000000002</v>
      </c>
      <c r="R2357" s="27"/>
      <c r="S2357" s="27">
        <v>1.9776</v>
      </c>
      <c r="T2357" s="27"/>
      <c r="U2357" s="27">
        <v>0.38040000000000002</v>
      </c>
      <c r="V2357" s="1"/>
      <c r="W2357" s="1">
        <v>1</v>
      </c>
      <c r="X2357" s="27"/>
      <c r="Y2357" s="27">
        <v>2.4300000000000002</v>
      </c>
      <c r="Z2357" s="28"/>
      <c r="AA2357" s="28">
        <v>1000</v>
      </c>
      <c r="AB2357" s="1" t="s">
        <v>13</v>
      </c>
    </row>
    <row r="2358" spans="1:28">
      <c r="A2358" t="s">
        <v>945</v>
      </c>
      <c r="B2358" s="2" t="s">
        <v>3310</v>
      </c>
      <c r="C2358" t="s">
        <v>3311</v>
      </c>
      <c r="D2358" s="1">
        <v>2056</v>
      </c>
      <c r="E2358" t="s">
        <v>3312</v>
      </c>
      <c r="F2358" s="3" t="s">
        <v>3313</v>
      </c>
      <c r="G2358" s="1">
        <v>264</v>
      </c>
      <c r="H2358" t="s">
        <v>3314</v>
      </c>
      <c r="I2358" t="s">
        <v>3315</v>
      </c>
      <c r="J2358" s="1">
        <v>4</v>
      </c>
      <c r="K2358" s="1">
        <v>994.2903</v>
      </c>
      <c r="L2358" s="1"/>
      <c r="M2358" s="1" t="str">
        <f>HYPERLINK("http://ms.phosphosite.org:5080/cgi-bin/plot-msms.cgi?MassType=1&amp;NumAxis=1&amp;Mod9=147&amp;Mod38=170&amp;Pep=AQHGQPLNMAPQPGLGQVGISPLKPGTVSQQALQNLLR&amp;Dta=/var/www/html/dta/yong/23613.17368.4.dta&amp;Global_Mod=CS57.0215", "17368")</f>
        <v>17368</v>
      </c>
      <c r="N2358" s="27"/>
      <c r="O2358" s="27">
        <v>70.92</v>
      </c>
      <c r="P2358" s="27"/>
      <c r="Q2358" s="27">
        <v>3.3610000000000002</v>
      </c>
      <c r="R2358" s="27"/>
      <c r="S2358" s="27">
        <v>1.4570000000000001</v>
      </c>
      <c r="T2358" s="27"/>
      <c r="U2358" s="27">
        <v>0.1045</v>
      </c>
      <c r="V2358" s="1"/>
      <c r="W2358" s="1">
        <v>1</v>
      </c>
      <c r="X2358" s="27"/>
      <c r="Y2358" s="27">
        <v>0.87</v>
      </c>
      <c r="Z2358" s="28"/>
      <c r="AA2358" s="28">
        <v>1000</v>
      </c>
      <c r="AB2358" s="1" t="s">
        <v>13</v>
      </c>
    </row>
    <row r="2359" spans="1:28">
      <c r="A2359" t="s">
        <v>945</v>
      </c>
      <c r="B2359" s="29" t="s">
        <v>3316</v>
      </c>
      <c r="C2359" s="26" t="s">
        <v>3317</v>
      </c>
      <c r="D2359" s="1">
        <v>524</v>
      </c>
      <c r="E2359" t="s">
        <v>3318</v>
      </c>
      <c r="F2359" s="3" t="s">
        <v>3319</v>
      </c>
      <c r="G2359" s="1">
        <v>208.6</v>
      </c>
      <c r="H2359" t="s">
        <v>3320</v>
      </c>
      <c r="I2359" t="s">
        <v>3321</v>
      </c>
      <c r="J2359" s="1">
        <v>2</v>
      </c>
      <c r="K2359" s="1">
        <v>641.37990000000002</v>
      </c>
      <c r="L2359" s="1"/>
      <c r="M2359" s="1" t="str">
        <f>HYPERLINK("http://ms.phosphosite.org:5080/cgi-bin/plot-msms.cgi?MassType=1&amp;NumAxis=1&amp;Mod13=170&amp;Pep=APVTVTSLPAGVR&amp;Dta=/var/www/html/dta/yong/23613.10407.2.dta&amp;Global_Mod=CS57.0215", "10407")</f>
        <v>10407</v>
      </c>
      <c r="N2359" s="27"/>
      <c r="O2359" s="27">
        <v>45.16</v>
      </c>
      <c r="P2359" s="27"/>
      <c r="Q2359" s="27">
        <v>2.4670000000000001</v>
      </c>
      <c r="R2359" s="27"/>
      <c r="S2359" s="27">
        <v>1.611</v>
      </c>
      <c r="T2359" s="27"/>
      <c r="U2359" s="27">
        <v>0.20119999999999999</v>
      </c>
      <c r="V2359" s="1"/>
      <c r="W2359" s="1">
        <v>1</v>
      </c>
      <c r="X2359" s="27"/>
      <c r="Y2359" s="27">
        <v>1.38</v>
      </c>
      <c r="Z2359" s="28"/>
      <c r="AA2359" s="28">
        <v>1000</v>
      </c>
      <c r="AB2359" s="1" t="s">
        <v>13</v>
      </c>
    </row>
    <row r="2360" spans="1:28">
      <c r="A2360" t="s">
        <v>945</v>
      </c>
      <c r="B2360" s="2" t="s">
        <v>965</v>
      </c>
      <c r="C2360" t="s">
        <v>965</v>
      </c>
      <c r="D2360" s="1" t="s">
        <v>3322</v>
      </c>
      <c r="E2360" t="s">
        <v>966</v>
      </c>
      <c r="F2360" s="3" t="s">
        <v>3323</v>
      </c>
      <c r="G2360" s="1">
        <v>43</v>
      </c>
      <c r="H2360" t="s">
        <v>3324</v>
      </c>
      <c r="I2360" t="s">
        <v>3325</v>
      </c>
      <c r="J2360" s="1">
        <v>4</v>
      </c>
      <c r="K2360" s="1">
        <v>890.68520000000001</v>
      </c>
      <c r="L2360" s="1"/>
      <c r="M2360" s="1" t="str">
        <f>HYPERLINK("http://ms.phosphosite.org:5080/cgi-bin/plot-msms.cgi?MassType=1&amp;NumAxis=1&amp;Mod4=170&amp;Mod12=170&amp;Mod27=147&amp;Pep=FGSRGGPGGGFRPFVPHIPFDFYLCEMAFPR&amp;Dta=/var/www/html/dta/yong/23613.19038.4.dta&amp;Global_Mod=CS57.0215", "19038")</f>
        <v>19038</v>
      </c>
      <c r="N2360" s="27"/>
      <c r="O2360" s="27">
        <v>78.48</v>
      </c>
      <c r="P2360" s="27"/>
      <c r="Q2360" s="27">
        <v>3.177</v>
      </c>
      <c r="R2360" s="27"/>
      <c r="S2360" s="27">
        <v>1.6471</v>
      </c>
      <c r="T2360" s="27"/>
      <c r="U2360" s="27">
        <v>0.1522</v>
      </c>
      <c r="V2360" s="1"/>
      <c r="W2360" s="1">
        <v>1</v>
      </c>
      <c r="X2360" s="27"/>
      <c r="Y2360" s="27">
        <v>1.27</v>
      </c>
      <c r="Z2360" s="28"/>
      <c r="AA2360" s="28" t="s">
        <v>1306</v>
      </c>
      <c r="AB2360" s="1" t="s">
        <v>13</v>
      </c>
    </row>
    <row r="2361" spans="1:28">
      <c r="A2361" t="s">
        <v>945</v>
      </c>
      <c r="B2361" s="2" t="s">
        <v>965</v>
      </c>
      <c r="C2361" t="s">
        <v>965</v>
      </c>
      <c r="D2361" s="1" t="s">
        <v>3322</v>
      </c>
      <c r="E2361" t="s">
        <v>966</v>
      </c>
      <c r="F2361" s="3" t="s">
        <v>3323</v>
      </c>
      <c r="G2361" s="1">
        <v>43</v>
      </c>
      <c r="H2361" t="s">
        <v>3324</v>
      </c>
      <c r="I2361" t="s">
        <v>3325</v>
      </c>
      <c r="J2361" s="1">
        <v>5</v>
      </c>
      <c r="K2361" s="1">
        <v>712.74959999999999</v>
      </c>
      <c r="L2361" s="1" t="str">
        <f>HYPERLINK("http://ms.phosphosite.org:5080/cgi-bin/plot-msms.cgi?MassType=1&amp;NumAxis=1&amp;Mod4=170&amp;Mod12=170&amp;Mod27=147&amp;Pep=FGSRGGPGGGFRPFVPHIPFDFYLCEMAFPR&amp;Dta=/var/www/html/dta/yong/23612.18974.5.dta&amp;Global_Mod=CS57.0215", "18974")</f>
        <v>18974</v>
      </c>
      <c r="M2361" s="1" t="str">
        <f>HYPERLINK("http://ms.phosphosite.org:5080/cgi-bin/plot-msms.cgi?MassType=1&amp;NumAxis=1&amp;Mod4=170&amp;Mod12=170&amp;Mod27=147&amp;Pep=FGSRGGPGGGFRPFVPHIPFDFYLCEMAFPR&amp;Dta=/var/www/html/dta/yong/23613.19053.5.dta&amp;Global_Mod=CS57.0215", "19053")</f>
        <v>19053</v>
      </c>
      <c r="N2361" s="27">
        <v>78.63</v>
      </c>
      <c r="O2361" s="27">
        <v>78.55</v>
      </c>
      <c r="P2361" s="27">
        <v>3.28</v>
      </c>
      <c r="Q2361" s="27">
        <v>2.8</v>
      </c>
      <c r="R2361" s="27">
        <v>0.67459999999999998</v>
      </c>
      <c r="S2361" s="27">
        <v>1.1982999999999999</v>
      </c>
      <c r="T2361" s="27">
        <v>0.1074</v>
      </c>
      <c r="U2361" s="27">
        <v>9.4899999999999998E-2</v>
      </c>
      <c r="V2361" s="1">
        <v>1</v>
      </c>
      <c r="W2361" s="1">
        <v>1</v>
      </c>
      <c r="X2361" s="27">
        <v>1.2</v>
      </c>
      <c r="Y2361" s="27">
        <v>0.98</v>
      </c>
      <c r="Z2361" s="28" t="s">
        <v>1306</v>
      </c>
      <c r="AA2361" s="28" t="s">
        <v>1306</v>
      </c>
      <c r="AB2361" s="1" t="s">
        <v>13</v>
      </c>
    </row>
    <row r="2362" spans="1:28">
      <c r="A2362" t="s">
        <v>945</v>
      </c>
      <c r="B2362" s="2" t="s">
        <v>965</v>
      </c>
      <c r="C2362" t="s">
        <v>965</v>
      </c>
      <c r="D2362" s="1">
        <v>16</v>
      </c>
      <c r="E2362" t="s">
        <v>966</v>
      </c>
      <c r="F2362" s="3" t="s">
        <v>3323</v>
      </c>
      <c r="G2362" s="1">
        <v>43</v>
      </c>
      <c r="H2362" t="s">
        <v>967</v>
      </c>
      <c r="I2362" t="s">
        <v>3326</v>
      </c>
      <c r="J2362" s="1">
        <v>2</v>
      </c>
      <c r="K2362" s="1">
        <v>583.29669999999999</v>
      </c>
      <c r="L2362" s="1" t="str">
        <f>HYPERLINK("http://ms.phosphosite.org:5080/cgi-bin/plot-msms.cgi?MassType=1&amp;NumAxis=1&amp;Mod4=170&amp;Pep=FGSRGGPGGGFR&amp;Dta=/var/www/html/dta/yong/23612.4884.2.dta&amp;Global_Mod=CS57.0215", "4884")</f>
        <v>4884</v>
      </c>
      <c r="M2362" s="1" t="str">
        <f>HYPERLINK("http://ms.phosphosite.org:5080/cgi-bin/plot-msms.cgi?MassType=1&amp;NumAxis=1&amp;Mod4=170&amp;Pep=FGSRGGPGGGFR&amp;Dta=/var/www/html/dta/yong/23613.4945.2.dta&amp;Global_Mod=CS57.0215", "4945")</f>
        <v>4945</v>
      </c>
      <c r="N2362" s="27">
        <v>25.35</v>
      </c>
      <c r="O2362" s="27">
        <v>25.39</v>
      </c>
      <c r="P2362" s="27">
        <v>2.4020000000000001</v>
      </c>
      <c r="Q2362" s="27">
        <v>3.085</v>
      </c>
      <c r="R2362" s="27">
        <v>0.55769999999999997</v>
      </c>
      <c r="S2362" s="27">
        <v>0.2591</v>
      </c>
      <c r="T2362" s="27">
        <v>0.1366</v>
      </c>
      <c r="U2362" s="27">
        <v>0.18390000000000001</v>
      </c>
      <c r="V2362" s="1">
        <v>1</v>
      </c>
      <c r="W2362" s="1">
        <v>1</v>
      </c>
      <c r="X2362" s="27">
        <v>1.22</v>
      </c>
      <c r="Y2362" s="27">
        <v>1.61</v>
      </c>
      <c r="Z2362" s="28">
        <v>1000</v>
      </c>
      <c r="AA2362" s="28">
        <v>1000</v>
      </c>
      <c r="AB2362" s="1" t="s">
        <v>13</v>
      </c>
    </row>
    <row r="2363" spans="1:28">
      <c r="A2363" t="s">
        <v>945</v>
      </c>
      <c r="B2363" s="2" t="s">
        <v>965</v>
      </c>
      <c r="C2363" t="s">
        <v>965</v>
      </c>
      <c r="D2363" s="1">
        <v>16</v>
      </c>
      <c r="E2363" t="s">
        <v>966</v>
      </c>
      <c r="F2363" s="3" t="s">
        <v>3323</v>
      </c>
      <c r="G2363" s="1">
        <v>43</v>
      </c>
      <c r="H2363" t="s">
        <v>967</v>
      </c>
      <c r="I2363" t="s">
        <v>3326</v>
      </c>
      <c r="J2363" s="1">
        <v>3</v>
      </c>
      <c r="K2363" s="1">
        <v>389.2002</v>
      </c>
      <c r="L2363" s="1" t="str">
        <f>HYPERLINK("http://ms.phosphosite.org:5080/cgi-bin/plot-msms.cgi?MassType=1&amp;NumAxis=1&amp;Mod4=170&amp;Pep=FGSRGGPGGGFR&amp;Dta=/var/www/html/dta/yong/23612.4901.3.dta&amp;Global_Mod=CS57.0215", "4901")</f>
        <v>4901</v>
      </c>
      <c r="M2363" s="1" t="str">
        <f>HYPERLINK("http://ms.phosphosite.org:5080/cgi-bin/plot-msms.cgi?MassType=1&amp;NumAxis=1&amp;Mod4=170&amp;Pep=FGSRGGPGGGFR&amp;Dta=/var/www/html/dta/yong/23613.4952.3.dta&amp;Global_Mod=CS57.0215", "4952")</f>
        <v>4952</v>
      </c>
      <c r="N2363" s="27">
        <v>25.42</v>
      </c>
      <c r="O2363" s="27">
        <v>25.42</v>
      </c>
      <c r="P2363" s="27">
        <v>2.6280000000000001</v>
      </c>
      <c r="Q2363" s="27">
        <v>3.077</v>
      </c>
      <c r="R2363" s="27">
        <v>9.7799999999999998E-2</v>
      </c>
      <c r="S2363" s="27">
        <v>9.4399999999999998E-2</v>
      </c>
      <c r="T2363" s="27">
        <v>0.16969999999999999</v>
      </c>
      <c r="U2363" s="27">
        <v>0.2422</v>
      </c>
      <c r="V2363" s="1">
        <v>1</v>
      </c>
      <c r="W2363" s="1">
        <v>1</v>
      </c>
      <c r="X2363" s="27">
        <v>1.48</v>
      </c>
      <c r="Y2363" s="27">
        <v>1.93</v>
      </c>
      <c r="Z2363" s="28">
        <v>1000</v>
      </c>
      <c r="AA2363" s="28">
        <v>1000</v>
      </c>
      <c r="AB2363" s="1" t="s">
        <v>13</v>
      </c>
    </row>
    <row r="2364" spans="1:28">
      <c r="A2364" t="s">
        <v>945</v>
      </c>
      <c r="B2364" s="2" t="s">
        <v>965</v>
      </c>
      <c r="C2364" t="s">
        <v>965</v>
      </c>
      <c r="D2364" s="1">
        <v>16</v>
      </c>
      <c r="E2364" t="s">
        <v>966</v>
      </c>
      <c r="F2364" s="3" t="s">
        <v>3323</v>
      </c>
      <c r="G2364" s="1">
        <v>43</v>
      </c>
      <c r="H2364" t="s">
        <v>967</v>
      </c>
      <c r="I2364" t="s">
        <v>3327</v>
      </c>
      <c r="J2364" s="1">
        <v>3</v>
      </c>
      <c r="K2364" s="1">
        <v>470.57400000000001</v>
      </c>
      <c r="L2364" s="1" t="str">
        <f>HYPERLINK("http://ms.phosphosite.org:5080/cgi-bin/plot-msms.cgi?MassType=1&amp;NumAxis=1&amp;Mod4=170&amp;Pep=FGSRGGPGGGFRPF&amp;Dta=/var/www/html/dta/yong/23612.10702.3.dta&amp;Global_Mod=CS57.0215", "10702")</f>
        <v>10702</v>
      </c>
      <c r="M2364" s="1" t="str">
        <f>HYPERLINK("http://ms.phosphosite.org:5080/cgi-bin/plot-msms.cgi?MassType=1&amp;NumAxis=1&amp;Mod4=170&amp;Pep=FGSRGGPGGGFRPF&amp;Dta=/var/www/html/dta/yong/23613.10780.3.dta&amp;Global_Mod=CS57.0215", "10780")</f>
        <v>10780</v>
      </c>
      <c r="N2364" s="27">
        <v>46.45</v>
      </c>
      <c r="O2364" s="27">
        <v>46.47</v>
      </c>
      <c r="P2364" s="27">
        <v>4.0780000000000003</v>
      </c>
      <c r="Q2364" s="27">
        <v>3.4820000000000002</v>
      </c>
      <c r="R2364" s="27">
        <v>0.2445</v>
      </c>
      <c r="S2364" s="27">
        <v>0.46310000000000001</v>
      </c>
      <c r="T2364" s="27">
        <v>0.42559999999999998</v>
      </c>
      <c r="U2364" s="27">
        <v>0.31709999999999999</v>
      </c>
      <c r="V2364" s="1">
        <v>1</v>
      </c>
      <c r="W2364" s="1">
        <v>1</v>
      </c>
      <c r="X2364" s="27">
        <v>3.01</v>
      </c>
      <c r="Y2364" s="27">
        <v>2.37</v>
      </c>
      <c r="Z2364" s="28">
        <v>78</v>
      </c>
      <c r="AA2364" s="28">
        <v>100</v>
      </c>
      <c r="AB2364" s="1" t="s">
        <v>13</v>
      </c>
    </row>
    <row r="2365" spans="1:28">
      <c r="A2365" t="s">
        <v>945</v>
      </c>
      <c r="B2365" s="2" t="s">
        <v>965</v>
      </c>
      <c r="C2365" t="s">
        <v>965</v>
      </c>
      <c r="D2365" s="1">
        <v>16</v>
      </c>
      <c r="E2365" t="s">
        <v>966</v>
      </c>
      <c r="F2365" s="3" t="s">
        <v>3323</v>
      </c>
      <c r="G2365" s="1">
        <v>43</v>
      </c>
      <c r="H2365" t="s">
        <v>967</v>
      </c>
      <c r="I2365" t="s">
        <v>3328</v>
      </c>
      <c r="J2365" s="1">
        <v>4</v>
      </c>
      <c r="K2365" s="1">
        <v>632.06830000000002</v>
      </c>
      <c r="L2365" s="1" t="str">
        <f>HYPERLINK("http://ms.phosphosite.org:5080/cgi-bin/plot-msms.cgi?MassType=1&amp;NumAxis=1&amp;Mod4=170&amp;Pep=FGSRGGPGGGFRPFVPHIPFDFY&amp;Dta=/var/www/html/dta/yong/23612.18581.4.dta&amp;Global_Mod=CS57.0215", "18581")</f>
        <v>18581</v>
      </c>
      <c r="M2365" s="1" t="str">
        <f>HYPERLINK("http://ms.phosphosite.org:5080/cgi-bin/plot-msms.cgi?MassType=1&amp;NumAxis=1&amp;Mod4=170&amp;Pep=FGSRGGPGGGFRPFVPHIPFDFY&amp;Dta=/var/www/html/dta/yong/23613.18667.4.dta&amp;Global_Mod=CS57.0215", "18667")</f>
        <v>18667</v>
      </c>
      <c r="N2365" s="27">
        <v>76.78</v>
      </c>
      <c r="O2365" s="27">
        <v>76.739999999999995</v>
      </c>
      <c r="P2365" s="27">
        <v>2.468</v>
      </c>
      <c r="Q2365" s="27">
        <v>2.5150000000000001</v>
      </c>
      <c r="R2365" s="27">
        <v>0.65339999999999998</v>
      </c>
      <c r="S2365" s="27">
        <v>1.1304000000000001</v>
      </c>
      <c r="T2365" s="27">
        <v>0.28499999999999998</v>
      </c>
      <c r="U2365" s="27">
        <v>9.5699999999999993E-2</v>
      </c>
      <c r="V2365" s="1">
        <v>1</v>
      </c>
      <c r="W2365" s="1">
        <v>2</v>
      </c>
      <c r="X2365" s="27">
        <v>1.96</v>
      </c>
      <c r="Y2365" s="27">
        <v>0.98</v>
      </c>
      <c r="Z2365" s="28">
        <v>30</v>
      </c>
      <c r="AA2365" s="28">
        <v>13</v>
      </c>
      <c r="AB2365" s="1" t="s">
        <v>13</v>
      </c>
    </row>
    <row r="2366" spans="1:28">
      <c r="A2366" t="s">
        <v>945</v>
      </c>
      <c r="B2366" s="2" t="s">
        <v>965</v>
      </c>
      <c r="C2366" t="s">
        <v>965</v>
      </c>
      <c r="D2366" s="1">
        <v>16</v>
      </c>
      <c r="E2366" t="s">
        <v>966</v>
      </c>
      <c r="F2366" s="3" t="s">
        <v>3323</v>
      </c>
      <c r="G2366" s="1">
        <v>43</v>
      </c>
      <c r="H2366" t="s">
        <v>969</v>
      </c>
      <c r="I2366" t="s">
        <v>3329</v>
      </c>
      <c r="J2366" s="1">
        <v>3</v>
      </c>
      <c r="K2366" s="1">
        <v>933.46019999999999</v>
      </c>
      <c r="L2366" s="1" t="str">
        <f>HYPERLINK("http://ms.phosphosite.org:5080/cgi-bin/plot-msms.cgi?MassType=1&amp;NumAxis=1&amp;Mod4=170&amp;Pep=FGSRGGPGGGFRPFVPHIPFDFYLC&amp;Dta=/var/www/html/dta/yong/23612.19534.3.dta&amp;Global_Mod=CS57.0215", "19534")</f>
        <v>19534</v>
      </c>
      <c r="M2366" s="1"/>
      <c r="N2366" s="27">
        <v>81.290000000000006</v>
      </c>
      <c r="O2366" s="27"/>
      <c r="P2366" s="27">
        <v>2.6669999999999998</v>
      </c>
      <c r="Q2366" s="27"/>
      <c r="R2366" s="27">
        <v>0.88519999999999999</v>
      </c>
      <c r="S2366" s="27"/>
      <c r="T2366" s="27">
        <v>6.3299999999999995E-2</v>
      </c>
      <c r="U2366" s="27"/>
      <c r="V2366" s="1">
        <v>1</v>
      </c>
      <c r="W2366" s="1"/>
      <c r="X2366" s="27">
        <v>0.81</v>
      </c>
      <c r="Y2366" s="27"/>
      <c r="Z2366" s="28">
        <v>1</v>
      </c>
      <c r="AA2366" s="28"/>
      <c r="AB2366" s="1" t="s">
        <v>13</v>
      </c>
    </row>
    <row r="2367" spans="1:28">
      <c r="A2367" t="s">
        <v>945</v>
      </c>
      <c r="B2367" s="2" t="s">
        <v>965</v>
      </c>
      <c r="C2367" t="s">
        <v>965</v>
      </c>
      <c r="D2367" s="1">
        <v>16</v>
      </c>
      <c r="E2367" t="s">
        <v>966</v>
      </c>
      <c r="F2367" s="3" t="s">
        <v>3323</v>
      </c>
      <c r="G2367" s="1">
        <v>43</v>
      </c>
      <c r="H2367" t="s">
        <v>969</v>
      </c>
      <c r="I2367" t="s">
        <v>3330</v>
      </c>
      <c r="J2367" s="1">
        <v>4</v>
      </c>
      <c r="K2367" s="1">
        <v>887.18129999999996</v>
      </c>
      <c r="L2367" s="1"/>
      <c r="M2367" s="1" t="str">
        <f>HYPERLINK("http://ms.phosphosite.org:5080/cgi-bin/plot-msms.cgi?MassType=1&amp;NumAxis=1&amp;Mod4=170&amp;Mod27=147&amp;Pep=FGSRGGPGGGFRPFVPHIPFDFYLCEMAFPR&amp;Dta=/var/www/html/dta/yong/23613.18998.4.dta&amp;Global_Mod=CS57.0215", "18998")</f>
        <v>18998</v>
      </c>
      <c r="N2367" s="27"/>
      <c r="O2367" s="27">
        <v>78.3</v>
      </c>
      <c r="P2367" s="27"/>
      <c r="Q2367" s="27">
        <v>4.2549999999999999</v>
      </c>
      <c r="R2367" s="27"/>
      <c r="S2367" s="27">
        <v>0.53420000000000001</v>
      </c>
      <c r="T2367" s="27"/>
      <c r="U2367" s="27">
        <v>0.27039999999999997</v>
      </c>
      <c r="V2367" s="1"/>
      <c r="W2367" s="1">
        <v>2</v>
      </c>
      <c r="X2367" s="27"/>
      <c r="Y2367" s="27">
        <v>2.13</v>
      </c>
      <c r="Z2367" s="28"/>
      <c r="AA2367" s="28">
        <v>8</v>
      </c>
      <c r="AB2367" s="1" t="s">
        <v>13</v>
      </c>
    </row>
    <row r="2368" spans="1:28">
      <c r="A2368" t="s">
        <v>945</v>
      </c>
      <c r="B2368" s="2" t="s">
        <v>965</v>
      </c>
      <c r="C2368" t="s">
        <v>965</v>
      </c>
      <c r="D2368" s="1">
        <v>16</v>
      </c>
      <c r="E2368" t="s">
        <v>966</v>
      </c>
      <c r="F2368" s="3" t="s">
        <v>3323</v>
      </c>
      <c r="G2368" s="1">
        <v>43</v>
      </c>
      <c r="H2368" t="s">
        <v>969</v>
      </c>
      <c r="I2368" t="s">
        <v>3330</v>
      </c>
      <c r="J2368" s="1">
        <v>4</v>
      </c>
      <c r="K2368" s="1">
        <v>887.18129999999996</v>
      </c>
      <c r="L2368" s="1"/>
      <c r="M2368" s="1" t="str">
        <f>HYPERLINK("http://ms.phosphosite.org:5080/cgi-bin/plot-msms.cgi?MassType=1&amp;NumAxis=1&amp;Mod4=170&amp;Mod27=147&amp;Pep=FGSRGGPGGGFRPFVPHIPFDFYLCEMAFPR&amp;Dta=/var/www/html/dta/yong/23613.19029.4.dta&amp;Global_Mod=CS57.0215", "19029")</f>
        <v>19029</v>
      </c>
      <c r="N2368" s="27"/>
      <c r="O2368" s="27">
        <v>78.44</v>
      </c>
      <c r="P2368" s="27"/>
      <c r="Q2368" s="27">
        <v>3.984</v>
      </c>
      <c r="R2368" s="27"/>
      <c r="S2368" s="27">
        <v>0.53420000000000001</v>
      </c>
      <c r="T2368" s="27"/>
      <c r="U2368" s="27">
        <v>0.26269999999999999</v>
      </c>
      <c r="V2368" s="1"/>
      <c r="W2368" s="1">
        <v>2</v>
      </c>
      <c r="X2368" s="27"/>
      <c r="Y2368" s="27">
        <v>2.04</v>
      </c>
      <c r="Z2368" s="28"/>
      <c r="AA2368" s="28">
        <v>8</v>
      </c>
      <c r="AB2368" s="1" t="s">
        <v>13</v>
      </c>
    </row>
    <row r="2369" spans="1:28">
      <c r="A2369" t="s">
        <v>945</v>
      </c>
      <c r="B2369" s="2" t="s">
        <v>965</v>
      </c>
      <c r="C2369" t="s">
        <v>965</v>
      </c>
      <c r="D2369" s="1">
        <v>16</v>
      </c>
      <c r="E2369" t="s">
        <v>966</v>
      </c>
      <c r="F2369" s="3" t="s">
        <v>3323</v>
      </c>
      <c r="G2369" s="1">
        <v>43</v>
      </c>
      <c r="H2369" t="s">
        <v>967</v>
      </c>
      <c r="I2369" t="s">
        <v>3330</v>
      </c>
      <c r="J2369" s="1">
        <v>5</v>
      </c>
      <c r="K2369" s="1">
        <v>709.94650000000001</v>
      </c>
      <c r="L2369" s="1" t="str">
        <f>HYPERLINK("http://ms.phosphosite.org:5080/cgi-bin/plot-msms.cgi?MassType=1&amp;NumAxis=1&amp;Mod4=170&amp;Mod27=147&amp;Pep=FGSRGGPGGGFRPFVPHIPFDFYLCEMAFPR&amp;Dta=/var/www/html/dta/yong/23612.19030.5.dta&amp;Global_Mod=CS57.0215", "19030")</f>
        <v>19030</v>
      </c>
      <c r="M2369" s="1" t="str">
        <f>HYPERLINK("http://ms.phosphosite.org:5080/cgi-bin/plot-msms.cgi?MassType=1&amp;NumAxis=1&amp;Mod4=170&amp;Mod27=147&amp;Pep=FGSRGGPGGGFRPFVPHIPFDFYLCEMAFPR&amp;Dta=/var/www/html/dta/yong/23613.19008.5.dta&amp;Global_Mod=CS57.0215", "19008")</f>
        <v>19008</v>
      </c>
      <c r="N2369" s="27">
        <v>78.89</v>
      </c>
      <c r="O2369" s="27">
        <v>78.349999999999994</v>
      </c>
      <c r="P2369" s="27">
        <v>2.9780000000000002</v>
      </c>
      <c r="Q2369" s="27">
        <v>3.286</v>
      </c>
      <c r="R2369" s="27">
        <v>0.97019999999999995</v>
      </c>
      <c r="S2369" s="27">
        <v>0.73939999999999995</v>
      </c>
      <c r="T2369" s="27">
        <v>0.22359999999999999</v>
      </c>
      <c r="U2369" s="27">
        <v>0.1308</v>
      </c>
      <c r="V2369" s="1">
        <v>1</v>
      </c>
      <c r="W2369" s="1">
        <v>1</v>
      </c>
      <c r="X2369" s="27">
        <v>1.7</v>
      </c>
      <c r="Y2369" s="27">
        <v>1.28</v>
      </c>
      <c r="Z2369" s="28">
        <v>5</v>
      </c>
      <c r="AA2369" s="28">
        <v>8</v>
      </c>
      <c r="AB2369" s="1" t="s">
        <v>13</v>
      </c>
    </row>
    <row r="2370" spans="1:28">
      <c r="A2370" t="s">
        <v>945</v>
      </c>
      <c r="B2370" s="2" t="s">
        <v>965</v>
      </c>
      <c r="C2370" t="s">
        <v>965</v>
      </c>
      <c r="D2370" s="1">
        <v>24</v>
      </c>
      <c r="E2370" t="s">
        <v>966</v>
      </c>
      <c r="F2370" s="3" t="s">
        <v>3323</v>
      </c>
      <c r="G2370" s="1">
        <v>43</v>
      </c>
      <c r="H2370" t="s">
        <v>967</v>
      </c>
      <c r="I2370" t="s">
        <v>3331</v>
      </c>
      <c r="J2370" s="1">
        <v>4</v>
      </c>
      <c r="K2370" s="1">
        <v>660.33929999999998</v>
      </c>
      <c r="L2370" s="1"/>
      <c r="M2370" s="1" t="str">
        <f>HYPERLINK("http://ms.phosphosite.org:5080/cgi-bin/plot-msms.cgi?MassType=1&amp;NumAxis=1&amp;Mod12=170&amp;Pep=FGSRGGPGGGFRPFVPHIPFDFYL&amp;Dta=/var/www/html/dta/yong/23613.20172.4.dta&amp;Global_Mod=CS57.0215", "20172")</f>
        <v>20172</v>
      </c>
      <c r="N2370" s="27"/>
      <c r="O2370" s="27">
        <v>83.88</v>
      </c>
      <c r="P2370" s="27"/>
      <c r="Q2370" s="27">
        <v>2.7189999999999999</v>
      </c>
      <c r="R2370" s="27"/>
      <c r="S2370" s="27">
        <v>0.81030000000000002</v>
      </c>
      <c r="T2370" s="27"/>
      <c r="U2370" s="27">
        <v>0.11849999999999999</v>
      </c>
      <c r="V2370" s="1"/>
      <c r="W2370" s="1">
        <v>1</v>
      </c>
      <c r="X2370" s="27"/>
      <c r="Y2370" s="27">
        <v>1.1399999999999999</v>
      </c>
      <c r="Z2370" s="28"/>
      <c r="AA2370" s="28">
        <v>3</v>
      </c>
      <c r="AB2370" s="1" t="s">
        <v>13</v>
      </c>
    </row>
    <row r="2371" spans="1:28">
      <c r="A2371" t="s">
        <v>945</v>
      </c>
      <c r="B2371" s="2" t="s">
        <v>965</v>
      </c>
      <c r="C2371" t="s">
        <v>965</v>
      </c>
      <c r="D2371" s="1">
        <v>24</v>
      </c>
      <c r="E2371" t="s">
        <v>966</v>
      </c>
      <c r="F2371" s="3" t="s">
        <v>3323</v>
      </c>
      <c r="G2371" s="1">
        <v>43</v>
      </c>
      <c r="H2371" t="s">
        <v>969</v>
      </c>
      <c r="I2371" t="s">
        <v>3332</v>
      </c>
      <c r="J2371" s="1">
        <v>4</v>
      </c>
      <c r="K2371" s="1">
        <v>887.18129999999996</v>
      </c>
      <c r="L2371" s="1" t="str">
        <f>HYPERLINK("http://ms.phosphosite.org:5080/cgi-bin/plot-msms.cgi?MassType=1&amp;NumAxis=1&amp;Mod12=170&amp;Mod27=147&amp;Pep=FGSRGGPGGGFRPFVPHIPFDFYLCEMAFPR&amp;Dta=/var/www/html/dta/yong/23612.18917.4.dta&amp;Global_Mod=CS57.0215", "18917")</f>
        <v>18917</v>
      </c>
      <c r="M2371" s="1"/>
      <c r="N2371" s="27">
        <v>78.36</v>
      </c>
      <c r="O2371" s="27"/>
      <c r="P2371" s="27">
        <v>4.3460000000000001</v>
      </c>
      <c r="Q2371" s="27"/>
      <c r="R2371" s="27">
        <v>1.5042</v>
      </c>
      <c r="S2371" s="27"/>
      <c r="T2371" s="27">
        <v>0.23139999999999999</v>
      </c>
      <c r="U2371" s="27"/>
      <c r="V2371" s="1">
        <v>1</v>
      </c>
      <c r="W2371" s="1"/>
      <c r="X2371" s="27">
        <v>1.92</v>
      </c>
      <c r="Y2371" s="27"/>
      <c r="Z2371" s="28">
        <v>13</v>
      </c>
      <c r="AA2371" s="28"/>
      <c r="AB2371" s="1" t="s">
        <v>13</v>
      </c>
    </row>
    <row r="2372" spans="1:28">
      <c r="A2372" t="s">
        <v>945</v>
      </c>
      <c r="B2372" s="2" t="s">
        <v>965</v>
      </c>
      <c r="C2372" t="s">
        <v>965</v>
      </c>
      <c r="D2372" s="1">
        <v>24</v>
      </c>
      <c r="E2372" t="s">
        <v>966</v>
      </c>
      <c r="F2372" s="3" t="s">
        <v>3323</v>
      </c>
      <c r="G2372" s="1">
        <v>43</v>
      </c>
      <c r="H2372" t="s">
        <v>969</v>
      </c>
      <c r="I2372" t="s">
        <v>3332</v>
      </c>
      <c r="J2372" s="1">
        <v>5</v>
      </c>
      <c r="K2372" s="1">
        <v>709.94650000000001</v>
      </c>
      <c r="L2372" s="1"/>
      <c r="M2372" s="1" t="str">
        <f>HYPERLINK("http://ms.phosphosite.org:5080/cgi-bin/plot-msms.cgi?MassType=1&amp;NumAxis=1&amp;Mod12=170&amp;Mod27=147&amp;Pep=FGSRGGPGGGFRPFVPHIPFDFYLCEMAFPR&amp;Dta=/var/www/html/dta/yong/23613.18993.5.dta&amp;Global_Mod=CS57.0215", "18993")</f>
        <v>18993</v>
      </c>
      <c r="N2372" s="27"/>
      <c r="O2372" s="27">
        <v>78.28</v>
      </c>
      <c r="P2372" s="27"/>
      <c r="Q2372" s="27">
        <v>2.7610000000000001</v>
      </c>
      <c r="R2372" s="27"/>
      <c r="S2372" s="27">
        <v>1.012</v>
      </c>
      <c r="T2372" s="27"/>
      <c r="U2372" s="27">
        <v>4.6800000000000001E-2</v>
      </c>
      <c r="V2372" s="1"/>
      <c r="W2372" s="1">
        <v>1</v>
      </c>
      <c r="X2372" s="27"/>
      <c r="Y2372" s="27">
        <v>0.74</v>
      </c>
      <c r="Z2372" s="28"/>
      <c r="AA2372" s="28">
        <v>1</v>
      </c>
      <c r="AB2372" s="1" t="s">
        <v>13</v>
      </c>
    </row>
    <row r="2373" spans="1:28">
      <c r="A2373" t="s">
        <v>945</v>
      </c>
      <c r="B2373" s="2" t="s">
        <v>965</v>
      </c>
      <c r="C2373" t="s">
        <v>965</v>
      </c>
      <c r="D2373" s="1">
        <v>24</v>
      </c>
      <c r="E2373" t="s">
        <v>966</v>
      </c>
      <c r="F2373" s="3" t="s">
        <v>3323</v>
      </c>
      <c r="G2373" s="1">
        <v>43</v>
      </c>
      <c r="H2373" t="s">
        <v>969</v>
      </c>
      <c r="I2373" t="s">
        <v>972</v>
      </c>
      <c r="J2373" s="1">
        <v>2</v>
      </c>
      <c r="K2373" s="1">
        <v>481.74579999999997</v>
      </c>
      <c r="L2373" s="1" t="str">
        <f>HYPERLINK("http://ms.phosphosite.org:5080/cgi-bin/plot-msms.cgi?MassType=1&amp;NumAxis=1&amp;Mod8=170&amp;Pep=GGPGGGFRPF&amp;Dta=/var/www/html/dta/yong/23612.11076.2.dta&amp;Global_Mod=CS57.0215", "11076")</f>
        <v>11076</v>
      </c>
      <c r="M2373" s="1"/>
      <c r="N2373" s="27">
        <v>47.72</v>
      </c>
      <c r="O2373" s="27"/>
      <c r="P2373" s="27">
        <v>2.6440000000000001</v>
      </c>
      <c r="Q2373" s="27"/>
      <c r="R2373" s="27">
        <v>8.0799999999999997E-2</v>
      </c>
      <c r="S2373" s="27"/>
      <c r="T2373" s="27">
        <v>0.30880000000000002</v>
      </c>
      <c r="U2373" s="27"/>
      <c r="V2373" s="1">
        <v>2</v>
      </c>
      <c r="W2373" s="1"/>
      <c r="X2373" s="27">
        <v>2.3199999999999998</v>
      </c>
      <c r="Y2373" s="27"/>
      <c r="Z2373" s="28">
        <v>1000</v>
      </c>
      <c r="AA2373" s="28"/>
      <c r="AB2373" s="1" t="s">
        <v>13</v>
      </c>
    </row>
    <row r="2374" spans="1:28">
      <c r="A2374" t="s">
        <v>945</v>
      </c>
      <c r="B2374" s="2" t="s">
        <v>965</v>
      </c>
      <c r="C2374" t="s">
        <v>965</v>
      </c>
      <c r="D2374" s="1">
        <v>24</v>
      </c>
      <c r="E2374" t="s">
        <v>966</v>
      </c>
      <c r="F2374" s="3" t="s">
        <v>3323</v>
      </c>
      <c r="G2374" s="1">
        <v>43</v>
      </c>
      <c r="H2374" t="s">
        <v>969</v>
      </c>
      <c r="I2374" t="s">
        <v>3333</v>
      </c>
      <c r="J2374" s="1">
        <v>3</v>
      </c>
      <c r="K2374" s="1">
        <v>693.34760000000006</v>
      </c>
      <c r="L2374" s="1" t="str">
        <f>HYPERLINK("http://ms.phosphosite.org:5080/cgi-bin/plot-msms.cgi?MassType=1&amp;NumAxis=1&amp;Mod8=170&amp;Pep=GGPGGGFRPFVPHIPFDFY&amp;Dta=/var/www/html/dta/yong/23612.19704.3.dta&amp;Global_Mod=CS57.0215", "19704")</f>
        <v>19704</v>
      </c>
      <c r="M2374" s="1" t="str">
        <f>HYPERLINK("http://ms.phosphosite.org:5080/cgi-bin/plot-msms.cgi?MassType=1&amp;NumAxis=1&amp;Mod8=170&amp;Pep=GGPGGGFRPFVPHIPFDFY&amp;Dta=/var/www/html/dta/yong/23613.19812.3.dta&amp;Global_Mod=CS57.0215", "19812")</f>
        <v>19812</v>
      </c>
      <c r="N2374" s="27">
        <v>82.1</v>
      </c>
      <c r="O2374" s="27">
        <v>82.15</v>
      </c>
      <c r="P2374" s="27">
        <v>2.2160000000000002</v>
      </c>
      <c r="Q2374" s="27">
        <v>3.2709999999999999</v>
      </c>
      <c r="R2374" s="27">
        <v>1.7744</v>
      </c>
      <c r="S2374" s="27">
        <v>1.5082</v>
      </c>
      <c r="T2374" s="27">
        <v>0.247</v>
      </c>
      <c r="U2374" s="27">
        <v>0.30830000000000002</v>
      </c>
      <c r="V2374" s="1">
        <v>1</v>
      </c>
      <c r="W2374" s="1">
        <v>2</v>
      </c>
      <c r="X2374" s="27">
        <v>1.84</v>
      </c>
      <c r="Y2374" s="27">
        <v>2.36</v>
      </c>
      <c r="Z2374" s="28">
        <v>1000</v>
      </c>
      <c r="AA2374" s="28">
        <v>1000</v>
      </c>
      <c r="AB2374" s="1" t="s">
        <v>13</v>
      </c>
    </row>
    <row r="2375" spans="1:28">
      <c r="A2375" t="s">
        <v>945</v>
      </c>
      <c r="B2375" s="2" t="s">
        <v>965</v>
      </c>
      <c r="C2375" t="s">
        <v>965</v>
      </c>
      <c r="D2375" s="1">
        <v>24</v>
      </c>
      <c r="E2375" t="s">
        <v>966</v>
      </c>
      <c r="F2375" s="3" t="s">
        <v>3323</v>
      </c>
      <c r="G2375" s="1">
        <v>43</v>
      </c>
      <c r="H2375" t="s">
        <v>969</v>
      </c>
      <c r="I2375" t="s">
        <v>3333</v>
      </c>
      <c r="J2375" s="1">
        <v>3</v>
      </c>
      <c r="K2375" s="1">
        <v>693.34760000000006</v>
      </c>
      <c r="L2375" s="1"/>
      <c r="M2375" s="1" t="str">
        <f>HYPERLINK("http://ms.phosphosite.org:5080/cgi-bin/plot-msms.cgi?MassType=1&amp;NumAxis=1&amp;Mod8=170&amp;Pep=GGPGGGFRPFVPHIPFDFY&amp;Dta=/var/www/html/dta/yong/23613.19797.3.dta&amp;Global_Mod=CS57.0215", "19797")</f>
        <v>19797</v>
      </c>
      <c r="N2375" s="27"/>
      <c r="O2375" s="27">
        <v>82.08</v>
      </c>
      <c r="P2375" s="27"/>
      <c r="Q2375" s="27">
        <v>2.577</v>
      </c>
      <c r="R2375" s="27"/>
      <c r="S2375" s="27">
        <v>1.5082</v>
      </c>
      <c r="T2375" s="27"/>
      <c r="U2375" s="27">
        <v>0.1404</v>
      </c>
      <c r="V2375" s="1"/>
      <c r="W2375" s="1">
        <v>3</v>
      </c>
      <c r="X2375" s="27"/>
      <c r="Y2375" s="27">
        <v>1.39</v>
      </c>
      <c r="Z2375" s="28"/>
      <c r="AA2375" s="28">
        <v>1000</v>
      </c>
      <c r="AB2375" s="1" t="s">
        <v>13</v>
      </c>
    </row>
    <row r="2376" spans="1:28">
      <c r="A2376" t="s">
        <v>945</v>
      </c>
      <c r="B2376" s="2" t="s">
        <v>965</v>
      </c>
      <c r="C2376" t="s">
        <v>965</v>
      </c>
      <c r="D2376" s="1">
        <v>24</v>
      </c>
      <c r="E2376" t="s">
        <v>966</v>
      </c>
      <c r="F2376" s="3" t="s">
        <v>3323</v>
      </c>
      <c r="G2376" s="1">
        <v>43</v>
      </c>
      <c r="H2376" t="s">
        <v>969</v>
      </c>
      <c r="I2376" t="s">
        <v>3334</v>
      </c>
      <c r="J2376" s="1">
        <v>3</v>
      </c>
      <c r="K2376" s="1">
        <v>731.04229999999995</v>
      </c>
      <c r="L2376" s="1"/>
      <c r="M2376" s="1" t="str">
        <f>HYPERLINK("http://ms.phosphosite.org:5080/cgi-bin/plot-msms.cgi?MassType=1&amp;NumAxis=1&amp;Mod8=170&amp;Pep=GGPGGGFRPFVPHIPFDFYL&amp;Dta=/var/www/html/dta/yong/23613.21343.3.dta&amp;Global_Mod=CS57.0215", "21343")</f>
        <v>21343</v>
      </c>
      <c r="N2376" s="27"/>
      <c r="O2376" s="27">
        <v>89.45</v>
      </c>
      <c r="P2376" s="27"/>
      <c r="Q2376" s="27">
        <v>2.09</v>
      </c>
      <c r="R2376" s="27"/>
      <c r="S2376" s="27">
        <v>1.2564</v>
      </c>
      <c r="T2376" s="27"/>
      <c r="U2376" s="27">
        <v>0.13159999999999999</v>
      </c>
      <c r="V2376" s="1"/>
      <c r="W2376" s="1">
        <v>15</v>
      </c>
      <c r="X2376" s="27"/>
      <c r="Y2376" s="27">
        <v>1.24</v>
      </c>
      <c r="Z2376" s="28"/>
      <c r="AA2376" s="28">
        <v>1000</v>
      </c>
      <c r="AB2376" s="1" t="s">
        <v>13</v>
      </c>
    </row>
    <row r="2377" spans="1:28">
      <c r="A2377" t="s">
        <v>945</v>
      </c>
      <c r="B2377" s="2" t="s">
        <v>965</v>
      </c>
      <c r="C2377" t="s">
        <v>965</v>
      </c>
      <c r="D2377" s="1">
        <v>24</v>
      </c>
      <c r="E2377" t="s">
        <v>966</v>
      </c>
      <c r="F2377" s="3" t="s">
        <v>3323</v>
      </c>
      <c r="G2377" s="1">
        <v>43</v>
      </c>
      <c r="H2377" t="s">
        <v>969</v>
      </c>
      <c r="I2377" t="s">
        <v>973</v>
      </c>
      <c r="J2377" s="1">
        <v>3</v>
      </c>
      <c r="K2377" s="1">
        <v>784.38589999999999</v>
      </c>
      <c r="L2377" s="1" t="str">
        <f>HYPERLINK("http://ms.phosphosite.org:5080/cgi-bin/plot-msms.cgi?MassType=1&amp;NumAxis=1&amp;Mod8=170&amp;Pep=GGPGGGFRPFVPHIPFDFYLC&amp;Dta=/var/www/html/dta/yong/23612.20568.3.dta&amp;Global_Mod=CS57.0215", "20568")</f>
        <v>20568</v>
      </c>
      <c r="M2377" s="1" t="str">
        <f>HYPERLINK("http://ms.phosphosite.org:5080/cgi-bin/plot-msms.cgi?MassType=1&amp;NumAxis=1&amp;Mod8=170&amp;Pep=GGPGGGFRPFVPHIPFDFYLC&amp;Dta=/var/www/html/dta/yong/23613.20688.3.dta&amp;Global_Mod=CS57.0215", "20688")</f>
        <v>20688</v>
      </c>
      <c r="N2377" s="27">
        <v>86.14</v>
      </c>
      <c r="O2377" s="27">
        <v>86.27</v>
      </c>
      <c r="P2377" s="27">
        <v>2.391</v>
      </c>
      <c r="Q2377" s="27">
        <v>2.9279999999999999</v>
      </c>
      <c r="R2377" s="27">
        <v>1.3562000000000001</v>
      </c>
      <c r="S2377" s="27">
        <v>0.99660000000000004</v>
      </c>
      <c r="T2377" s="27">
        <v>4.6699999999999998E-2</v>
      </c>
      <c r="U2377" s="27">
        <v>0.29110000000000003</v>
      </c>
      <c r="V2377" s="1">
        <v>81</v>
      </c>
      <c r="W2377" s="1">
        <v>19</v>
      </c>
      <c r="X2377" s="27">
        <v>0.83</v>
      </c>
      <c r="Y2377" s="27">
        <v>2.2000000000000002</v>
      </c>
      <c r="Z2377" s="28">
        <v>1000</v>
      </c>
      <c r="AA2377" s="28">
        <v>1000</v>
      </c>
      <c r="AB2377" s="1" t="s">
        <v>13</v>
      </c>
    </row>
    <row r="2378" spans="1:28">
      <c r="A2378" t="s">
        <v>945</v>
      </c>
      <c r="B2378" s="2" t="s">
        <v>965</v>
      </c>
      <c r="C2378" t="s">
        <v>965</v>
      </c>
      <c r="D2378" s="1">
        <v>24</v>
      </c>
      <c r="E2378" t="s">
        <v>966</v>
      </c>
      <c r="F2378" s="3" t="s">
        <v>3323</v>
      </c>
      <c r="G2378" s="1">
        <v>43</v>
      </c>
      <c r="H2378" t="s">
        <v>969</v>
      </c>
      <c r="I2378" t="s">
        <v>973</v>
      </c>
      <c r="J2378" s="1">
        <v>3</v>
      </c>
      <c r="K2378" s="1">
        <v>784.38589999999999</v>
      </c>
      <c r="L2378" s="1" t="str">
        <f>HYPERLINK("http://ms.phosphosite.org:5080/cgi-bin/plot-msms.cgi?MassType=1&amp;NumAxis=1&amp;Mod8=170&amp;Pep=GGPGGGFRPFVPHIPFDFYLC&amp;Dta=/var/www/html/dta/yong/23612.20575.3.dta&amp;Global_Mod=CS57.0215", "20575")</f>
        <v>20575</v>
      </c>
      <c r="M2378" s="1" t="str">
        <f>HYPERLINK("http://ms.phosphosite.org:5080/cgi-bin/plot-msms.cgi?MassType=1&amp;NumAxis=1&amp;Mod8=170&amp;Pep=GGPGGGFRPFVPHIPFDFYLC&amp;Dta=/var/www/html/dta/yong/23613.20696.3.dta&amp;Global_Mod=CS57.0215", "20696")</f>
        <v>20696</v>
      </c>
      <c r="N2378" s="27">
        <v>86.17</v>
      </c>
      <c r="O2378" s="27">
        <v>86.31</v>
      </c>
      <c r="P2378" s="27">
        <v>2.1819999999999999</v>
      </c>
      <c r="Q2378" s="27">
        <v>2.9119999999999999</v>
      </c>
      <c r="R2378" s="27">
        <v>1.3806</v>
      </c>
      <c r="S2378" s="27">
        <v>0.99660000000000004</v>
      </c>
      <c r="T2378" s="27">
        <v>6.3799999999999996E-2</v>
      </c>
      <c r="U2378" s="27">
        <v>0.29809999999999998</v>
      </c>
      <c r="V2378" s="1">
        <v>14</v>
      </c>
      <c r="W2378" s="1">
        <v>4</v>
      </c>
      <c r="X2378" s="27">
        <v>0.92</v>
      </c>
      <c r="Y2378" s="27">
        <v>2.23</v>
      </c>
      <c r="Z2378" s="28">
        <v>1000</v>
      </c>
      <c r="AA2378" s="28">
        <v>1000</v>
      </c>
      <c r="AB2378" s="1" t="s">
        <v>13</v>
      </c>
    </row>
    <row r="2379" spans="1:28">
      <c r="A2379" t="s">
        <v>945</v>
      </c>
      <c r="B2379" s="29" t="s">
        <v>3335</v>
      </c>
      <c r="C2379" s="26" t="s">
        <v>3336</v>
      </c>
      <c r="D2379" s="1">
        <v>1719</v>
      </c>
      <c r="E2379" t="s">
        <v>3337</v>
      </c>
      <c r="F2379" s="3" t="s">
        <v>3338</v>
      </c>
      <c r="G2379" s="1">
        <v>274.60000000000002</v>
      </c>
      <c r="H2379" t="s">
        <v>3339</v>
      </c>
      <c r="I2379" t="s">
        <v>3340</v>
      </c>
      <c r="J2379" s="1">
        <v>3</v>
      </c>
      <c r="K2379" s="1">
        <v>382.54140000000001</v>
      </c>
      <c r="L2379" s="1" t="str">
        <f>HYPERLINK("http://ms.phosphosite.org:5080/cgi-bin/plot-msms.cgi?MassType=1&amp;NumAxis=1&amp;Mod3=147&amp;Mod5=170&amp;Pep=ADMLRGLSPR&amp;Dta=/var/www/html/dta/yong/23612.5609.3.dta&amp;Global_Mod=CS57.0215", "5609")</f>
        <v>5609</v>
      </c>
      <c r="M2379" s="1" t="str">
        <f>HYPERLINK("http://ms.phosphosite.org:5080/cgi-bin/plot-msms.cgi?MassType=1&amp;NumAxis=1&amp;Mod3=147&amp;Mod5=170&amp;Pep=ADMLRGLSPR&amp;Dta=/var/www/html/dta/yong/23613.5666.3.dta&amp;Global_Mod=CS57.0215", "5666")</f>
        <v>5666</v>
      </c>
      <c r="N2379" s="27">
        <v>28.1</v>
      </c>
      <c r="O2379" s="27">
        <v>28.11</v>
      </c>
      <c r="P2379" s="27">
        <v>2.1419999999999999</v>
      </c>
      <c r="Q2379" s="27">
        <v>2.0630000000000002</v>
      </c>
      <c r="R2379" s="27">
        <v>-0.2802</v>
      </c>
      <c r="S2379" s="27">
        <v>0.51070000000000004</v>
      </c>
      <c r="T2379" s="27">
        <v>0.2994</v>
      </c>
      <c r="U2379" s="27">
        <v>0.21890000000000001</v>
      </c>
      <c r="V2379" s="1">
        <v>27</v>
      </c>
      <c r="W2379" s="1">
        <v>31</v>
      </c>
      <c r="X2379" s="27">
        <v>1.73</v>
      </c>
      <c r="Y2379" s="27">
        <v>1.32</v>
      </c>
      <c r="Z2379" s="28">
        <v>1000</v>
      </c>
      <c r="AA2379" s="28">
        <v>1000</v>
      </c>
      <c r="AB2379" s="1" t="s">
        <v>13</v>
      </c>
    </row>
    <row r="2380" spans="1:28">
      <c r="A2380" t="s">
        <v>945</v>
      </c>
      <c r="B2380" s="29" t="s">
        <v>3341</v>
      </c>
      <c r="C2380" s="26" t="s">
        <v>3342</v>
      </c>
      <c r="D2380" s="1">
        <v>683</v>
      </c>
      <c r="E2380" t="s">
        <v>3343</v>
      </c>
      <c r="F2380" s="3" t="s">
        <v>3344</v>
      </c>
      <c r="G2380" s="1">
        <v>73.599999999999994</v>
      </c>
      <c r="H2380" t="s">
        <v>3345</v>
      </c>
      <c r="I2380" t="s">
        <v>3346</v>
      </c>
      <c r="J2380" s="1">
        <v>2</v>
      </c>
      <c r="K2380" s="1">
        <v>769.40210000000002</v>
      </c>
      <c r="L2380" s="1" t="str">
        <f>HYPERLINK("http://ms.phosphosite.org:5080/cgi-bin/plot-msms.cgi?MassType=1&amp;NumAxis=1&amp;Mod4=170&amp;Pep=GSYRGGSISVQVNSI&amp;Dta=/var/www/html/dta/yong/23612.11055.2.dta&amp;Global_Mod=CS57.0215", "11055")</f>
        <v>11055</v>
      </c>
      <c r="M2380" s="1" t="str">
        <f>HYPERLINK("http://ms.phosphosite.org:5080/cgi-bin/plot-msms.cgi?MassType=1&amp;NumAxis=1&amp;Mod4=170&amp;Pep=GSYRGGSISVQVNSI&amp;Dta=/var/www/html/dta/yong/23613.11138.2.dta&amp;Global_Mod=CS57.0215", "11138")</f>
        <v>11138</v>
      </c>
      <c r="N2380" s="27">
        <v>47.65</v>
      </c>
      <c r="O2380" s="27">
        <v>47.67</v>
      </c>
      <c r="P2380" s="27">
        <v>2.7519999999999998</v>
      </c>
      <c r="Q2380" s="27">
        <v>2.64</v>
      </c>
      <c r="R2380" s="27">
        <v>0.7984</v>
      </c>
      <c r="S2380" s="27">
        <v>0.75480000000000003</v>
      </c>
      <c r="T2380" s="27">
        <v>0.19489999999999999</v>
      </c>
      <c r="U2380" s="27">
        <v>0.15609999999999999</v>
      </c>
      <c r="V2380" s="1">
        <v>1</v>
      </c>
      <c r="W2380" s="1">
        <v>2</v>
      </c>
      <c r="X2380" s="27">
        <v>1.24</v>
      </c>
      <c r="Y2380" s="27">
        <v>1.02</v>
      </c>
      <c r="Z2380" s="28">
        <v>1000</v>
      </c>
      <c r="AA2380" s="28">
        <v>1000</v>
      </c>
      <c r="AB2380" s="1" t="s">
        <v>13</v>
      </c>
    </row>
    <row r="2381" spans="1:28">
      <c r="A2381" t="s">
        <v>945</v>
      </c>
      <c r="B2381" s="2" t="s">
        <v>3347</v>
      </c>
      <c r="C2381" t="s">
        <v>3348</v>
      </c>
      <c r="D2381" s="1">
        <v>54</v>
      </c>
      <c r="E2381" t="s">
        <v>3349</v>
      </c>
      <c r="F2381" s="3" t="s">
        <v>3350</v>
      </c>
      <c r="G2381" s="1">
        <v>81.599999999999994</v>
      </c>
      <c r="H2381" t="s">
        <v>3351</v>
      </c>
      <c r="I2381" t="s">
        <v>3352</v>
      </c>
      <c r="J2381" s="1">
        <v>2</v>
      </c>
      <c r="K2381" s="1">
        <v>506.30090000000001</v>
      </c>
      <c r="L2381" s="1" t="str">
        <f>HYPERLINK("http://ms.phosphosite.org:5080/cgi-bin/plot-msms.cgi?MassType=1&amp;NumAxis=1&amp;Mod11=170&amp;Pep=LLALSGPGGGR&amp;Dta=/var/www/html/dta/yong/23612.9083.2.dta&amp;Global_Mod=CS57.0215", "9083")</f>
        <v>9083</v>
      </c>
      <c r="M2381" s="1" t="str">
        <f>HYPERLINK("http://ms.phosphosite.org:5080/cgi-bin/plot-msms.cgi?MassType=1&amp;NumAxis=1&amp;Mod11=170&amp;Pep=LLALSGPGGGR&amp;Dta=/var/www/html/dta/yong/23613.9071.2.dta&amp;Global_Mod=CS57.0215", "9071")</f>
        <v>9071</v>
      </c>
      <c r="N2381" s="27">
        <v>40.729999999999997</v>
      </c>
      <c r="O2381" s="27">
        <v>40.57</v>
      </c>
      <c r="P2381" s="27">
        <v>1.95</v>
      </c>
      <c r="Q2381" s="27">
        <v>2.5049999999999999</v>
      </c>
      <c r="R2381" s="27">
        <v>0.14610000000000001</v>
      </c>
      <c r="S2381" s="27">
        <v>-1.9400000000000001E-2</v>
      </c>
      <c r="T2381" s="27">
        <v>9.8199999999999996E-2</v>
      </c>
      <c r="U2381" s="27">
        <v>0.23910000000000001</v>
      </c>
      <c r="V2381" s="1">
        <v>3</v>
      </c>
      <c r="W2381" s="1">
        <v>1</v>
      </c>
      <c r="X2381" s="27">
        <v>0.87</v>
      </c>
      <c r="Y2381" s="27">
        <v>1.64</v>
      </c>
      <c r="Z2381" s="28">
        <v>1000</v>
      </c>
      <c r="AA2381" s="28">
        <v>1000</v>
      </c>
      <c r="AB2381" s="1" t="s">
        <v>13</v>
      </c>
    </row>
    <row r="2382" spans="1:28">
      <c r="A2382" t="s">
        <v>945</v>
      </c>
      <c r="B2382" s="2" t="s">
        <v>3347</v>
      </c>
      <c r="C2382" t="s">
        <v>3348</v>
      </c>
      <c r="D2382" s="1">
        <v>54</v>
      </c>
      <c r="E2382" t="s">
        <v>3349</v>
      </c>
      <c r="F2382" s="3" t="s">
        <v>3350</v>
      </c>
      <c r="G2382" s="1">
        <v>81.599999999999994</v>
      </c>
      <c r="H2382" t="s">
        <v>3351</v>
      </c>
      <c r="I2382" t="s">
        <v>3352</v>
      </c>
      <c r="J2382" s="1">
        <v>2</v>
      </c>
      <c r="K2382" s="1">
        <v>506.30090000000001</v>
      </c>
      <c r="L2382" s="1" t="str">
        <f>HYPERLINK("http://ms.phosphosite.org:5080/cgi-bin/plot-msms.cgi?MassType=1&amp;NumAxis=1&amp;Mod11=170&amp;Pep=LLALSGPGGGR&amp;Dta=/var/www/html/dta/yong/23612.9036.2.dta&amp;Global_Mod=CS57.0215", "9036")</f>
        <v>9036</v>
      </c>
      <c r="M2382" s="1"/>
      <c r="N2382" s="27">
        <v>40.549999999999997</v>
      </c>
      <c r="O2382" s="27"/>
      <c r="P2382" s="27">
        <v>3.0950000000000002</v>
      </c>
      <c r="Q2382" s="27"/>
      <c r="R2382" s="27">
        <v>0.14610000000000001</v>
      </c>
      <c r="S2382" s="27"/>
      <c r="T2382" s="27">
        <v>0.25480000000000003</v>
      </c>
      <c r="U2382" s="27"/>
      <c r="V2382" s="1">
        <v>1</v>
      </c>
      <c r="W2382" s="1"/>
      <c r="X2382" s="27">
        <v>1.86</v>
      </c>
      <c r="Y2382" s="27"/>
      <c r="Z2382" s="28">
        <v>1000</v>
      </c>
      <c r="AA2382" s="28"/>
      <c r="AB2382" s="1" t="s">
        <v>13</v>
      </c>
    </row>
    <row r="2383" spans="1:28">
      <c r="A2383" t="s">
        <v>945</v>
      </c>
      <c r="B2383" s="29" t="s">
        <v>3353</v>
      </c>
      <c r="C2383" s="26" t="s">
        <v>3354</v>
      </c>
      <c r="D2383" s="1">
        <v>696</v>
      </c>
      <c r="E2383" t="s">
        <v>3355</v>
      </c>
      <c r="F2383" s="3" t="s">
        <v>3356</v>
      </c>
      <c r="G2383" s="1">
        <v>120.9</v>
      </c>
      <c r="H2383" t="s">
        <v>3357</v>
      </c>
      <c r="I2383" t="s">
        <v>3358</v>
      </c>
      <c r="J2383" s="1">
        <v>2</v>
      </c>
      <c r="K2383" s="1">
        <v>649.28309999999999</v>
      </c>
      <c r="L2383" s="1" t="str">
        <f>HYPERLINK("http://ms.phosphosite.org:5080/cgi-bin/plot-msms.cgi?MassType=1&amp;NumAxis=1&amp;Mod13=147&amp;Mod15=170&amp;Pep=GGFGSPGGGSGGMSR&amp;Dta=/var/www/html/dta/yong/23612.3678.2.dta&amp;Global_Mod=CS57.0215", "3678")</f>
        <v>3678</v>
      </c>
      <c r="M2383" s="1" t="str">
        <f>HYPERLINK("http://ms.phosphosite.org:5080/cgi-bin/plot-msms.cgi?MassType=1&amp;NumAxis=1&amp;Mod13=147&amp;Mod15=170&amp;Pep=GGFGSPGGGSGGMSR&amp;Dta=/var/www/html/dta/yong/23613.3731.2.dta&amp;Global_Mod=CS57.0215", "3731")</f>
        <v>3731</v>
      </c>
      <c r="N2383" s="27">
        <v>20.75</v>
      </c>
      <c r="O2383" s="27">
        <v>20.77</v>
      </c>
      <c r="P2383" s="27">
        <v>2.395</v>
      </c>
      <c r="Q2383" s="27">
        <v>2.202</v>
      </c>
      <c r="R2383" s="27">
        <v>1.0770999999999999</v>
      </c>
      <c r="S2383" s="27">
        <v>1.2037</v>
      </c>
      <c r="T2383" s="27">
        <v>0.28399999999999997</v>
      </c>
      <c r="U2383" s="27">
        <v>0.25469999999999998</v>
      </c>
      <c r="V2383" s="1">
        <v>24</v>
      </c>
      <c r="W2383" s="1">
        <v>5</v>
      </c>
      <c r="X2383" s="27">
        <v>1.77</v>
      </c>
      <c r="Y2383" s="27">
        <v>1.57</v>
      </c>
      <c r="Z2383" s="28">
        <v>1000</v>
      </c>
      <c r="AA2383" s="28">
        <v>1000</v>
      </c>
      <c r="AB2383" s="1" t="s">
        <v>13</v>
      </c>
    </row>
    <row r="2384" spans="1:28">
      <c r="A2384" t="s">
        <v>945</v>
      </c>
      <c r="B2384" s="29" t="s">
        <v>3359</v>
      </c>
      <c r="C2384" s="26" t="s">
        <v>3360</v>
      </c>
      <c r="D2384" s="1">
        <v>1355</v>
      </c>
      <c r="E2384" t="s">
        <v>3361</v>
      </c>
      <c r="F2384" s="3" t="s">
        <v>3362</v>
      </c>
      <c r="G2384" s="1">
        <v>213.4</v>
      </c>
      <c r="H2384" t="s">
        <v>3363</v>
      </c>
      <c r="I2384" t="s">
        <v>3364</v>
      </c>
      <c r="J2384" s="1">
        <v>2</v>
      </c>
      <c r="K2384" s="1">
        <v>775.37829999999997</v>
      </c>
      <c r="L2384" s="1" t="str">
        <f>HYPERLINK("http://ms.phosphosite.org:5080/cgi-bin/plot-msms.cgi?MassType=1&amp;NumAxis=1&amp;Mod15=170&amp;Pep=TSGTEPADFALPSSR&amp;Dta=/var/www/html/dta/yong/23612.10651.2.dta&amp;Global_Mod=CS57.0215", "10651")</f>
        <v>10651</v>
      </c>
      <c r="M2384" s="1" t="str">
        <f>HYPERLINK("http://ms.phosphosite.org:5080/cgi-bin/plot-msms.cgi?MassType=1&amp;NumAxis=1&amp;Mod15=170&amp;Pep=TSGTEPADFALPSSR&amp;Dta=/var/www/html/dta/yong/23613.10726.2.dta&amp;Global_Mod=CS57.0215", "10726")</f>
        <v>10726</v>
      </c>
      <c r="N2384" s="27">
        <v>46.27</v>
      </c>
      <c r="O2384" s="27">
        <v>46.29</v>
      </c>
      <c r="P2384" s="27">
        <v>3.61</v>
      </c>
      <c r="Q2384" s="27">
        <v>3.6920000000000002</v>
      </c>
      <c r="R2384" s="27">
        <v>0.92130000000000001</v>
      </c>
      <c r="S2384" s="27">
        <v>1.0968</v>
      </c>
      <c r="T2384" s="27">
        <v>0.34150000000000003</v>
      </c>
      <c r="U2384" s="27">
        <v>0.28799999999999998</v>
      </c>
      <c r="V2384" s="1">
        <v>1</v>
      </c>
      <c r="W2384" s="1">
        <v>1</v>
      </c>
      <c r="X2384" s="27">
        <v>2.3199999999999998</v>
      </c>
      <c r="Y2384" s="27">
        <v>2.0499999999999998</v>
      </c>
      <c r="Z2384" s="28">
        <v>1000</v>
      </c>
      <c r="AA2384" s="28">
        <v>1000</v>
      </c>
      <c r="AB2384" s="1" t="s">
        <v>13</v>
      </c>
    </row>
    <row r="2385" spans="1:28">
      <c r="A2385" t="s">
        <v>945</v>
      </c>
      <c r="B2385" s="29" t="s">
        <v>3365</v>
      </c>
      <c r="C2385" s="26" t="s">
        <v>3366</v>
      </c>
      <c r="D2385" s="1">
        <v>111</v>
      </c>
      <c r="E2385" t="s">
        <v>1095</v>
      </c>
      <c r="F2385" s="3" t="s">
        <v>3367</v>
      </c>
      <c r="G2385" s="1">
        <v>96.5</v>
      </c>
      <c r="H2385" t="s">
        <v>3368</v>
      </c>
      <c r="I2385" t="s">
        <v>3369</v>
      </c>
      <c r="J2385" s="1">
        <v>2</v>
      </c>
      <c r="K2385" s="1">
        <v>585.79870000000005</v>
      </c>
      <c r="L2385" s="1"/>
      <c r="M2385" s="1" t="str">
        <f>HYPERLINK("http://ms.phosphosite.org:5080/cgi-bin/plot-msms.cgi?MassType=1&amp;NumAxis=1&amp;Mod10=170&amp;Pep=GYVQQGVYSR&amp;Dta=/var/www/html/dta/yong/23613.6126.2.dta&amp;Global_Mod=CS57.0215", "6126")</f>
        <v>6126</v>
      </c>
      <c r="N2385" s="27"/>
      <c r="O2385" s="27">
        <v>29.87</v>
      </c>
      <c r="P2385" s="27"/>
      <c r="Q2385" s="27">
        <v>3.0190000000000001</v>
      </c>
      <c r="R2385" s="27"/>
      <c r="S2385" s="27">
        <v>1.2152000000000001</v>
      </c>
      <c r="T2385" s="27"/>
      <c r="U2385" s="27">
        <v>0.2878</v>
      </c>
      <c r="V2385" s="1"/>
      <c r="W2385" s="1">
        <v>1</v>
      </c>
      <c r="X2385" s="27"/>
      <c r="Y2385" s="27">
        <v>1.97</v>
      </c>
      <c r="Z2385" s="28"/>
      <c r="AA2385" s="28">
        <v>1000</v>
      </c>
      <c r="AB2385" s="1" t="s">
        <v>13</v>
      </c>
    </row>
    <row r="2386" spans="1:28">
      <c r="A2386" t="s">
        <v>1102</v>
      </c>
      <c r="B2386" s="2" t="s">
        <v>3370</v>
      </c>
      <c r="C2386" t="s">
        <v>3371</v>
      </c>
      <c r="D2386" s="1">
        <v>96</v>
      </c>
      <c r="E2386" t="s">
        <v>3372</v>
      </c>
      <c r="F2386" s="3" t="s">
        <v>3373</v>
      </c>
      <c r="G2386" s="1">
        <v>107.5</v>
      </c>
      <c r="H2386" t="s">
        <v>3374</v>
      </c>
      <c r="I2386" t="s">
        <v>3375</v>
      </c>
      <c r="J2386" s="1">
        <v>3</v>
      </c>
      <c r="K2386" s="1">
        <v>366.52350000000001</v>
      </c>
      <c r="L2386" s="1"/>
      <c r="M2386" s="1" t="str">
        <f>HYPERLINK("http://ms.phosphosite.org:5080/cgi-bin/plot-msms.cgi?MassType=1&amp;NumAxis=1&amp;Mod13=170&amp;Pep=GGGGGGGRGPQAR&amp;Dta=/var/www/html/dta/yong/23613.480.3.dta&amp;Global_Mod=CS57.0215", "480")</f>
        <v>480</v>
      </c>
      <c r="N2386" s="27"/>
      <c r="O2386" s="27">
        <v>6.14</v>
      </c>
      <c r="P2386" s="27"/>
      <c r="Q2386" s="27">
        <v>2.117</v>
      </c>
      <c r="R2386" s="27"/>
      <c r="S2386" s="27">
        <v>0.3049</v>
      </c>
      <c r="T2386" s="27"/>
      <c r="U2386" s="27">
        <v>0.1391</v>
      </c>
      <c r="V2386" s="1"/>
      <c r="W2386" s="1">
        <v>9</v>
      </c>
      <c r="X2386" s="27"/>
      <c r="Y2386" s="27">
        <v>0.92</v>
      </c>
      <c r="Z2386" s="28"/>
      <c r="AA2386" s="28">
        <v>1000</v>
      </c>
      <c r="AB2386" s="1" t="s">
        <v>13</v>
      </c>
    </row>
    <row r="2387" spans="1:28">
      <c r="A2387" t="s">
        <v>1102</v>
      </c>
      <c r="B2387" s="29" t="s">
        <v>3376</v>
      </c>
      <c r="C2387" s="26" t="s">
        <v>3377</v>
      </c>
      <c r="D2387" s="1">
        <v>602</v>
      </c>
      <c r="E2387" t="s">
        <v>3378</v>
      </c>
      <c r="F2387" s="3" t="s">
        <v>3379</v>
      </c>
      <c r="G2387" s="1">
        <v>77.5</v>
      </c>
      <c r="H2387" t="s">
        <v>3380</v>
      </c>
      <c r="I2387" t="s">
        <v>3381</v>
      </c>
      <c r="J2387" s="1">
        <v>2</v>
      </c>
      <c r="K2387" s="1">
        <v>327.70030000000003</v>
      </c>
      <c r="L2387" s="1" t="str">
        <f>HYPERLINK("http://ms.phosphosite.org:5080/cgi-bin/plot-msms.cgi?MassType=1&amp;NumAxis=1&amp;Mod5=170&amp;Pep=TPLGRP&amp;Dta=/var/www/html/dta/yong/23612.3360.2.dta&amp;Global_Mod=CS57.0215", "3360")</f>
        <v>3360</v>
      </c>
      <c r="M2387" s="1"/>
      <c r="N2387" s="27">
        <v>19.5</v>
      </c>
      <c r="O2387" s="27"/>
      <c r="P2387" s="27">
        <v>1.635</v>
      </c>
      <c r="Q2387" s="27"/>
      <c r="R2387" s="27">
        <v>0.36230000000000001</v>
      </c>
      <c r="S2387" s="27"/>
      <c r="T2387" s="27">
        <v>7.6899999999999996E-2</v>
      </c>
      <c r="U2387" s="27"/>
      <c r="V2387" s="1">
        <v>3</v>
      </c>
      <c r="W2387" s="1"/>
      <c r="X2387" s="27">
        <v>0.75</v>
      </c>
      <c r="Y2387" s="27"/>
      <c r="Z2387" s="28">
        <v>1000</v>
      </c>
      <c r="AA2387" s="28"/>
      <c r="AB2387" s="1" t="s">
        <v>13</v>
      </c>
    </row>
    <row r="2388" spans="1:28">
      <c r="A2388" t="s">
        <v>1109</v>
      </c>
      <c r="B2388" s="29" t="s">
        <v>3382</v>
      </c>
      <c r="C2388" s="26" t="s">
        <v>3383</v>
      </c>
      <c r="D2388" s="1">
        <v>607</v>
      </c>
      <c r="E2388" t="s">
        <v>3384</v>
      </c>
      <c r="F2388" s="3" t="s">
        <v>3385</v>
      </c>
      <c r="G2388" s="1">
        <v>108.1</v>
      </c>
      <c r="H2388" t="s">
        <v>3386</v>
      </c>
      <c r="I2388" t="s">
        <v>3387</v>
      </c>
      <c r="J2388" s="1">
        <v>3</v>
      </c>
      <c r="K2388" s="1">
        <v>828.42989999999998</v>
      </c>
      <c r="L2388" s="1" t="str">
        <f>HYPERLINK("http://ms.phosphosite.org:5080/cgi-bin/plot-msms.cgi?MassType=1&amp;NumAxis=1&amp;Mod22=147&amp;Mod23=170&amp;Pep=IPSPIGFTPGPQQLLGDPFQGMR&amp;Dta=/var/www/html/dta/yong/23612.19161.3.dta&amp;Global_Mod=CS57.0215", "19161")</f>
        <v>19161</v>
      </c>
      <c r="M2388" s="1"/>
      <c r="N2388" s="27">
        <v>79.5</v>
      </c>
      <c r="O2388" s="27"/>
      <c r="P2388" s="27">
        <v>3.68</v>
      </c>
      <c r="Q2388" s="27"/>
      <c r="R2388" s="27">
        <v>1.8418000000000001</v>
      </c>
      <c r="S2388" s="27"/>
      <c r="T2388" s="27">
        <v>0.2298</v>
      </c>
      <c r="U2388" s="27"/>
      <c r="V2388" s="1">
        <v>5</v>
      </c>
      <c r="W2388" s="1"/>
      <c r="X2388" s="27">
        <v>1.75</v>
      </c>
      <c r="Y2388" s="27"/>
      <c r="Z2388" s="28">
        <v>1000</v>
      </c>
      <c r="AA2388" s="28"/>
      <c r="AB2388" s="1" t="s">
        <v>13</v>
      </c>
    </row>
    <row r="2389" spans="1:28">
      <c r="A2389" t="s">
        <v>1109</v>
      </c>
      <c r="B2389" s="29" t="s">
        <v>3388</v>
      </c>
      <c r="C2389" s="26" t="s">
        <v>3389</v>
      </c>
      <c r="D2389" s="30" t="s">
        <v>3390</v>
      </c>
      <c r="E2389" t="s">
        <v>3391</v>
      </c>
      <c r="F2389" s="3" t="s">
        <v>3392</v>
      </c>
      <c r="G2389" s="1">
        <v>154.80000000000001</v>
      </c>
      <c r="H2389" t="s">
        <v>3393</v>
      </c>
      <c r="I2389" t="s">
        <v>3394</v>
      </c>
      <c r="J2389" s="1">
        <v>4</v>
      </c>
      <c r="K2389" s="1">
        <v>527.79229999999995</v>
      </c>
      <c r="L2389" s="1" t="str">
        <f>HYPERLINK("http://ms.phosphosite.org:5080/cgi-bin/plot-msms.cgi?MassType=1&amp;NumAxis=1&amp;Mod4=170&amp;Mod13=170&amp;Pep=GPPRGGPGGELPRGPQAGLGPR&amp;Dta=/var/www/html/dta/yong/23612.7237.4.dta&amp;Global_Mod=CS57.0215", "7237")</f>
        <v>7237</v>
      </c>
      <c r="M2389" s="1" t="str">
        <f>HYPERLINK("http://ms.phosphosite.org:5080/cgi-bin/plot-msms.cgi?MassType=1&amp;NumAxis=1&amp;Mod4=170&amp;Mod13=170&amp;Pep=GPPRGGPGGELPRGPQAGLGPR&amp;Dta=/var/www/html/dta/yong/23613.7293.4.dta&amp;Global_Mod=CS57.0215", "7293")</f>
        <v>7293</v>
      </c>
      <c r="N2389" s="27">
        <v>34.119999999999997</v>
      </c>
      <c r="O2389" s="27">
        <v>34.159999999999997</v>
      </c>
      <c r="P2389" s="27">
        <v>3.33</v>
      </c>
      <c r="Q2389" s="27">
        <v>2.706</v>
      </c>
      <c r="R2389" s="27">
        <v>0.38819999999999999</v>
      </c>
      <c r="S2389" s="27">
        <v>1.0708</v>
      </c>
      <c r="T2389" s="27">
        <v>0.22489999999999999</v>
      </c>
      <c r="U2389" s="27">
        <v>0.22520000000000001</v>
      </c>
      <c r="V2389" s="1">
        <v>11</v>
      </c>
      <c r="W2389" s="1">
        <v>1</v>
      </c>
      <c r="X2389" s="27">
        <v>1.36</v>
      </c>
      <c r="Y2389" s="27">
        <v>1.17</v>
      </c>
      <c r="Z2389" s="28" t="s">
        <v>1306</v>
      </c>
      <c r="AA2389" s="28" t="s">
        <v>1306</v>
      </c>
      <c r="AB2389" s="1" t="s">
        <v>13</v>
      </c>
    </row>
    <row r="2390" spans="1:28">
      <c r="A2390" t="s">
        <v>1109</v>
      </c>
      <c r="B2390" s="29" t="s">
        <v>3388</v>
      </c>
      <c r="C2390" s="26" t="s">
        <v>3389</v>
      </c>
      <c r="D2390" s="1">
        <v>65</v>
      </c>
      <c r="E2390" t="s">
        <v>3391</v>
      </c>
      <c r="F2390" s="3" t="s">
        <v>3392</v>
      </c>
      <c r="G2390" s="1">
        <v>175.4</v>
      </c>
      <c r="H2390" t="s">
        <v>3395</v>
      </c>
      <c r="I2390" t="s">
        <v>3396</v>
      </c>
      <c r="J2390" s="1">
        <v>2</v>
      </c>
      <c r="K2390" s="1">
        <v>493.25670000000002</v>
      </c>
      <c r="L2390" s="1"/>
      <c r="M2390" s="1" t="str">
        <f>HYPERLINK("http://ms.phosphosite.org:5080/cgi-bin/plot-msms.cgi?MassType=1&amp;NumAxis=1&amp;Mod10=170&amp;Pep=AQPPSSAASR&amp;Dta=/var/www/html/dta/yong/23613.1675.2.dta&amp;Global_Mod=CS57.0215", "1675")</f>
        <v>1675</v>
      </c>
      <c r="N2390" s="27"/>
      <c r="O2390" s="27">
        <v>13.01</v>
      </c>
      <c r="P2390" s="27"/>
      <c r="Q2390" s="27">
        <v>1.2569999999999999</v>
      </c>
      <c r="R2390" s="27"/>
      <c r="S2390" s="27">
        <v>-0.35420000000000001</v>
      </c>
      <c r="T2390" s="27"/>
      <c r="U2390" s="27">
        <v>8.5699999999999998E-2</v>
      </c>
      <c r="V2390" s="1"/>
      <c r="W2390" s="1">
        <v>21</v>
      </c>
      <c r="X2390" s="27"/>
      <c r="Y2390" s="27">
        <v>0.77</v>
      </c>
      <c r="Z2390" s="28"/>
      <c r="AA2390" s="28">
        <v>1000</v>
      </c>
      <c r="AB2390" s="1" t="s">
        <v>13</v>
      </c>
    </row>
    <row r="2391" spans="1:28">
      <c r="A2391" t="s">
        <v>1109</v>
      </c>
      <c r="B2391" s="29" t="s">
        <v>3388</v>
      </c>
      <c r="C2391" s="26" t="s">
        <v>3389</v>
      </c>
      <c r="D2391" s="1">
        <v>73</v>
      </c>
      <c r="E2391" t="s">
        <v>3391</v>
      </c>
      <c r="F2391" s="3" t="s">
        <v>3392</v>
      </c>
      <c r="G2391" s="1">
        <v>175.4</v>
      </c>
      <c r="H2391" t="s">
        <v>3397</v>
      </c>
      <c r="I2391" t="s">
        <v>3398</v>
      </c>
      <c r="J2391" s="1">
        <v>3</v>
      </c>
      <c r="K2391" s="1">
        <v>764.72329999999999</v>
      </c>
      <c r="L2391" s="1" t="str">
        <f>HYPERLINK("http://ms.phosphosite.org:5080/cgi-bin/plot-msms.cgi?MassType=1&amp;NumAxis=1&amp;Mod8=170&amp;Mod23=147&amp;Pep=VQSAAPARPGPAAHVYPAGSQVM&amp;Dta=/var/www/html/dta/yong/23612.6707.3.dta&amp;Global_Mod=CS57.0215", "6707")</f>
        <v>6707</v>
      </c>
      <c r="M2391" s="1" t="str">
        <f>HYPERLINK("http://ms.phosphosite.org:5080/cgi-bin/plot-msms.cgi?MassType=1&amp;NumAxis=1&amp;Mod8=170&amp;Mod23=147&amp;Pep=VQSAAPARPGPAAHVYPAGSQVM&amp;Dta=/var/www/html/dta/yong/23613.6764.3.dta&amp;Global_Mod=CS57.0215", "6764")</f>
        <v>6764</v>
      </c>
      <c r="N2391" s="27">
        <v>32.200000000000003</v>
      </c>
      <c r="O2391" s="27">
        <v>32.25</v>
      </c>
      <c r="P2391" s="27">
        <v>2.8849999999999998</v>
      </c>
      <c r="Q2391" s="27">
        <v>3.3079999999999998</v>
      </c>
      <c r="R2391" s="27">
        <v>1.6715</v>
      </c>
      <c r="S2391" s="27">
        <v>1.7237</v>
      </c>
      <c r="T2391" s="27">
        <v>0.27189999999999998</v>
      </c>
      <c r="U2391" s="27">
        <v>0.31209999999999999</v>
      </c>
      <c r="V2391" s="1">
        <v>1</v>
      </c>
      <c r="W2391" s="1">
        <v>1</v>
      </c>
      <c r="X2391" s="27">
        <v>1.91</v>
      </c>
      <c r="Y2391" s="27">
        <v>2.17</v>
      </c>
      <c r="Z2391" s="28">
        <v>1000</v>
      </c>
      <c r="AA2391" s="28">
        <v>1000</v>
      </c>
      <c r="AB2391" s="1" t="s">
        <v>13</v>
      </c>
    </row>
    <row r="2392" spans="1:28">
      <c r="A2392" t="s">
        <v>1109</v>
      </c>
      <c r="B2392" s="29" t="s">
        <v>3388</v>
      </c>
      <c r="C2392" s="26" t="s">
        <v>3389</v>
      </c>
      <c r="D2392" s="1">
        <v>110</v>
      </c>
      <c r="E2392" t="s">
        <v>3391</v>
      </c>
      <c r="F2392" s="3" t="s">
        <v>3392</v>
      </c>
      <c r="G2392" s="1">
        <v>175.4</v>
      </c>
      <c r="H2392" t="s">
        <v>3399</v>
      </c>
      <c r="I2392" t="s">
        <v>3400</v>
      </c>
      <c r="J2392" s="1">
        <v>3</v>
      </c>
      <c r="K2392" s="1">
        <v>805.39850000000001</v>
      </c>
      <c r="L2392" s="1" t="str">
        <f>HYPERLINK("http://ms.phosphosite.org:5080/cgi-bin/plot-msms.cgi?MassType=1&amp;NumAxis=1&amp;Mod1=147&amp;Mod22=170&amp;Pep=MIPSQISYPASQGAYYIPGQGR&amp;Dta=/var/www/html/dta/yong/23612.13670.3.dta&amp;Global_Mod=CS57.0215", "13670")</f>
        <v>13670</v>
      </c>
      <c r="M2392" s="1" t="str">
        <f>HYPERLINK("http://ms.phosphosite.org:5080/cgi-bin/plot-msms.cgi?MassType=1&amp;NumAxis=1&amp;Mod1=147&amp;Mod22=170&amp;Pep=MIPSQISYPASQGAYYIPGQGR&amp;Dta=/var/www/html/dta/yong/23613.13781.3.dta&amp;Global_Mod=CS57.0215", "13781")</f>
        <v>13781</v>
      </c>
      <c r="N2392" s="27">
        <v>56.68</v>
      </c>
      <c r="O2392" s="27">
        <v>56.71</v>
      </c>
      <c r="P2392" s="27">
        <v>2.8879999999999999</v>
      </c>
      <c r="Q2392" s="27">
        <v>2.581</v>
      </c>
      <c r="R2392" s="27">
        <v>0.9667</v>
      </c>
      <c r="S2392" s="27">
        <v>0.85070000000000001</v>
      </c>
      <c r="T2392" s="27">
        <v>0.20019999999999999</v>
      </c>
      <c r="U2392" s="27">
        <v>9.8100000000000007E-2</v>
      </c>
      <c r="V2392" s="1">
        <v>7</v>
      </c>
      <c r="W2392" s="1">
        <v>9</v>
      </c>
      <c r="X2392" s="27">
        <v>1.6</v>
      </c>
      <c r="Y2392" s="27">
        <v>1.02</v>
      </c>
      <c r="Z2392" s="28">
        <v>1000</v>
      </c>
      <c r="AA2392" s="28">
        <v>1000</v>
      </c>
      <c r="AB2392" s="1" t="s">
        <v>13</v>
      </c>
    </row>
    <row r="2393" spans="1:28">
      <c r="A2393" t="s">
        <v>1109</v>
      </c>
      <c r="B2393" s="29" t="s">
        <v>3388</v>
      </c>
      <c r="C2393" s="26" t="s">
        <v>3389</v>
      </c>
      <c r="D2393" s="1">
        <v>1032</v>
      </c>
      <c r="E2393" t="s">
        <v>3391</v>
      </c>
      <c r="F2393" s="3" t="s">
        <v>3392</v>
      </c>
      <c r="G2393" s="1">
        <v>175.4</v>
      </c>
      <c r="H2393" t="s">
        <v>3401</v>
      </c>
      <c r="I2393" t="s">
        <v>3402</v>
      </c>
      <c r="J2393" s="1">
        <v>2</v>
      </c>
      <c r="K2393" s="1">
        <v>552.81730000000005</v>
      </c>
      <c r="L2393" s="1" t="str">
        <f>HYPERLINK("http://ms.phosphosite.org:5080/cgi-bin/plot-msms.cgi?MassType=1&amp;NumAxis=1&amp;Mod1=170&amp;Pep=RGGPPGPPISR&amp;Dta=/var/www/html/dta/yong/23612.4097.2.dta&amp;Global_Mod=CS57.0215", "4097")</f>
        <v>4097</v>
      </c>
      <c r="M2393" s="1" t="str">
        <f>HYPERLINK("http://ms.phosphosite.org:5080/cgi-bin/plot-msms.cgi?MassType=1&amp;NumAxis=1&amp;Mod1=170&amp;Pep=RGGPPGPPISR&amp;Dta=/var/www/html/dta/yong/23613.4142.2.dta&amp;Global_Mod=CS57.0215", "4142")</f>
        <v>4142</v>
      </c>
      <c r="N2393" s="27">
        <v>22.36</v>
      </c>
      <c r="O2393" s="27">
        <v>22.33</v>
      </c>
      <c r="P2393" s="27">
        <v>2.5739999999999998</v>
      </c>
      <c r="Q2393" s="27">
        <v>2.528</v>
      </c>
      <c r="R2393" s="27">
        <v>0.38800000000000001</v>
      </c>
      <c r="S2393" s="27">
        <v>0.1202</v>
      </c>
      <c r="T2393" s="27">
        <v>0.28110000000000002</v>
      </c>
      <c r="U2393" s="27">
        <v>0.26</v>
      </c>
      <c r="V2393" s="1">
        <v>1</v>
      </c>
      <c r="W2393" s="1">
        <v>1</v>
      </c>
      <c r="X2393" s="27">
        <v>1.84</v>
      </c>
      <c r="Y2393" s="27">
        <v>1.73</v>
      </c>
      <c r="Z2393" s="28">
        <v>1000</v>
      </c>
      <c r="AA2393" s="28">
        <v>1000</v>
      </c>
      <c r="AB2393" s="1" t="s">
        <v>13</v>
      </c>
    </row>
    <row r="2394" spans="1:28">
      <c r="A2394" t="s">
        <v>1109</v>
      </c>
      <c r="B2394" s="29" t="s">
        <v>3388</v>
      </c>
      <c r="C2394" s="26" t="s">
        <v>3389</v>
      </c>
      <c r="D2394" s="1">
        <v>1032</v>
      </c>
      <c r="E2394" t="s">
        <v>3391</v>
      </c>
      <c r="F2394" s="3" t="s">
        <v>3392</v>
      </c>
      <c r="G2394" s="1">
        <v>175.4</v>
      </c>
      <c r="H2394" t="s">
        <v>3401</v>
      </c>
      <c r="I2394" t="s">
        <v>3402</v>
      </c>
      <c r="J2394" s="1">
        <v>3</v>
      </c>
      <c r="K2394" s="1">
        <v>368.88060000000002</v>
      </c>
      <c r="L2394" s="1" t="str">
        <f>HYPERLINK("http://ms.phosphosite.org:5080/cgi-bin/plot-msms.cgi?MassType=1&amp;NumAxis=1&amp;Mod1=170&amp;Pep=RGGPPGPPISR&amp;Dta=/var/www/html/dta/yong/23612.4052.3.dta&amp;Global_Mod=CS57.0215", "4052")</f>
        <v>4052</v>
      </c>
      <c r="M2394" s="1" t="str">
        <f>HYPERLINK("http://ms.phosphosite.org:5080/cgi-bin/plot-msms.cgi?MassType=1&amp;NumAxis=1&amp;Mod1=170&amp;Pep=RGGPPGPPISR&amp;Dta=/var/www/html/dta/yong/23613.4096.3.dta&amp;Global_Mod=CS57.0215", "4096")</f>
        <v>4096</v>
      </c>
      <c r="N2394" s="27">
        <v>22.2</v>
      </c>
      <c r="O2394" s="27">
        <v>22.17</v>
      </c>
      <c r="P2394" s="27">
        <v>1.8120000000000001</v>
      </c>
      <c r="Q2394" s="27">
        <v>2.601</v>
      </c>
      <c r="R2394" s="27">
        <v>5.9400000000000001E-2</v>
      </c>
      <c r="S2394" s="27">
        <v>2.7300000000000001E-2</v>
      </c>
      <c r="T2394" s="27">
        <v>9.35E-2</v>
      </c>
      <c r="U2394" s="27">
        <v>0.1807</v>
      </c>
      <c r="V2394" s="1">
        <v>5</v>
      </c>
      <c r="W2394" s="1">
        <v>4</v>
      </c>
      <c r="X2394" s="27">
        <v>0.81</v>
      </c>
      <c r="Y2394" s="27">
        <v>1.39</v>
      </c>
      <c r="Z2394" s="28">
        <v>1000</v>
      </c>
      <c r="AA2394" s="28">
        <v>1000</v>
      </c>
      <c r="AB2394" s="1" t="s">
        <v>13</v>
      </c>
    </row>
    <row r="2395" spans="1:28">
      <c r="A2395" t="s">
        <v>1109</v>
      </c>
      <c r="B2395" s="29" t="s">
        <v>3388</v>
      </c>
      <c r="C2395" s="26" t="s">
        <v>3389</v>
      </c>
      <c r="D2395" s="1">
        <v>1032</v>
      </c>
      <c r="E2395" t="s">
        <v>3391</v>
      </c>
      <c r="F2395" s="3" t="s">
        <v>3392</v>
      </c>
      <c r="G2395" s="1">
        <v>175.4</v>
      </c>
      <c r="H2395" t="s">
        <v>3403</v>
      </c>
      <c r="I2395" t="s">
        <v>3404</v>
      </c>
      <c r="J2395" s="1">
        <v>3</v>
      </c>
      <c r="K2395" s="1">
        <v>373.55250000000001</v>
      </c>
      <c r="L2395" s="1" t="str">
        <f>HYPERLINK("http://ms.phosphosite.org:5080/cgi-bin/plot-msms.cgi?MassType=1&amp;NumAxis=1&amp;Mod1=170&amp;Mod11=170&amp;Pep=RGGPPGPPISR&amp;Dta=/var/www/html/dta/yong/23612.4490.3.dta&amp;Global_Mod=CS57.0215", "4490")</f>
        <v>4490</v>
      </c>
      <c r="M2395" s="1"/>
      <c r="N2395" s="27">
        <v>23.86</v>
      </c>
      <c r="O2395" s="27"/>
      <c r="P2395" s="27">
        <v>2.4620000000000002</v>
      </c>
      <c r="Q2395" s="27"/>
      <c r="R2395" s="27">
        <v>0.1205</v>
      </c>
      <c r="S2395" s="27"/>
      <c r="T2395" s="27">
        <v>8.9700000000000002E-2</v>
      </c>
      <c r="U2395" s="27"/>
      <c r="V2395" s="1">
        <v>4</v>
      </c>
      <c r="W2395" s="1"/>
      <c r="X2395" s="27">
        <v>0.92</v>
      </c>
      <c r="Y2395" s="27"/>
      <c r="Z2395" s="28" t="s">
        <v>1306</v>
      </c>
      <c r="AA2395" s="28"/>
      <c r="AB2395" s="1" t="s">
        <v>13</v>
      </c>
    </row>
    <row r="2396" spans="1:28">
      <c r="A2396" t="s">
        <v>1109</v>
      </c>
      <c r="B2396" s="29" t="s">
        <v>3388</v>
      </c>
      <c r="C2396" s="26" t="s">
        <v>3389</v>
      </c>
      <c r="D2396" s="1">
        <v>1042</v>
      </c>
      <c r="E2396" t="s">
        <v>3391</v>
      </c>
      <c r="F2396" s="3" t="s">
        <v>3392</v>
      </c>
      <c r="G2396" s="1">
        <v>175.4</v>
      </c>
      <c r="H2396" t="s">
        <v>3405</v>
      </c>
      <c r="I2396" t="s">
        <v>3406</v>
      </c>
      <c r="J2396" s="1">
        <v>2</v>
      </c>
      <c r="K2396" s="1">
        <v>474.76670000000001</v>
      </c>
      <c r="L2396" s="1" t="str">
        <f>HYPERLINK("http://ms.phosphosite.org:5080/cgi-bin/plot-msms.cgi?MassType=1&amp;NumAxis=1&amp;Mod10=170&amp;Pep=GGPPGPPISR&amp;Dta=/var/www/html/dta/yong/23612.5562.2.dta&amp;Global_Mod=CS57.0215", "5562")</f>
        <v>5562</v>
      </c>
      <c r="M2396" s="1" t="str">
        <f>HYPERLINK("http://ms.phosphosite.org:5080/cgi-bin/plot-msms.cgi?MassType=1&amp;NumAxis=1&amp;Mod10=170&amp;Pep=GGPPGPPISR&amp;Dta=/var/www/html/dta/yong/23613.5601.2.dta&amp;Global_Mod=CS57.0215", "5601")</f>
        <v>5601</v>
      </c>
      <c r="N2396" s="27">
        <v>27.92</v>
      </c>
      <c r="O2396" s="27">
        <v>27.89</v>
      </c>
      <c r="P2396" s="27">
        <v>1.8120000000000001</v>
      </c>
      <c r="Q2396" s="27">
        <v>2.008</v>
      </c>
      <c r="R2396" s="27">
        <v>0.2286</v>
      </c>
      <c r="S2396" s="27">
        <v>0.47049999999999997</v>
      </c>
      <c r="T2396" s="27">
        <v>0.18</v>
      </c>
      <c r="U2396" s="27">
        <v>0.18940000000000001</v>
      </c>
      <c r="V2396" s="1">
        <v>1</v>
      </c>
      <c r="W2396" s="1">
        <v>1</v>
      </c>
      <c r="X2396" s="27">
        <v>1.39</v>
      </c>
      <c r="Y2396" s="27">
        <v>1.48</v>
      </c>
      <c r="Z2396" s="28">
        <v>1000</v>
      </c>
      <c r="AA2396" s="28">
        <v>1000</v>
      </c>
      <c r="AB2396" s="1" t="s">
        <v>13</v>
      </c>
    </row>
    <row r="2397" spans="1:28">
      <c r="A2397" t="s">
        <v>1109</v>
      </c>
      <c r="B2397" s="29" t="s">
        <v>3388</v>
      </c>
      <c r="C2397" s="26" t="s">
        <v>3389</v>
      </c>
      <c r="D2397" s="1">
        <v>1042</v>
      </c>
      <c r="E2397" t="s">
        <v>3391</v>
      </c>
      <c r="F2397" s="3" t="s">
        <v>3392</v>
      </c>
      <c r="G2397" s="1">
        <v>175.4</v>
      </c>
      <c r="H2397" t="s">
        <v>3401</v>
      </c>
      <c r="I2397" t="s">
        <v>3407</v>
      </c>
      <c r="J2397" s="1">
        <v>2</v>
      </c>
      <c r="K2397" s="1">
        <v>552.81730000000005</v>
      </c>
      <c r="L2397" s="1" t="str">
        <f>HYPERLINK("http://ms.phosphosite.org:5080/cgi-bin/plot-msms.cgi?MassType=1&amp;NumAxis=1&amp;Mod11=170&amp;Pep=RGGPPGPPISR&amp;Dta=/var/www/html/dta/yong/23612.4305.2.dta&amp;Global_Mod=CS57.0215", "4305")</f>
        <v>4305</v>
      </c>
      <c r="M2397" s="1" t="str">
        <f>HYPERLINK("http://ms.phosphosite.org:5080/cgi-bin/plot-msms.cgi?MassType=1&amp;NumAxis=1&amp;Mod11=170&amp;Pep=RGGPPGPPISR&amp;Dta=/var/www/html/dta/yong/23613.4363.2.dta&amp;Global_Mod=CS57.0215", "4363")</f>
        <v>4363</v>
      </c>
      <c r="N2397" s="27">
        <v>23.15</v>
      </c>
      <c r="O2397" s="27">
        <v>23.17</v>
      </c>
      <c r="P2397" s="27">
        <v>2.3220000000000001</v>
      </c>
      <c r="Q2397" s="27">
        <v>2.4470000000000001</v>
      </c>
      <c r="R2397" s="27">
        <v>-0.11840000000000001</v>
      </c>
      <c r="S2397" s="27">
        <v>-0.1003</v>
      </c>
      <c r="T2397" s="27">
        <v>0.1439</v>
      </c>
      <c r="U2397" s="27">
        <v>0.22020000000000001</v>
      </c>
      <c r="V2397" s="1">
        <v>5</v>
      </c>
      <c r="W2397" s="1">
        <v>1</v>
      </c>
      <c r="X2397" s="27">
        <v>1.0900000000000001</v>
      </c>
      <c r="Y2397" s="27">
        <v>1.5</v>
      </c>
      <c r="Z2397" s="28">
        <v>1000</v>
      </c>
      <c r="AA2397" s="28">
        <v>1000</v>
      </c>
      <c r="AB2397" s="1" t="s">
        <v>13</v>
      </c>
    </row>
    <row r="2398" spans="1:28">
      <c r="A2398" t="s">
        <v>1109</v>
      </c>
      <c r="B2398" s="29" t="s">
        <v>3388</v>
      </c>
      <c r="C2398" s="26" t="s">
        <v>3389</v>
      </c>
      <c r="D2398" s="1">
        <v>1042</v>
      </c>
      <c r="E2398" t="s">
        <v>3391</v>
      </c>
      <c r="F2398" s="3" t="s">
        <v>3392</v>
      </c>
      <c r="G2398" s="1">
        <v>175.4</v>
      </c>
      <c r="H2398" t="s">
        <v>3401</v>
      </c>
      <c r="I2398" t="s">
        <v>3407</v>
      </c>
      <c r="J2398" s="1">
        <v>3</v>
      </c>
      <c r="K2398" s="1">
        <v>368.88060000000002</v>
      </c>
      <c r="L2398" s="1" t="str">
        <f>HYPERLINK("http://ms.phosphosite.org:5080/cgi-bin/plot-msms.cgi?MassType=1&amp;NumAxis=1&amp;Mod11=170&amp;Pep=RGGPPGPPISR&amp;Dta=/var/www/html/dta/yong/23612.4278.3.dta&amp;Global_Mod=CS57.0215", "4278")</f>
        <v>4278</v>
      </c>
      <c r="M2398" s="1" t="str">
        <f>HYPERLINK("http://ms.phosphosite.org:5080/cgi-bin/plot-msms.cgi?MassType=1&amp;NumAxis=1&amp;Mod11=170&amp;Pep=RGGPPGPPISR&amp;Dta=/var/www/html/dta/yong/23613.4338.3.dta&amp;Global_Mod=CS57.0215", "4338")</f>
        <v>4338</v>
      </c>
      <c r="N2398" s="27">
        <v>23.04</v>
      </c>
      <c r="O2398" s="27">
        <v>23.07</v>
      </c>
      <c r="P2398" s="27">
        <v>2.415</v>
      </c>
      <c r="Q2398" s="27">
        <v>2.2080000000000002</v>
      </c>
      <c r="R2398" s="27">
        <v>0.2039</v>
      </c>
      <c r="S2398" s="27">
        <v>0.1178</v>
      </c>
      <c r="T2398" s="27">
        <v>6.3500000000000001E-2</v>
      </c>
      <c r="U2398" s="27">
        <v>0.2026</v>
      </c>
      <c r="V2398" s="1">
        <v>17</v>
      </c>
      <c r="W2398" s="1">
        <v>2</v>
      </c>
      <c r="X2398" s="27">
        <v>0.77</v>
      </c>
      <c r="Y2398" s="27">
        <v>1.42</v>
      </c>
      <c r="Z2398" s="28">
        <v>1000</v>
      </c>
      <c r="AA2398" s="28">
        <v>1000</v>
      </c>
      <c r="AB2398" s="1" t="s">
        <v>13</v>
      </c>
    </row>
    <row r="2399" spans="1:28">
      <c r="A2399" t="s">
        <v>1109</v>
      </c>
      <c r="B2399" s="29" t="s">
        <v>3388</v>
      </c>
      <c r="C2399" s="26" t="s">
        <v>3389</v>
      </c>
      <c r="D2399" s="1">
        <v>1042</v>
      </c>
      <c r="E2399" t="s">
        <v>3391</v>
      </c>
      <c r="F2399" s="3" t="s">
        <v>3392</v>
      </c>
      <c r="G2399" s="1">
        <v>175.4</v>
      </c>
      <c r="H2399" t="s">
        <v>3401</v>
      </c>
      <c r="I2399" t="s">
        <v>3407</v>
      </c>
      <c r="J2399" s="1">
        <v>3</v>
      </c>
      <c r="K2399" s="1">
        <v>368.88060000000002</v>
      </c>
      <c r="L2399" s="1" t="str">
        <f>HYPERLINK("http://ms.phosphosite.org:5080/cgi-bin/plot-msms.cgi?MassType=1&amp;NumAxis=1&amp;Mod11=170&amp;Pep=RGGPPGPPISR&amp;Dta=/var/www/html/dta/yong/23612.4459.3.dta&amp;Global_Mod=CS57.0215", "4459")</f>
        <v>4459</v>
      </c>
      <c r="M2399" s="1" t="str">
        <f>HYPERLINK("http://ms.phosphosite.org:5080/cgi-bin/plot-msms.cgi?MassType=1&amp;NumAxis=1&amp;Mod11=170&amp;Pep=RGGPPGPPISR&amp;Dta=/var/www/html/dta/yong/23613.4520.3.dta&amp;Global_Mod=CS57.0215", "4520")</f>
        <v>4520</v>
      </c>
      <c r="N2399" s="27">
        <v>23.73</v>
      </c>
      <c r="O2399" s="27">
        <v>23.76</v>
      </c>
      <c r="P2399" s="27">
        <v>2.8769999999999998</v>
      </c>
      <c r="Q2399" s="27">
        <v>2.67</v>
      </c>
      <c r="R2399" s="27">
        <v>0.2419</v>
      </c>
      <c r="S2399" s="27">
        <v>0.13600000000000001</v>
      </c>
      <c r="T2399" s="27">
        <v>0.33479999999999999</v>
      </c>
      <c r="U2399" s="27">
        <v>0.20150000000000001</v>
      </c>
      <c r="V2399" s="1">
        <v>6</v>
      </c>
      <c r="W2399" s="1">
        <v>16</v>
      </c>
      <c r="X2399" s="27">
        <v>2.21</v>
      </c>
      <c r="Y2399" s="27">
        <v>1.5</v>
      </c>
      <c r="Z2399" s="28">
        <v>1000</v>
      </c>
      <c r="AA2399" s="28">
        <v>1000</v>
      </c>
      <c r="AB2399" s="1" t="s">
        <v>13</v>
      </c>
    </row>
    <row r="2400" spans="1:28">
      <c r="A2400" t="s">
        <v>1109</v>
      </c>
      <c r="B2400" s="29" t="s">
        <v>3388</v>
      </c>
      <c r="C2400" s="26" t="s">
        <v>3389</v>
      </c>
      <c r="D2400" s="1">
        <v>685</v>
      </c>
      <c r="E2400" t="s">
        <v>3391</v>
      </c>
      <c r="F2400" s="3" t="s">
        <v>3392</v>
      </c>
      <c r="G2400" s="1">
        <v>175.4</v>
      </c>
      <c r="H2400" t="s">
        <v>3408</v>
      </c>
      <c r="I2400" t="s">
        <v>3409</v>
      </c>
      <c r="J2400" s="1">
        <v>3</v>
      </c>
      <c r="K2400" s="1">
        <v>420.89839999999998</v>
      </c>
      <c r="L2400" s="1" t="str">
        <f>HYPERLINK("http://ms.phosphosite.org:5080/cgi-bin/plot-msms.cgi?MassType=1&amp;NumAxis=1&amp;Mod4=170&amp;Pep=GPPRGGPGGELPR&amp;Dta=/var/www/html/dta/yong/23612.4534.3.dta&amp;Global_Mod=CS57.0215", "4534")</f>
        <v>4534</v>
      </c>
      <c r="M2400" s="1" t="str">
        <f>HYPERLINK("http://ms.phosphosite.org:5080/cgi-bin/plot-msms.cgi?MassType=1&amp;NumAxis=1&amp;Mod4=170&amp;Pep=GPPRGGPGGELPR&amp;Dta=/var/www/html/dta/yong/23613.4577.3.dta&amp;Global_Mod=CS57.0215", "4577")</f>
        <v>4577</v>
      </c>
      <c r="N2400" s="27">
        <v>24.05</v>
      </c>
      <c r="O2400" s="27">
        <v>23.99</v>
      </c>
      <c r="P2400" s="27">
        <v>2.8039999999999998</v>
      </c>
      <c r="Q2400" s="27">
        <v>2.863</v>
      </c>
      <c r="R2400" s="27">
        <v>0.24709999999999999</v>
      </c>
      <c r="S2400" s="27">
        <v>0.18229999999999999</v>
      </c>
      <c r="T2400" s="27">
        <v>0.32879999999999998</v>
      </c>
      <c r="U2400" s="27">
        <v>0.3301</v>
      </c>
      <c r="V2400" s="1">
        <v>1</v>
      </c>
      <c r="W2400" s="1">
        <v>1</v>
      </c>
      <c r="X2400" s="27">
        <v>2.15</v>
      </c>
      <c r="Y2400" s="27">
        <v>2.16</v>
      </c>
      <c r="Z2400" s="28">
        <v>1000</v>
      </c>
      <c r="AA2400" s="28">
        <v>1000</v>
      </c>
      <c r="AB2400" s="1" t="s">
        <v>13</v>
      </c>
    </row>
    <row r="2401" spans="1:28">
      <c r="A2401" t="s">
        <v>1109</v>
      </c>
      <c r="B2401" s="29" t="s">
        <v>3410</v>
      </c>
      <c r="C2401" s="26" t="s">
        <v>3411</v>
      </c>
      <c r="D2401" s="30" t="s">
        <v>3412</v>
      </c>
      <c r="E2401" t="s">
        <v>3413</v>
      </c>
      <c r="F2401" s="3" t="s">
        <v>3414</v>
      </c>
      <c r="G2401" s="1">
        <v>27.4</v>
      </c>
      <c r="H2401" t="s">
        <v>3415</v>
      </c>
      <c r="I2401" t="s">
        <v>3416</v>
      </c>
      <c r="J2401" s="1">
        <v>2</v>
      </c>
      <c r="K2401" s="1">
        <v>615.30470000000003</v>
      </c>
      <c r="L2401" s="1" t="str">
        <f>HYPERLINK("http://ms.phosphosite.org:5080/cgi-bin/plot-msms.cgi?MassType=1&amp;NumAxis=1&amp;Mod9=170&amp;Mod12=170&amp;Pep=AYSSFGGGRGSR&amp;Dta=/var/www/html/dta/yong/23612.3743.2.dta&amp;Global_Mod=CS57.0215", "3743")</f>
        <v>3743</v>
      </c>
      <c r="M2401" s="1"/>
      <c r="N2401" s="27">
        <v>20.97</v>
      </c>
      <c r="O2401" s="27"/>
      <c r="P2401" s="27">
        <v>1.79</v>
      </c>
      <c r="Q2401" s="27"/>
      <c r="R2401" s="27">
        <v>0.41339999999999999</v>
      </c>
      <c r="S2401" s="27"/>
      <c r="T2401" s="27">
        <v>0.1371</v>
      </c>
      <c r="U2401" s="27"/>
      <c r="V2401" s="1">
        <v>74</v>
      </c>
      <c r="W2401" s="1"/>
      <c r="X2401" s="27">
        <v>0.83</v>
      </c>
      <c r="Y2401" s="27"/>
      <c r="Z2401" s="28" t="s">
        <v>1306</v>
      </c>
      <c r="AA2401" s="28"/>
      <c r="AB2401" s="1" t="s">
        <v>13</v>
      </c>
    </row>
    <row r="2402" spans="1:28">
      <c r="A2402" t="s">
        <v>1109</v>
      </c>
      <c r="B2402" s="29" t="s">
        <v>3417</v>
      </c>
      <c r="C2402" s="26" t="s">
        <v>3417</v>
      </c>
      <c r="D2402" s="1">
        <v>471</v>
      </c>
      <c r="E2402" t="s">
        <v>3418</v>
      </c>
      <c r="F2402" s="3" t="s">
        <v>3419</v>
      </c>
      <c r="G2402" s="1">
        <v>71.099999999999994</v>
      </c>
      <c r="H2402" t="s">
        <v>3420</v>
      </c>
      <c r="I2402" t="s">
        <v>3421</v>
      </c>
      <c r="J2402" s="1">
        <v>2</v>
      </c>
      <c r="K2402" s="1">
        <v>658.28279999999995</v>
      </c>
      <c r="L2402" s="1" t="str">
        <f>HYPERLINK("http://ms.phosphosite.org:5080/cgi-bin/plot-msms.cgi?MassType=1&amp;NumAxis=1&amp;Mod10=147&amp;Mod12=170&amp;Pep=SYVTDDGQGMGR&amp;Dta=/var/www/html/dta/yong/23612.3770.2.dta&amp;Global_Mod=CS57.0215", "3770")</f>
        <v>3770</v>
      </c>
      <c r="M2402" s="1" t="str">
        <f>HYPERLINK("http://ms.phosphosite.org:5080/cgi-bin/plot-msms.cgi?MassType=1&amp;NumAxis=1&amp;Mod10=147&amp;Mod12=170&amp;Pep=SYVTDDGQGMGR&amp;Dta=/var/www/html/dta/yong/23613.3811.2.dta&amp;Global_Mod=CS57.0215", "3811")</f>
        <v>3811</v>
      </c>
      <c r="N2402" s="27">
        <v>21.07</v>
      </c>
      <c r="O2402" s="27">
        <v>21.04</v>
      </c>
      <c r="P2402" s="27">
        <v>3.363</v>
      </c>
      <c r="Q2402" s="27">
        <v>3.8180000000000001</v>
      </c>
      <c r="R2402" s="27">
        <v>0.97219999999999995</v>
      </c>
      <c r="S2402" s="27">
        <v>0.73429999999999995</v>
      </c>
      <c r="T2402" s="27">
        <v>0.38750000000000001</v>
      </c>
      <c r="U2402" s="27">
        <v>0.3911</v>
      </c>
      <c r="V2402" s="1">
        <v>1</v>
      </c>
      <c r="W2402" s="1">
        <v>1</v>
      </c>
      <c r="X2402" s="27">
        <v>2.56</v>
      </c>
      <c r="Y2402" s="27">
        <v>2.68</v>
      </c>
      <c r="Z2402" s="28">
        <v>1000</v>
      </c>
      <c r="AA2402" s="28">
        <v>1000</v>
      </c>
      <c r="AB2402" s="1" t="s">
        <v>13</v>
      </c>
    </row>
    <row r="2403" spans="1:28">
      <c r="A2403" t="s">
        <v>1109</v>
      </c>
      <c r="B2403" s="29" t="s">
        <v>3417</v>
      </c>
      <c r="C2403" s="26" t="s">
        <v>3417</v>
      </c>
      <c r="D2403" s="1">
        <v>471</v>
      </c>
      <c r="E2403" t="s">
        <v>3418</v>
      </c>
      <c r="F2403" s="3" t="s">
        <v>3419</v>
      </c>
      <c r="G2403" s="1">
        <v>71.099999999999994</v>
      </c>
      <c r="H2403" t="s">
        <v>3420</v>
      </c>
      <c r="I2403" t="s">
        <v>3422</v>
      </c>
      <c r="J2403" s="1">
        <v>3</v>
      </c>
      <c r="K2403" s="1">
        <v>539.24249999999995</v>
      </c>
      <c r="L2403" s="1" t="str">
        <f>HYPERLINK("http://ms.phosphosite.org:5080/cgi-bin/plot-msms.cgi?MassType=1&amp;NumAxis=1&amp;Mod10=147&amp;Mod12=170&amp;Pep=SYVTDDGQGMGRGSR&amp;Dta=/var/www/html/dta/yong/23612.2840.3.dta&amp;Global_Mod=CS57.0215", "2840")</f>
        <v>2840</v>
      </c>
      <c r="M2403" s="1"/>
      <c r="N2403" s="27">
        <v>17.54</v>
      </c>
      <c r="O2403" s="27"/>
      <c r="P2403" s="27">
        <v>1.593</v>
      </c>
      <c r="Q2403" s="27"/>
      <c r="R2403" s="27">
        <v>0.2913</v>
      </c>
      <c r="S2403" s="27"/>
      <c r="T2403" s="27">
        <v>0.13600000000000001</v>
      </c>
      <c r="U2403" s="27"/>
      <c r="V2403" s="1">
        <v>8</v>
      </c>
      <c r="W2403" s="1"/>
      <c r="X2403" s="27">
        <v>0.83</v>
      </c>
      <c r="Y2403" s="27"/>
      <c r="Z2403" s="28">
        <v>1000</v>
      </c>
      <c r="AA2403" s="28"/>
      <c r="AB2403" s="1" t="s">
        <v>13</v>
      </c>
    </row>
    <row r="2404" spans="1:28">
      <c r="A2404" t="s">
        <v>1109</v>
      </c>
      <c r="B2404" s="29" t="s">
        <v>3417</v>
      </c>
      <c r="C2404" s="26" t="s">
        <v>3417</v>
      </c>
      <c r="D2404" s="1">
        <v>471</v>
      </c>
      <c r="E2404" t="s">
        <v>3418</v>
      </c>
      <c r="F2404" s="3" t="s">
        <v>3419</v>
      </c>
      <c r="G2404" s="1">
        <v>71.099999999999994</v>
      </c>
      <c r="H2404" t="s">
        <v>3420</v>
      </c>
      <c r="I2404" t="s">
        <v>3423</v>
      </c>
      <c r="J2404" s="1">
        <v>2</v>
      </c>
      <c r="K2404" s="1">
        <v>650.28530000000001</v>
      </c>
      <c r="L2404" s="1" t="str">
        <f>HYPERLINK("http://ms.phosphosite.org:5080/cgi-bin/plot-msms.cgi?MassType=1&amp;NumAxis=1&amp;Mod12=170&amp;Pep=SYVTDDGQGMGR&amp;Dta=/var/www/html/dta/yong/23612.5828.2.dta&amp;Global_Mod=CS57.0215", "5828")</f>
        <v>5828</v>
      </c>
      <c r="M2404" s="1" t="str">
        <f>HYPERLINK("http://ms.phosphosite.org:5080/cgi-bin/plot-msms.cgi?MassType=1&amp;NumAxis=1&amp;Mod12=170&amp;Pep=SYVTDDGQGMGR&amp;Dta=/var/www/html/dta/yong/23613.5877.2.dta&amp;Global_Mod=CS57.0215", "5877")</f>
        <v>5877</v>
      </c>
      <c r="N2404" s="27">
        <v>28.92</v>
      </c>
      <c r="O2404" s="27">
        <v>28.92</v>
      </c>
      <c r="P2404" s="27">
        <v>3.274</v>
      </c>
      <c r="Q2404" s="27">
        <v>3.1429999999999998</v>
      </c>
      <c r="R2404" s="27">
        <v>0.73970000000000002</v>
      </c>
      <c r="S2404" s="27">
        <v>0.93220000000000003</v>
      </c>
      <c r="T2404" s="27">
        <v>0.45550000000000002</v>
      </c>
      <c r="U2404" s="27">
        <v>0.43480000000000002</v>
      </c>
      <c r="V2404" s="1">
        <v>1</v>
      </c>
      <c r="W2404" s="1">
        <v>1</v>
      </c>
      <c r="X2404" s="27">
        <v>2.89</v>
      </c>
      <c r="Y2404" s="27">
        <v>2.74</v>
      </c>
      <c r="Z2404" s="28">
        <v>1000</v>
      </c>
      <c r="AA2404" s="28">
        <v>1000</v>
      </c>
      <c r="AB2404" s="1" t="s">
        <v>13</v>
      </c>
    </row>
    <row r="2405" spans="1:28">
      <c r="A2405" t="s">
        <v>1109</v>
      </c>
      <c r="B2405" s="29" t="s">
        <v>3417</v>
      </c>
      <c r="C2405" s="26" t="s">
        <v>3417</v>
      </c>
      <c r="D2405" s="1">
        <v>471</v>
      </c>
      <c r="E2405" t="s">
        <v>3418</v>
      </c>
      <c r="F2405" s="3" t="s">
        <v>3419</v>
      </c>
      <c r="G2405" s="1">
        <v>71.099999999999994</v>
      </c>
      <c r="H2405" t="s">
        <v>3420</v>
      </c>
      <c r="I2405" t="s">
        <v>3424</v>
      </c>
      <c r="J2405" s="1">
        <v>2</v>
      </c>
      <c r="K2405" s="1">
        <v>800.36260000000004</v>
      </c>
      <c r="L2405" s="1" t="str">
        <f>HYPERLINK("http://ms.phosphosite.org:5080/cgi-bin/plot-msms.cgi?MassType=1&amp;NumAxis=1&amp;Mod12=170&amp;Pep=SYVTDDGQGMGRGSR&amp;Dta=/var/www/html/dta/yong/23612.4559.2.dta&amp;Global_Mod=CS57.0215", "4559")</f>
        <v>4559</v>
      </c>
      <c r="M2405" s="1" t="str">
        <f>HYPERLINK("http://ms.phosphosite.org:5080/cgi-bin/plot-msms.cgi?MassType=1&amp;NumAxis=1&amp;Mod12=170&amp;Pep=SYVTDDGQGMGRGSR&amp;Dta=/var/www/html/dta/yong/23613.4609.2.dta&amp;Global_Mod=CS57.0215", "4609")</f>
        <v>4609</v>
      </c>
      <c r="N2405" s="27">
        <v>24.14</v>
      </c>
      <c r="O2405" s="27">
        <v>24.11</v>
      </c>
      <c r="P2405" s="27">
        <v>1.996</v>
      </c>
      <c r="Q2405" s="27">
        <v>2.0489999999999999</v>
      </c>
      <c r="R2405" s="27">
        <v>0.67520000000000002</v>
      </c>
      <c r="S2405" s="27">
        <v>1.2827</v>
      </c>
      <c r="T2405" s="27">
        <v>0.2147</v>
      </c>
      <c r="U2405" s="27">
        <v>0.23599999999999999</v>
      </c>
      <c r="V2405" s="1">
        <v>1</v>
      </c>
      <c r="W2405" s="1">
        <v>49</v>
      </c>
      <c r="X2405" s="27">
        <v>1.23</v>
      </c>
      <c r="Y2405" s="27">
        <v>1.27</v>
      </c>
      <c r="Z2405" s="28">
        <v>1000</v>
      </c>
      <c r="AA2405" s="28">
        <v>1000</v>
      </c>
      <c r="AB2405" s="1" t="s">
        <v>13</v>
      </c>
    </row>
    <row r="2406" spans="1:28">
      <c r="A2406" t="s">
        <v>1109</v>
      </c>
      <c r="B2406" s="29" t="s">
        <v>3417</v>
      </c>
      <c r="C2406" s="26" t="s">
        <v>3417</v>
      </c>
      <c r="D2406" s="1">
        <v>471</v>
      </c>
      <c r="E2406" t="s">
        <v>3418</v>
      </c>
      <c r="F2406" s="3" t="s">
        <v>3419</v>
      </c>
      <c r="G2406" s="1">
        <v>71.099999999999994</v>
      </c>
      <c r="H2406" t="s">
        <v>3420</v>
      </c>
      <c r="I2406" t="s">
        <v>3424</v>
      </c>
      <c r="J2406" s="1">
        <v>3</v>
      </c>
      <c r="K2406" s="1">
        <v>533.91089999999997</v>
      </c>
      <c r="L2406" s="1"/>
      <c r="M2406" s="1" t="str">
        <f>HYPERLINK("http://ms.phosphosite.org:5080/cgi-bin/plot-msms.cgi?MassType=1&amp;NumAxis=1&amp;Mod12=170&amp;Pep=SYVTDDGQGMGRGSR&amp;Dta=/var/www/html/dta/yong/23613.4583.3.dta&amp;Global_Mod=CS57.0215", "4583")</f>
        <v>4583</v>
      </c>
      <c r="N2406" s="27"/>
      <c r="O2406" s="27">
        <v>24.01</v>
      </c>
      <c r="P2406" s="27"/>
      <c r="Q2406" s="27">
        <v>1.841</v>
      </c>
      <c r="R2406" s="27"/>
      <c r="S2406" s="27">
        <v>0.43430000000000002</v>
      </c>
      <c r="T2406" s="27"/>
      <c r="U2406" s="27">
        <v>0.19550000000000001</v>
      </c>
      <c r="V2406" s="1"/>
      <c r="W2406" s="1">
        <v>2</v>
      </c>
      <c r="X2406" s="27"/>
      <c r="Y2406" s="27">
        <v>1.1399999999999999</v>
      </c>
      <c r="Z2406" s="28"/>
      <c r="AA2406" s="28">
        <v>1000</v>
      </c>
      <c r="AB2406" s="1" t="s">
        <v>13</v>
      </c>
    </row>
    <row r="2407" spans="1:28">
      <c r="A2407" t="s">
        <v>1109</v>
      </c>
      <c r="B2407" s="2" t="s">
        <v>1113</v>
      </c>
      <c r="C2407" t="s">
        <v>1113</v>
      </c>
      <c r="D2407" s="1" t="s">
        <v>3425</v>
      </c>
      <c r="E2407" t="s">
        <v>1114</v>
      </c>
      <c r="F2407" s="3" t="s">
        <v>3426</v>
      </c>
      <c r="G2407" s="1">
        <v>17.2</v>
      </c>
      <c r="H2407" t="s">
        <v>3427</v>
      </c>
      <c r="I2407" t="s">
        <v>3428</v>
      </c>
      <c r="J2407" s="1">
        <v>3</v>
      </c>
      <c r="K2407" s="1">
        <v>586.93389999999999</v>
      </c>
      <c r="L2407" s="1" t="str">
        <f>HYPERLINK("http://ms.phosphosite.org:5080/cgi-bin/plot-msms.cgi?MassType=1&amp;NumAxis=1&amp;Mod5=170&amp;Mod15=170&amp;Pep=YYDSRPGGYGYGYGR&amp;Dta=/var/www/html/dta/yong/23612.7559.3.dta&amp;Global_Mod=CS57.0215", "7559")</f>
        <v>7559</v>
      </c>
      <c r="M2407" s="1" t="str">
        <f>HYPERLINK("http://ms.phosphosite.org:5080/cgi-bin/plot-msms.cgi?MassType=1&amp;NumAxis=1&amp;Mod5=170&amp;Mod15=170&amp;Pep=YYDSRPGGYGYGYGR&amp;Dta=/var/www/html/dta/yong/23613.7602.3.dta&amp;Global_Mod=CS57.0215", "7602")</f>
        <v>7602</v>
      </c>
      <c r="N2407" s="27">
        <v>35.26</v>
      </c>
      <c r="O2407" s="27">
        <v>35.270000000000003</v>
      </c>
      <c r="P2407" s="27">
        <v>3.4830000000000001</v>
      </c>
      <c r="Q2407" s="27">
        <v>2.923</v>
      </c>
      <c r="R2407" s="27">
        <v>0.49909999999999999</v>
      </c>
      <c r="S2407" s="27">
        <v>0.23280000000000001</v>
      </c>
      <c r="T2407" s="27">
        <v>0.52739999999999998</v>
      </c>
      <c r="U2407" s="27">
        <v>0.4662</v>
      </c>
      <c r="V2407" s="1">
        <v>1</v>
      </c>
      <c r="W2407" s="1">
        <v>1</v>
      </c>
      <c r="X2407" s="27">
        <v>3.46</v>
      </c>
      <c r="Y2407" s="27">
        <v>3.04</v>
      </c>
      <c r="Z2407" s="28" t="s">
        <v>1306</v>
      </c>
      <c r="AA2407" s="28" t="s">
        <v>1306</v>
      </c>
      <c r="AB2407" s="1" t="s">
        <v>13</v>
      </c>
    </row>
    <row r="2408" spans="1:28">
      <c r="A2408" t="s">
        <v>1109</v>
      </c>
      <c r="B2408" s="2" t="s">
        <v>1113</v>
      </c>
      <c r="C2408" t="s">
        <v>1113</v>
      </c>
      <c r="D2408" s="1" t="s">
        <v>3425</v>
      </c>
      <c r="E2408" t="s">
        <v>1114</v>
      </c>
      <c r="F2408" s="3" t="s">
        <v>3426</v>
      </c>
      <c r="G2408" s="1">
        <v>17.2</v>
      </c>
      <c r="H2408" t="s">
        <v>3427</v>
      </c>
      <c r="I2408" t="s">
        <v>3428</v>
      </c>
      <c r="J2408" s="1">
        <v>3</v>
      </c>
      <c r="K2408" s="1">
        <v>586.93389999999999</v>
      </c>
      <c r="L2408" s="1" t="str">
        <f>HYPERLINK("http://ms.phosphosite.org:5080/cgi-bin/plot-msms.cgi?MassType=1&amp;NumAxis=1&amp;Mod5=170&amp;Mod15=170&amp;Pep=YYDSRPGGYGYGYGR&amp;Dta=/var/www/html/dta/yong/23612.7553.3.dta&amp;Global_Mod=CS57.0215", "7553")</f>
        <v>7553</v>
      </c>
      <c r="M2408" s="1"/>
      <c r="N2408" s="27">
        <v>35.24</v>
      </c>
      <c r="O2408" s="27"/>
      <c r="P2408" s="27">
        <v>3.1179999999999999</v>
      </c>
      <c r="Q2408" s="27"/>
      <c r="R2408" s="27">
        <v>0.49909999999999999</v>
      </c>
      <c r="S2408" s="27"/>
      <c r="T2408" s="27">
        <v>0.46160000000000001</v>
      </c>
      <c r="U2408" s="27"/>
      <c r="V2408" s="1">
        <v>1</v>
      </c>
      <c r="W2408" s="1"/>
      <c r="X2408" s="27">
        <v>3.07</v>
      </c>
      <c r="Y2408" s="27"/>
      <c r="Z2408" s="28" t="s">
        <v>1306</v>
      </c>
      <c r="AA2408" s="28"/>
      <c r="AB2408" s="1" t="s">
        <v>13</v>
      </c>
    </row>
    <row r="2409" spans="1:28">
      <c r="A2409" t="s">
        <v>1109</v>
      </c>
      <c r="B2409" s="2" t="s">
        <v>1113</v>
      </c>
      <c r="C2409" t="s">
        <v>1113</v>
      </c>
      <c r="D2409" s="1" t="s">
        <v>3429</v>
      </c>
      <c r="E2409" t="s">
        <v>1114</v>
      </c>
      <c r="F2409" s="3" t="s">
        <v>3426</v>
      </c>
      <c r="G2409" s="1">
        <v>17.2</v>
      </c>
      <c r="H2409" t="s">
        <v>3430</v>
      </c>
      <c r="I2409" t="s">
        <v>3431</v>
      </c>
      <c r="J2409" s="1">
        <v>4</v>
      </c>
      <c r="K2409" s="1">
        <v>346.93810000000002</v>
      </c>
      <c r="L2409" s="1" t="str">
        <f>HYPERLINK("http://ms.phosphosite.org:5080/cgi-bin/plot-msms.cgi?MassType=1&amp;NumAxis=1&amp;Mod3=170&amp;Mod12=170&amp;Mod14=170&amp;Pep=GTRGGGFGAHGRGR&amp;Dta=/var/www/html/dta/yong/23612.1340.4.dta&amp;Global_Mod=CS57.0215", "1340")</f>
        <v>1340</v>
      </c>
      <c r="M2409" s="1" t="str">
        <f>HYPERLINK("http://ms.phosphosite.org:5080/cgi-bin/plot-msms.cgi?MassType=1&amp;NumAxis=1&amp;Mod3=170&amp;Mod12=170&amp;Mod14=170&amp;Pep=GTRGGGFGAHGRGR&amp;Dta=/var/www/html/dta/yong/23613.1357.4.dta&amp;Global_Mod=CS57.0215", "1357")</f>
        <v>1357</v>
      </c>
      <c r="N2409" s="27">
        <v>11.9</v>
      </c>
      <c r="O2409" s="27">
        <v>11.8</v>
      </c>
      <c r="P2409" s="27">
        <v>2.6280000000000001</v>
      </c>
      <c r="Q2409" s="27">
        <v>2.367</v>
      </c>
      <c r="R2409" s="27">
        <v>1.2258</v>
      </c>
      <c r="S2409" s="27">
        <v>1.1460999999999999</v>
      </c>
      <c r="T2409" s="27">
        <v>0.1953</v>
      </c>
      <c r="U2409" s="27">
        <v>0.22950000000000001</v>
      </c>
      <c r="V2409" s="1">
        <v>1</v>
      </c>
      <c r="W2409" s="1">
        <v>1</v>
      </c>
      <c r="X2409" s="27">
        <v>1.3</v>
      </c>
      <c r="Y2409" s="27">
        <v>1.41</v>
      </c>
      <c r="Z2409" s="28" t="s">
        <v>1307</v>
      </c>
      <c r="AA2409" s="28" t="s">
        <v>1307</v>
      </c>
      <c r="AB2409" s="1" t="s">
        <v>13</v>
      </c>
    </row>
    <row r="2410" spans="1:28">
      <c r="A2410" t="s">
        <v>1109</v>
      </c>
      <c r="B2410" s="2" t="s">
        <v>1113</v>
      </c>
      <c r="C2410" t="s">
        <v>1113</v>
      </c>
      <c r="D2410" s="1">
        <v>105</v>
      </c>
      <c r="E2410" t="s">
        <v>1114</v>
      </c>
      <c r="F2410" s="3" t="s">
        <v>3426</v>
      </c>
      <c r="G2410" s="1">
        <v>17.2</v>
      </c>
      <c r="H2410" t="s">
        <v>1115</v>
      </c>
      <c r="I2410" t="s">
        <v>3432</v>
      </c>
      <c r="J2410" s="1">
        <v>2</v>
      </c>
      <c r="K2410" s="1">
        <v>759.34</v>
      </c>
      <c r="L2410" s="1" t="str">
        <f>HYPERLINK("http://ms.phosphosite.org:5080/cgi-bin/plot-msms.cgi?MassType=1&amp;NumAxis=1&amp;Mod4=170&amp;Pep=SYSRGGGDQGYGSGR&amp;Dta=/var/www/html/dta/yong/23612.2366.2.dta&amp;Global_Mod=CS57.0215", "2366")</f>
        <v>2366</v>
      </c>
      <c r="M2410" s="1" t="str">
        <f>HYPERLINK("http://ms.phosphosite.org:5080/cgi-bin/plot-msms.cgi?MassType=1&amp;NumAxis=1&amp;Mod4=170&amp;Pep=SYSRGGGDQGYGSGR&amp;Dta=/var/www/html/dta/yong/23613.2409.2.dta&amp;Global_Mod=CS57.0215", "2409")</f>
        <v>2409</v>
      </c>
      <c r="N2410" s="27">
        <v>15.78</v>
      </c>
      <c r="O2410" s="27">
        <v>15.8</v>
      </c>
      <c r="P2410" s="27">
        <v>4.1779999999999999</v>
      </c>
      <c r="Q2410" s="27">
        <v>4.2590000000000003</v>
      </c>
      <c r="R2410" s="27">
        <v>1.0264</v>
      </c>
      <c r="S2410" s="27">
        <v>1.1798999999999999</v>
      </c>
      <c r="T2410" s="27">
        <v>0.47339999999999999</v>
      </c>
      <c r="U2410" s="27">
        <v>0.49399999999999999</v>
      </c>
      <c r="V2410" s="1">
        <v>1</v>
      </c>
      <c r="W2410" s="1">
        <v>1</v>
      </c>
      <c r="X2410" s="27">
        <v>3.05</v>
      </c>
      <c r="Y2410" s="27">
        <v>3.19</v>
      </c>
      <c r="Z2410" s="28">
        <v>1000</v>
      </c>
      <c r="AA2410" s="28">
        <v>1000</v>
      </c>
      <c r="AB2410" s="1" t="s">
        <v>13</v>
      </c>
    </row>
    <row r="2411" spans="1:28">
      <c r="A2411" t="s">
        <v>1109</v>
      </c>
      <c r="B2411" s="2" t="s">
        <v>1113</v>
      </c>
      <c r="C2411" t="s">
        <v>1113</v>
      </c>
      <c r="D2411" s="1">
        <v>105</v>
      </c>
      <c r="E2411" t="s">
        <v>1114</v>
      </c>
      <c r="F2411" s="3" t="s">
        <v>3426</v>
      </c>
      <c r="G2411" s="1">
        <v>17.2</v>
      </c>
      <c r="H2411" t="s">
        <v>1115</v>
      </c>
      <c r="I2411" t="s">
        <v>3432</v>
      </c>
      <c r="J2411" s="1">
        <v>3</v>
      </c>
      <c r="K2411" s="1">
        <v>506.56240000000003</v>
      </c>
      <c r="L2411" s="1" t="str">
        <f>HYPERLINK("http://ms.phosphosite.org:5080/cgi-bin/plot-msms.cgi?MassType=1&amp;NumAxis=1&amp;Mod4=170&amp;Pep=SYSRGGGDQGYGSGR&amp;Dta=/var/www/html/dta/yong/23612.2360.3.dta&amp;Global_Mod=CS57.0215", "2360")</f>
        <v>2360</v>
      </c>
      <c r="M2411" s="1" t="str">
        <f>HYPERLINK("http://ms.phosphosite.org:5080/cgi-bin/plot-msms.cgi?MassType=1&amp;NumAxis=1&amp;Mod4=170&amp;Pep=SYSRGGGDQGYGSGR&amp;Dta=/var/www/html/dta/yong/23613.2399.3.dta&amp;Global_Mod=CS57.0215", "2399")</f>
        <v>2399</v>
      </c>
      <c r="N2411" s="27">
        <v>15.77</v>
      </c>
      <c r="O2411" s="27">
        <v>15.77</v>
      </c>
      <c r="P2411" s="27">
        <v>3.44</v>
      </c>
      <c r="Q2411" s="27">
        <v>3.7160000000000002</v>
      </c>
      <c r="R2411" s="27">
        <v>0.1515</v>
      </c>
      <c r="S2411" s="27">
        <v>0.252</v>
      </c>
      <c r="T2411" s="27">
        <v>0.25409999999999999</v>
      </c>
      <c r="U2411" s="27">
        <v>0.3427</v>
      </c>
      <c r="V2411" s="1">
        <v>2</v>
      </c>
      <c r="W2411" s="1">
        <v>2</v>
      </c>
      <c r="X2411" s="27">
        <v>1.9</v>
      </c>
      <c r="Y2411" s="27">
        <v>2.4</v>
      </c>
      <c r="Z2411" s="28">
        <v>1000</v>
      </c>
      <c r="AA2411" s="28">
        <v>1000</v>
      </c>
      <c r="AB2411" s="1" t="s">
        <v>13</v>
      </c>
    </row>
    <row r="2412" spans="1:28">
      <c r="A2412" t="s">
        <v>1109</v>
      </c>
      <c r="B2412" s="2" t="s">
        <v>1113</v>
      </c>
      <c r="C2412" t="s">
        <v>1113</v>
      </c>
      <c r="D2412" s="1">
        <v>131</v>
      </c>
      <c r="E2412" t="s">
        <v>1114</v>
      </c>
      <c r="F2412" s="3" t="s">
        <v>3426</v>
      </c>
      <c r="G2412" s="1">
        <v>17.2</v>
      </c>
      <c r="H2412" t="s">
        <v>3433</v>
      </c>
      <c r="I2412" t="s">
        <v>3434</v>
      </c>
      <c r="J2412" s="1">
        <v>2</v>
      </c>
      <c r="K2412" s="1">
        <v>530.74599999999998</v>
      </c>
      <c r="L2412" s="1" t="str">
        <f>HYPERLINK("http://ms.phosphosite.org:5080/cgi-bin/plot-msms.cgi?MassType=1&amp;NumAxis=1&amp;Mod10=170&amp;Pep=PGGYGYGYGR&amp;Dta=/var/www/html/dta/yong/23612.6343.2.dta&amp;Global_Mod=CS57.0215", "6343")</f>
        <v>6343</v>
      </c>
      <c r="M2412" s="1" t="str">
        <f>HYPERLINK("http://ms.phosphosite.org:5080/cgi-bin/plot-msms.cgi?MassType=1&amp;NumAxis=1&amp;Mod10=170&amp;Pep=PGGYGYGYGR&amp;Dta=/var/www/html/dta/yong/23613.6382.2.dta&amp;Global_Mod=CS57.0215", "6382")</f>
        <v>6382</v>
      </c>
      <c r="N2412" s="27">
        <v>30.81</v>
      </c>
      <c r="O2412" s="27">
        <v>30.78</v>
      </c>
      <c r="P2412" s="27">
        <v>3.6040000000000001</v>
      </c>
      <c r="Q2412" s="27">
        <v>3.4220000000000002</v>
      </c>
      <c r="R2412" s="27">
        <v>0.1822</v>
      </c>
      <c r="S2412" s="27">
        <v>0.1348</v>
      </c>
      <c r="T2412" s="27">
        <v>0.4385</v>
      </c>
      <c r="U2412" s="27">
        <v>0.47189999999999999</v>
      </c>
      <c r="V2412" s="1">
        <v>1</v>
      </c>
      <c r="W2412" s="1">
        <v>1</v>
      </c>
      <c r="X2412" s="27">
        <v>3.04</v>
      </c>
      <c r="Y2412" s="27">
        <v>3.18</v>
      </c>
      <c r="Z2412" s="28">
        <v>1000</v>
      </c>
      <c r="AA2412" s="28">
        <v>1000</v>
      </c>
      <c r="AB2412" s="1" t="s">
        <v>13</v>
      </c>
    </row>
    <row r="2413" spans="1:28">
      <c r="A2413" t="s">
        <v>1109</v>
      </c>
      <c r="B2413" s="2" t="s">
        <v>1113</v>
      </c>
      <c r="C2413" t="s">
        <v>1113</v>
      </c>
      <c r="D2413" s="1">
        <v>131</v>
      </c>
      <c r="E2413" t="s">
        <v>1114</v>
      </c>
      <c r="F2413" s="3" t="s">
        <v>3426</v>
      </c>
      <c r="G2413" s="1">
        <v>17.2</v>
      </c>
      <c r="H2413" t="s">
        <v>3435</v>
      </c>
      <c r="I2413" t="s">
        <v>3436</v>
      </c>
      <c r="J2413" s="1">
        <v>2</v>
      </c>
      <c r="K2413" s="1">
        <v>872.88930000000005</v>
      </c>
      <c r="L2413" s="1" t="str">
        <f>HYPERLINK("http://ms.phosphosite.org:5080/cgi-bin/plot-msms.cgi?MassType=1&amp;NumAxis=1&amp;Mod15=170&amp;Pep=YYDSRPGGYGYGYGR&amp;Dta=/var/www/html/dta/yong/23612.7386.2.dta&amp;Global_Mod=CS57.0215", "7386")</f>
        <v>7386</v>
      </c>
      <c r="M2413" s="1" t="str">
        <f>HYPERLINK("http://ms.phosphosite.org:5080/cgi-bin/plot-msms.cgi?MassType=1&amp;NumAxis=1&amp;Mod15=170&amp;Pep=YYDSRPGGYGYGYGR&amp;Dta=/var/www/html/dta/yong/23613.7455.2.dta&amp;Global_Mod=CS57.0215", "7455")</f>
        <v>7455</v>
      </c>
      <c r="N2413" s="27">
        <v>34.67</v>
      </c>
      <c r="O2413" s="27">
        <v>34.770000000000003</v>
      </c>
      <c r="P2413" s="27">
        <v>3.165</v>
      </c>
      <c r="Q2413" s="27">
        <v>3.3109999999999999</v>
      </c>
      <c r="R2413" s="27">
        <v>0.93920000000000003</v>
      </c>
      <c r="S2413" s="27">
        <v>1.7597</v>
      </c>
      <c r="T2413" s="27">
        <v>0.42909999999999998</v>
      </c>
      <c r="U2413" s="27">
        <v>0.43619999999999998</v>
      </c>
      <c r="V2413" s="1">
        <v>1</v>
      </c>
      <c r="W2413" s="1">
        <v>1</v>
      </c>
      <c r="X2413" s="27">
        <v>2.83</v>
      </c>
      <c r="Y2413" s="27">
        <v>2.86</v>
      </c>
      <c r="Z2413" s="28">
        <v>1000</v>
      </c>
      <c r="AA2413" s="28">
        <v>1000</v>
      </c>
      <c r="AB2413" s="1" t="s">
        <v>13</v>
      </c>
    </row>
    <row r="2414" spans="1:28">
      <c r="A2414" t="s">
        <v>1109</v>
      </c>
      <c r="B2414" s="2" t="s">
        <v>1113</v>
      </c>
      <c r="C2414" t="s">
        <v>1113</v>
      </c>
      <c r="D2414" s="1">
        <v>131</v>
      </c>
      <c r="E2414" t="s">
        <v>1114</v>
      </c>
      <c r="F2414" s="3" t="s">
        <v>3426</v>
      </c>
      <c r="G2414" s="1">
        <v>17.2</v>
      </c>
      <c r="H2414" t="s">
        <v>3435</v>
      </c>
      <c r="I2414" t="s">
        <v>3436</v>
      </c>
      <c r="J2414" s="1">
        <v>3</v>
      </c>
      <c r="K2414" s="1">
        <v>582.26199999999994</v>
      </c>
      <c r="L2414" s="1" t="str">
        <f>HYPERLINK("http://ms.phosphosite.org:5080/cgi-bin/plot-msms.cgi?MassType=1&amp;NumAxis=1&amp;Mod15=170&amp;Pep=YYDSRPGGYGYGYGR&amp;Dta=/var/www/html/dta/yong/23612.7368.3.dta&amp;Global_Mod=CS57.0215", "7368")</f>
        <v>7368</v>
      </c>
      <c r="M2414" s="1" t="str">
        <f>HYPERLINK("http://ms.phosphosite.org:5080/cgi-bin/plot-msms.cgi?MassType=1&amp;NumAxis=1&amp;Mod15=170&amp;Pep=YYDSRPGGYGYGYGR&amp;Dta=/var/www/html/dta/yong/23613.7417.3.dta&amp;Global_Mod=CS57.0215", "7417")</f>
        <v>7417</v>
      </c>
      <c r="N2414" s="27">
        <v>34.6</v>
      </c>
      <c r="O2414" s="27">
        <v>34.630000000000003</v>
      </c>
      <c r="P2414" s="27">
        <v>2.351</v>
      </c>
      <c r="Q2414" s="27">
        <v>2.6640000000000001</v>
      </c>
      <c r="R2414" s="27">
        <v>0.28960000000000002</v>
      </c>
      <c r="S2414" s="27">
        <v>0.3367</v>
      </c>
      <c r="T2414" s="27">
        <v>0.35630000000000001</v>
      </c>
      <c r="U2414" s="27">
        <v>0.38450000000000001</v>
      </c>
      <c r="V2414" s="1">
        <v>1</v>
      </c>
      <c r="W2414" s="1">
        <v>1</v>
      </c>
      <c r="X2414" s="27">
        <v>2.4</v>
      </c>
      <c r="Y2414" s="27">
        <v>2.59</v>
      </c>
      <c r="Z2414" s="28">
        <v>1000</v>
      </c>
      <c r="AA2414" s="28">
        <v>1000</v>
      </c>
      <c r="AB2414" s="1" t="s">
        <v>13</v>
      </c>
    </row>
    <row r="2415" spans="1:28">
      <c r="A2415" t="s">
        <v>1109</v>
      </c>
      <c r="B2415" s="2" t="s">
        <v>1113</v>
      </c>
      <c r="C2415" t="s">
        <v>1113</v>
      </c>
      <c r="D2415" s="1">
        <v>90</v>
      </c>
      <c r="E2415" t="s">
        <v>1114</v>
      </c>
      <c r="F2415" s="3" t="s">
        <v>3426</v>
      </c>
      <c r="G2415" s="1">
        <v>17.2</v>
      </c>
      <c r="H2415" t="s">
        <v>3437</v>
      </c>
      <c r="I2415" t="s">
        <v>3438</v>
      </c>
      <c r="J2415" s="1">
        <v>2</v>
      </c>
      <c r="K2415" s="1">
        <v>465.73070000000001</v>
      </c>
      <c r="L2415" s="1" t="str">
        <f>HYPERLINK("http://ms.phosphosite.org:5080/cgi-bin/plot-msms.cgi?MassType=1&amp;NumAxis=1&amp;Mod3=170&amp;Pep=GTRGGGFGAH&amp;Dta=/var/www/html/dta/yong/23612.1844.2.dta&amp;Global_Mod=CS57.0215", "1844")</f>
        <v>1844</v>
      </c>
      <c r="M2415" s="1" t="str">
        <f>HYPERLINK("http://ms.phosphosite.org:5080/cgi-bin/plot-msms.cgi?MassType=1&amp;NumAxis=1&amp;Mod3=170&amp;Pep=GTRGGGFGAH&amp;Dta=/var/www/html/dta/yong/23613.1875.2.dta&amp;Global_Mod=CS57.0215", "1875")</f>
        <v>1875</v>
      </c>
      <c r="N2415" s="27">
        <v>13.81</v>
      </c>
      <c r="O2415" s="27">
        <v>13.76</v>
      </c>
      <c r="P2415" s="27">
        <v>2.395</v>
      </c>
      <c r="Q2415" s="27">
        <v>2.577</v>
      </c>
      <c r="R2415" s="27">
        <v>-0.2782</v>
      </c>
      <c r="S2415" s="27">
        <v>-0.1686</v>
      </c>
      <c r="T2415" s="27">
        <v>0.2382</v>
      </c>
      <c r="U2415" s="27">
        <v>0.23830000000000001</v>
      </c>
      <c r="V2415" s="1">
        <v>3</v>
      </c>
      <c r="W2415" s="1">
        <v>1</v>
      </c>
      <c r="X2415" s="27">
        <v>1.6</v>
      </c>
      <c r="Y2415" s="27">
        <v>1.65</v>
      </c>
      <c r="Z2415" s="28">
        <v>1000</v>
      </c>
      <c r="AA2415" s="28">
        <v>1000</v>
      </c>
      <c r="AB2415" s="1" t="s">
        <v>13</v>
      </c>
    </row>
    <row r="2416" spans="1:28">
      <c r="A2416" t="s">
        <v>1109</v>
      </c>
      <c r="B2416" s="2" t="s">
        <v>1113</v>
      </c>
      <c r="C2416" t="s">
        <v>1113</v>
      </c>
      <c r="D2416" s="1">
        <v>90</v>
      </c>
      <c r="E2416" t="s">
        <v>1114</v>
      </c>
      <c r="F2416" s="3" t="s">
        <v>3426</v>
      </c>
      <c r="G2416" s="1">
        <v>17.2</v>
      </c>
      <c r="H2416" t="s">
        <v>3437</v>
      </c>
      <c r="I2416" t="s">
        <v>3438</v>
      </c>
      <c r="J2416" s="1">
        <v>3</v>
      </c>
      <c r="K2416" s="1">
        <v>310.8229</v>
      </c>
      <c r="L2416" s="1" t="str">
        <f>HYPERLINK("http://ms.phosphosite.org:5080/cgi-bin/plot-msms.cgi?MassType=1&amp;NumAxis=1&amp;Mod3=170&amp;Pep=GTRGGGFGAH&amp;Dta=/var/www/html/dta/yong/23612.1851.3.dta&amp;Global_Mod=CS57.0215", "1851")</f>
        <v>1851</v>
      </c>
      <c r="M2416" s="1" t="str">
        <f>HYPERLINK("http://ms.phosphosite.org:5080/cgi-bin/plot-msms.cgi?MassType=1&amp;NumAxis=1&amp;Mod3=170&amp;Pep=GTRGGGFGAH&amp;Dta=/var/www/html/dta/yong/23613.1874.3.dta&amp;Global_Mod=CS57.0215", "1874")</f>
        <v>1874</v>
      </c>
      <c r="N2416" s="27">
        <v>13.84</v>
      </c>
      <c r="O2416" s="27">
        <v>13.76</v>
      </c>
      <c r="P2416" s="27">
        <v>2.9950000000000001</v>
      </c>
      <c r="Q2416" s="27">
        <v>3.1869999999999998</v>
      </c>
      <c r="R2416" s="27">
        <v>0.39689999999999998</v>
      </c>
      <c r="S2416" s="27">
        <v>0.3977</v>
      </c>
      <c r="T2416" s="27">
        <v>0.31869999999999998</v>
      </c>
      <c r="U2416" s="27">
        <v>0.3251</v>
      </c>
      <c r="V2416" s="1">
        <v>1</v>
      </c>
      <c r="W2416" s="1">
        <v>1</v>
      </c>
      <c r="X2416" s="27">
        <v>2.2000000000000002</v>
      </c>
      <c r="Y2416" s="27">
        <v>2.2799999999999998</v>
      </c>
      <c r="Z2416" s="28">
        <v>1000</v>
      </c>
      <c r="AA2416" s="28">
        <v>1000</v>
      </c>
      <c r="AB2416" s="1" t="s">
        <v>13</v>
      </c>
    </row>
    <row r="2417" spans="1:28">
      <c r="A2417" t="s">
        <v>1109</v>
      </c>
      <c r="B2417" s="2" t="s">
        <v>3439</v>
      </c>
      <c r="C2417" t="s">
        <v>3440</v>
      </c>
      <c r="D2417" s="1">
        <v>26</v>
      </c>
      <c r="E2417" t="s">
        <v>3441</v>
      </c>
      <c r="F2417" s="3" t="s">
        <v>3442</v>
      </c>
      <c r="G2417" s="1">
        <v>17.2</v>
      </c>
      <c r="H2417" t="s">
        <v>3443</v>
      </c>
      <c r="I2417" t="s">
        <v>3444</v>
      </c>
      <c r="J2417" s="1">
        <v>3</v>
      </c>
      <c r="K2417" s="1">
        <v>360.18959999999998</v>
      </c>
      <c r="L2417" s="1" t="str">
        <f>HYPERLINK("http://ms.phosphosite.org:5080/cgi-bin/plot-msms.cgi?MassType=1&amp;NumAxis=1&amp;Mod9=170&amp;Pep=HFNAPSHVR&amp;Dta=/var/www/html/dta/yong/23612.3388.3.dta&amp;Global_Mod=CS57.0215", "3388")</f>
        <v>3388</v>
      </c>
      <c r="M2417" s="1"/>
      <c r="N2417" s="27">
        <v>19.59</v>
      </c>
      <c r="O2417" s="27"/>
      <c r="P2417" s="27">
        <v>2.74</v>
      </c>
      <c r="Q2417" s="27"/>
      <c r="R2417" s="27">
        <v>5.9200000000000003E-2</v>
      </c>
      <c r="S2417" s="27"/>
      <c r="T2417" s="27">
        <v>2.7300000000000001E-2</v>
      </c>
      <c r="U2417" s="27"/>
      <c r="V2417" s="1">
        <v>2</v>
      </c>
      <c r="W2417" s="1"/>
      <c r="X2417" s="27">
        <v>0.73</v>
      </c>
      <c r="Y2417" s="27"/>
      <c r="Z2417" s="28">
        <v>1000</v>
      </c>
      <c r="AA2417" s="28"/>
      <c r="AB2417" s="1" t="s">
        <v>13</v>
      </c>
    </row>
    <row r="2418" spans="1:28">
      <c r="A2418" t="s">
        <v>1109</v>
      </c>
      <c r="B2418" s="2" t="s">
        <v>3445</v>
      </c>
      <c r="C2418" t="s">
        <v>3446</v>
      </c>
      <c r="D2418" s="1">
        <v>97</v>
      </c>
      <c r="E2418" t="s">
        <v>3447</v>
      </c>
      <c r="F2418" s="3" t="s">
        <v>3448</v>
      </c>
      <c r="G2418" s="1">
        <v>47.7</v>
      </c>
      <c r="H2418" t="s">
        <v>3449</v>
      </c>
      <c r="I2418" t="s">
        <v>3450</v>
      </c>
      <c r="J2418" s="1">
        <v>2</v>
      </c>
      <c r="K2418" s="1">
        <v>607.75570000000005</v>
      </c>
      <c r="L2418" s="1" t="str">
        <f>HYPERLINK("http://ms.phosphosite.org:5080/cgi-bin/plot-msms.cgi?MassType=1&amp;NumAxis=1&amp;Mod9=147&amp;Mod11=170&amp;Pep=SGQGAFGNMCR&amp;Dta=/var/www/html/dta/yong/23612.3672.2.dta&amp;Global_Mod=CS57.0215", "3672")</f>
        <v>3672</v>
      </c>
      <c r="M2418" s="1" t="str">
        <f>HYPERLINK("http://ms.phosphosite.org:5080/cgi-bin/plot-msms.cgi?MassType=1&amp;NumAxis=1&amp;Mod9=147&amp;Mod11=170&amp;Pep=SGQGAFGNMCR&amp;Dta=/var/www/html/dta/yong/23613.3716.2.dta&amp;Global_Mod=CS57.0215", "3716")</f>
        <v>3716</v>
      </c>
      <c r="N2418" s="27">
        <v>20.73</v>
      </c>
      <c r="O2418" s="27">
        <v>20.71</v>
      </c>
      <c r="P2418" s="27">
        <v>2.6509999999999998</v>
      </c>
      <c r="Q2418" s="27">
        <v>2.5009999999999999</v>
      </c>
      <c r="R2418" s="27">
        <v>0.78290000000000004</v>
      </c>
      <c r="S2418" s="27">
        <v>0.84719999999999995</v>
      </c>
      <c r="T2418" s="27">
        <v>0.314</v>
      </c>
      <c r="U2418" s="27">
        <v>0.3553</v>
      </c>
      <c r="V2418" s="1">
        <v>1</v>
      </c>
      <c r="W2418" s="1">
        <v>1</v>
      </c>
      <c r="X2418" s="27">
        <v>2.0499999999999998</v>
      </c>
      <c r="Y2418" s="27">
        <v>2.2000000000000002</v>
      </c>
      <c r="Z2418" s="28">
        <v>1000</v>
      </c>
      <c r="AA2418" s="28">
        <v>1000</v>
      </c>
      <c r="AB2418" s="1" t="s">
        <v>13</v>
      </c>
    </row>
    <row r="2419" spans="1:28">
      <c r="A2419" t="s">
        <v>1109</v>
      </c>
      <c r="B2419" s="2" t="s">
        <v>3445</v>
      </c>
      <c r="C2419" t="s">
        <v>3446</v>
      </c>
      <c r="D2419" s="1">
        <v>97</v>
      </c>
      <c r="E2419" t="s">
        <v>3447</v>
      </c>
      <c r="F2419" s="3" t="s">
        <v>3448</v>
      </c>
      <c r="G2419" s="1">
        <v>47.7</v>
      </c>
      <c r="H2419" t="s">
        <v>3449</v>
      </c>
      <c r="I2419" t="s">
        <v>3450</v>
      </c>
      <c r="J2419" s="1">
        <v>2</v>
      </c>
      <c r="K2419" s="1">
        <v>607.75570000000005</v>
      </c>
      <c r="L2419" s="1" t="str">
        <f>HYPERLINK("http://ms.phosphosite.org:5080/cgi-bin/plot-msms.cgi?MassType=1&amp;NumAxis=1&amp;Mod9=147&amp;Mod11=170&amp;Pep=SGQGAFGNMCR&amp;Dta=/var/www/html/dta/yong/23612.3696.2.dta&amp;Global_Mod=CS57.0215", "3696")</f>
        <v>3696</v>
      </c>
      <c r="M2419" s="1"/>
      <c r="N2419" s="27">
        <v>20.81</v>
      </c>
      <c r="O2419" s="27"/>
      <c r="P2419" s="27">
        <v>2.2869999999999999</v>
      </c>
      <c r="Q2419" s="27"/>
      <c r="R2419" s="27">
        <v>0.78290000000000004</v>
      </c>
      <c r="S2419" s="27"/>
      <c r="T2419" s="27">
        <v>0.27950000000000003</v>
      </c>
      <c r="U2419" s="27"/>
      <c r="V2419" s="1">
        <v>1</v>
      </c>
      <c r="W2419" s="1"/>
      <c r="X2419" s="27">
        <v>1.81</v>
      </c>
      <c r="Y2419" s="27"/>
      <c r="Z2419" s="28">
        <v>1000</v>
      </c>
      <c r="AA2419" s="28"/>
      <c r="AB2419" s="1" t="s">
        <v>13</v>
      </c>
    </row>
    <row r="2420" spans="1:28">
      <c r="A2420" t="s">
        <v>1109</v>
      </c>
      <c r="B2420" s="29" t="s">
        <v>3451</v>
      </c>
      <c r="C2420" s="26" t="s">
        <v>3452</v>
      </c>
      <c r="D2420" s="1">
        <v>153</v>
      </c>
      <c r="E2420" t="s">
        <v>3453</v>
      </c>
      <c r="F2420" s="3" t="s">
        <v>3454</v>
      </c>
      <c r="G2420" s="1">
        <v>18.899999999999999</v>
      </c>
      <c r="H2420" t="s">
        <v>3455</v>
      </c>
      <c r="I2420" t="s">
        <v>3456</v>
      </c>
      <c r="J2420" s="1">
        <v>2</v>
      </c>
      <c r="K2420" s="1">
        <v>728.34680000000003</v>
      </c>
      <c r="L2420" s="1" t="str">
        <f>HYPERLINK("http://ms.phosphosite.org:5080/cgi-bin/plot-msms.cgi?MassType=1&amp;NumAxis=1&amp;Mod14=170&amp;Pep=AEAGAGSATEFQFR&amp;Dta=/var/www/html/dta/yong/23612.10184.2.dta&amp;Global_Mod=CS57.0215", "10184")</f>
        <v>10184</v>
      </c>
      <c r="M2420" s="1" t="str">
        <f>HYPERLINK("http://ms.phosphosite.org:5080/cgi-bin/plot-msms.cgi?MassType=1&amp;NumAxis=1&amp;Mod14=170&amp;Pep=AEAGAGSATEFQFR&amp;Dta=/var/www/html/dta/yong/23613.10381.2.dta&amp;Global_Mod=CS57.0215", "10381")</f>
        <v>10381</v>
      </c>
      <c r="N2420" s="27">
        <v>44.62</v>
      </c>
      <c r="O2420" s="27">
        <v>45.07</v>
      </c>
      <c r="P2420" s="27">
        <v>4.3760000000000003</v>
      </c>
      <c r="Q2420" s="27">
        <v>3.4790000000000001</v>
      </c>
      <c r="R2420" s="27">
        <v>0.34439999999999998</v>
      </c>
      <c r="S2420" s="27">
        <v>-15.0916</v>
      </c>
      <c r="T2420" s="27">
        <v>0.48899999999999999</v>
      </c>
      <c r="U2420" s="27">
        <v>0.43369999999999997</v>
      </c>
      <c r="V2420" s="1">
        <v>1</v>
      </c>
      <c r="W2420" s="1">
        <v>1</v>
      </c>
      <c r="X2420" s="27">
        <v>3.27</v>
      </c>
      <c r="Y2420" s="27">
        <v>1.99</v>
      </c>
      <c r="Z2420" s="28">
        <v>1000</v>
      </c>
      <c r="AA2420" s="28">
        <v>1000</v>
      </c>
      <c r="AB2420" s="1" t="s">
        <v>13</v>
      </c>
    </row>
    <row r="2421" spans="1:28">
      <c r="A2421" t="s">
        <v>1109</v>
      </c>
      <c r="B2421" s="29" t="s">
        <v>3451</v>
      </c>
      <c r="C2421" s="26" t="s">
        <v>3452</v>
      </c>
      <c r="D2421" s="1">
        <v>153</v>
      </c>
      <c r="E2421" t="s">
        <v>3453</v>
      </c>
      <c r="F2421" s="3" t="s">
        <v>3454</v>
      </c>
      <c r="G2421" s="1">
        <v>18.899999999999999</v>
      </c>
      <c r="H2421" t="s">
        <v>3455</v>
      </c>
      <c r="I2421" t="s">
        <v>3456</v>
      </c>
      <c r="J2421" s="1">
        <v>2</v>
      </c>
      <c r="K2421" s="1">
        <v>728.34680000000003</v>
      </c>
      <c r="L2421" s="1"/>
      <c r="M2421" s="1" t="str">
        <f>HYPERLINK("http://ms.phosphosite.org:5080/cgi-bin/plot-msms.cgi?MassType=1&amp;NumAxis=1&amp;Mod14=170&amp;Pep=AEAGAGSATEFQFR&amp;Dta=/var/www/html/dta/yong/23613.10250.2.dta&amp;Global_Mod=CS57.0215", "10250")</f>
        <v>10250</v>
      </c>
      <c r="N2421" s="27"/>
      <c r="O2421" s="27">
        <v>44.62</v>
      </c>
      <c r="P2421" s="27"/>
      <c r="Q2421" s="27">
        <v>4.359</v>
      </c>
      <c r="R2421" s="27"/>
      <c r="S2421" s="27">
        <v>0.1401</v>
      </c>
      <c r="T2421" s="27"/>
      <c r="U2421" s="27">
        <v>0.50190000000000001</v>
      </c>
      <c r="V2421" s="1"/>
      <c r="W2421" s="1">
        <v>1</v>
      </c>
      <c r="X2421" s="27"/>
      <c r="Y2421" s="27">
        <v>3.31</v>
      </c>
      <c r="Z2421" s="28"/>
      <c r="AA2421" s="28">
        <v>1000</v>
      </c>
      <c r="AB2421" s="1" t="s">
        <v>13</v>
      </c>
    </row>
    <row r="2422" spans="1:28">
      <c r="A2422" t="s">
        <v>1109</v>
      </c>
      <c r="B2422" s="29" t="s">
        <v>3451</v>
      </c>
      <c r="C2422" s="26" t="s">
        <v>3452</v>
      </c>
      <c r="D2422" s="1">
        <v>153</v>
      </c>
      <c r="E2422" t="s">
        <v>3453</v>
      </c>
      <c r="F2422" s="3" t="s">
        <v>3454</v>
      </c>
      <c r="G2422" s="1">
        <v>18.899999999999999</v>
      </c>
      <c r="H2422" t="s">
        <v>3455</v>
      </c>
      <c r="I2422" t="s">
        <v>3456</v>
      </c>
      <c r="J2422" s="1">
        <v>3</v>
      </c>
      <c r="K2422" s="1">
        <v>485.90030000000002</v>
      </c>
      <c r="L2422" s="1" t="str">
        <f>HYPERLINK("http://ms.phosphosite.org:5080/cgi-bin/plot-msms.cgi?MassType=1&amp;NumAxis=1&amp;Mod14=170&amp;Pep=AEAGAGSATEFQFR&amp;Dta=/var/www/html/dta/yong/23612.10213.3.dta&amp;Global_Mod=CS57.0215", "10213")</f>
        <v>10213</v>
      </c>
      <c r="M2422" s="1" t="str">
        <f>HYPERLINK("http://ms.phosphosite.org:5080/cgi-bin/plot-msms.cgi?MassType=1&amp;NumAxis=1&amp;Mod14=170&amp;Pep=AEAGAGSATEFQFR&amp;Dta=/var/www/html/dta/yong/23613.10286.3.dta&amp;Global_Mod=CS57.0215", "10286")</f>
        <v>10286</v>
      </c>
      <c r="N2422" s="27">
        <v>44.7</v>
      </c>
      <c r="O2422" s="27">
        <v>44.74</v>
      </c>
      <c r="P2422" s="27">
        <v>3.0419999999999998</v>
      </c>
      <c r="Q2422" s="27">
        <v>3.53</v>
      </c>
      <c r="R2422" s="27">
        <v>-2.1600000000000001E-2</v>
      </c>
      <c r="S2422" s="27">
        <v>-0.35389999999999999</v>
      </c>
      <c r="T2422" s="27">
        <v>0.34010000000000001</v>
      </c>
      <c r="U2422" s="27">
        <v>0.40589999999999998</v>
      </c>
      <c r="V2422" s="1">
        <v>1</v>
      </c>
      <c r="W2422" s="1">
        <v>1</v>
      </c>
      <c r="X2422" s="27">
        <v>2.3199999999999998</v>
      </c>
      <c r="Y2422" s="27">
        <v>2.68</v>
      </c>
      <c r="Z2422" s="28">
        <v>1000</v>
      </c>
      <c r="AA2422" s="28">
        <v>1000</v>
      </c>
      <c r="AB2422" s="1" t="s">
        <v>13</v>
      </c>
    </row>
    <row r="2423" spans="1:28">
      <c r="A2423" t="s">
        <v>1109</v>
      </c>
      <c r="B2423" s="29" t="s">
        <v>3451</v>
      </c>
      <c r="C2423" s="26" t="s">
        <v>3452</v>
      </c>
      <c r="D2423" s="1">
        <v>153</v>
      </c>
      <c r="E2423" t="s">
        <v>3453</v>
      </c>
      <c r="F2423" s="3" t="s">
        <v>3454</v>
      </c>
      <c r="G2423" s="1">
        <v>18.899999999999999</v>
      </c>
      <c r="H2423" t="s">
        <v>3455</v>
      </c>
      <c r="I2423" t="s">
        <v>3457</v>
      </c>
      <c r="J2423" s="1">
        <v>2</v>
      </c>
      <c r="K2423" s="1">
        <v>692.82820000000004</v>
      </c>
      <c r="L2423" s="1" t="str">
        <f>HYPERLINK("http://ms.phosphosite.org:5080/cgi-bin/plot-msms.cgi?MassType=1&amp;NumAxis=1&amp;Mod13=170&amp;Pep=EAGAGSATEFQFR&amp;Dta=/var/www/html/dta/yong/23612.10121.2.dta&amp;Global_Mod=CS57.0215", "10121")</f>
        <v>10121</v>
      </c>
      <c r="M2423" s="1" t="str">
        <f>HYPERLINK("http://ms.phosphosite.org:5080/cgi-bin/plot-msms.cgi?MassType=1&amp;NumAxis=1&amp;Mod13=170&amp;Pep=EAGAGSATEFQFR&amp;Dta=/var/www/html/dta/yong/23613.10184.2.dta&amp;Global_Mod=CS57.0215", "10184")</f>
        <v>10184</v>
      </c>
      <c r="N2423" s="27">
        <v>44.4</v>
      </c>
      <c r="O2423" s="27">
        <v>44.41</v>
      </c>
      <c r="P2423" s="27">
        <v>3.6680000000000001</v>
      </c>
      <c r="Q2423" s="27">
        <v>3.5960000000000001</v>
      </c>
      <c r="R2423" s="27">
        <v>3.09E-2</v>
      </c>
      <c r="S2423" s="27">
        <v>-0.18590000000000001</v>
      </c>
      <c r="T2423" s="27">
        <v>0.46129999999999999</v>
      </c>
      <c r="U2423" s="27">
        <v>0.42430000000000001</v>
      </c>
      <c r="V2423" s="1">
        <v>1</v>
      </c>
      <c r="W2423" s="1">
        <v>1</v>
      </c>
      <c r="X2423" s="27">
        <v>2.99</v>
      </c>
      <c r="Y2423" s="27">
        <v>2.77</v>
      </c>
      <c r="Z2423" s="28">
        <v>1000</v>
      </c>
      <c r="AA2423" s="28">
        <v>1000</v>
      </c>
      <c r="AB2423" s="1" t="s">
        <v>13</v>
      </c>
    </row>
    <row r="2424" spans="1:28">
      <c r="A2424" t="s">
        <v>1109</v>
      </c>
      <c r="B2424" s="29" t="s">
        <v>3451</v>
      </c>
      <c r="C2424" s="26" t="s">
        <v>3452</v>
      </c>
      <c r="D2424" s="1">
        <v>153</v>
      </c>
      <c r="E2424" t="s">
        <v>3453</v>
      </c>
      <c r="F2424" s="3" t="s">
        <v>3454</v>
      </c>
      <c r="G2424" s="1">
        <v>18.899999999999999</v>
      </c>
      <c r="H2424" t="s">
        <v>3455</v>
      </c>
      <c r="I2424" t="s">
        <v>3458</v>
      </c>
      <c r="J2424" s="1">
        <v>2</v>
      </c>
      <c r="K2424" s="1">
        <v>592.78840000000002</v>
      </c>
      <c r="L2424" s="1" t="str">
        <f>HYPERLINK("http://ms.phosphosite.org:5080/cgi-bin/plot-msms.cgi?MassType=1&amp;NumAxis=1&amp;Mod11=170&amp;Pep=GAGSATEFQFR&amp;Dta=/var/www/html/dta/yong/23612.9670.2.dta&amp;Global_Mod=CS57.0215", "9670")</f>
        <v>9670</v>
      </c>
      <c r="M2424" s="1"/>
      <c r="N2424" s="27">
        <v>42.83</v>
      </c>
      <c r="O2424" s="27"/>
      <c r="P2424" s="27">
        <v>3.238</v>
      </c>
      <c r="Q2424" s="27"/>
      <c r="R2424" s="27">
        <v>0.38619999999999999</v>
      </c>
      <c r="S2424" s="27"/>
      <c r="T2424" s="27">
        <v>0.2853</v>
      </c>
      <c r="U2424" s="27"/>
      <c r="V2424" s="1">
        <v>1</v>
      </c>
      <c r="W2424" s="1"/>
      <c r="X2424" s="27">
        <v>2.08</v>
      </c>
      <c r="Y2424" s="27"/>
      <c r="Z2424" s="28">
        <v>1000</v>
      </c>
      <c r="AA2424" s="28"/>
      <c r="AB2424" s="1" t="s">
        <v>13</v>
      </c>
    </row>
    <row r="2425" spans="1:28">
      <c r="A2425" t="s">
        <v>1109</v>
      </c>
      <c r="B2425" s="29" t="s">
        <v>3451</v>
      </c>
      <c r="C2425" s="26" t="s">
        <v>3452</v>
      </c>
      <c r="D2425" s="1">
        <v>153</v>
      </c>
      <c r="E2425" t="s">
        <v>3453</v>
      </c>
      <c r="F2425" s="3" t="s">
        <v>3454</v>
      </c>
      <c r="G2425" s="1">
        <v>18.899999999999999</v>
      </c>
      <c r="H2425" t="s">
        <v>3455</v>
      </c>
      <c r="I2425" t="s">
        <v>3459</v>
      </c>
      <c r="J2425" s="1">
        <v>3</v>
      </c>
      <c r="K2425" s="1">
        <v>528.59860000000003</v>
      </c>
      <c r="L2425" s="1" t="str">
        <f>HYPERLINK("http://ms.phosphosite.org:5080/cgi-bin/plot-msms.cgi?MassType=1&amp;NumAxis=1&amp;Mod15=170&amp;Pep=KAEAGAGSATEFQFR&amp;Dta=/var/www/html/dta/yong/23612.8354.3.dta&amp;Global_Mod=CS57.0215", "8354")</f>
        <v>8354</v>
      </c>
      <c r="M2425" s="1" t="str">
        <f>HYPERLINK("http://ms.phosphosite.org:5080/cgi-bin/plot-msms.cgi?MassType=1&amp;NumAxis=1&amp;Mod15=170&amp;Pep=KAEAGAGSATEFQFR&amp;Dta=/var/www/html/dta/yong/23613.8396.3.dta&amp;Global_Mod=CS57.0215", "8396")</f>
        <v>8396</v>
      </c>
      <c r="N2425" s="27">
        <v>38.130000000000003</v>
      </c>
      <c r="O2425" s="27">
        <v>38.21</v>
      </c>
      <c r="P2425" s="27">
        <v>4.0579999999999998</v>
      </c>
      <c r="Q2425" s="27">
        <v>4.0039999999999996</v>
      </c>
      <c r="R2425" s="27">
        <v>0.62490000000000001</v>
      </c>
      <c r="S2425" s="27">
        <v>0.56189999999999996</v>
      </c>
      <c r="T2425" s="27">
        <v>0.19170000000000001</v>
      </c>
      <c r="U2425" s="27">
        <v>0.27339999999999998</v>
      </c>
      <c r="V2425" s="1">
        <v>1</v>
      </c>
      <c r="W2425" s="1">
        <v>1</v>
      </c>
      <c r="X2425" s="27">
        <v>1.59</v>
      </c>
      <c r="Y2425" s="27">
        <v>1.96</v>
      </c>
      <c r="Z2425" s="28">
        <v>1000</v>
      </c>
      <c r="AA2425" s="28">
        <v>1000</v>
      </c>
      <c r="AB2425" s="1" t="s">
        <v>13</v>
      </c>
    </row>
    <row r="2426" spans="1:28">
      <c r="A2426" t="s">
        <v>1109</v>
      </c>
      <c r="B2426" s="2" t="s">
        <v>3460</v>
      </c>
      <c r="C2426" t="s">
        <v>3460</v>
      </c>
      <c r="D2426" s="1">
        <v>26</v>
      </c>
      <c r="E2426" t="s">
        <v>3461</v>
      </c>
      <c r="F2426" s="3" t="s">
        <v>3462</v>
      </c>
      <c r="G2426" s="1">
        <v>31.3</v>
      </c>
      <c r="H2426" t="s">
        <v>3463</v>
      </c>
      <c r="I2426" t="s">
        <v>3464</v>
      </c>
      <c r="J2426" s="1">
        <v>2</v>
      </c>
      <c r="K2426" s="1">
        <v>513.26179999999999</v>
      </c>
      <c r="L2426" s="1" t="str">
        <f>HYPERLINK("http://ms.phosphosite.org:5080/cgi-bin/plot-msms.cgi?MassType=1&amp;NumAxis=1&amp;Mod4=170&amp;Pep=GGFRGGFGSGI&amp;Dta=/var/www/html/dta/yong/23612.10997.2.dta&amp;Global_Mod=CS57.0215", "10997")</f>
        <v>10997</v>
      </c>
      <c r="M2426" s="1" t="str">
        <f>HYPERLINK("http://ms.phosphosite.org:5080/cgi-bin/plot-msms.cgi?MassType=1&amp;NumAxis=1&amp;Mod4=170&amp;Pep=GGFRGGFGSGI&amp;Dta=/var/www/html/dta/yong/23613.11089.2.dta&amp;Global_Mod=CS57.0215", "11089")</f>
        <v>11089</v>
      </c>
      <c r="N2426" s="27">
        <v>47.45</v>
      </c>
      <c r="O2426" s="27">
        <v>47.5</v>
      </c>
      <c r="P2426" s="27">
        <v>2.5779999999999998</v>
      </c>
      <c r="Q2426" s="27">
        <v>2.577</v>
      </c>
      <c r="R2426" s="27">
        <v>0.1288</v>
      </c>
      <c r="S2426" s="27">
        <v>0.17380000000000001</v>
      </c>
      <c r="T2426" s="27">
        <v>0.12130000000000001</v>
      </c>
      <c r="U2426" s="27">
        <v>0.15079999999999999</v>
      </c>
      <c r="V2426" s="1">
        <v>1</v>
      </c>
      <c r="W2426" s="1">
        <v>1</v>
      </c>
      <c r="X2426" s="27">
        <v>0.9</v>
      </c>
      <c r="Y2426" s="27">
        <v>1.04</v>
      </c>
      <c r="Z2426" s="28">
        <v>1000</v>
      </c>
      <c r="AA2426" s="28">
        <v>1000</v>
      </c>
      <c r="AB2426" s="1" t="s">
        <v>13</v>
      </c>
    </row>
    <row r="2427" spans="1:28">
      <c r="A2427" t="s">
        <v>1117</v>
      </c>
      <c r="B2427" s="2" t="s">
        <v>3465</v>
      </c>
      <c r="C2427" t="s">
        <v>3466</v>
      </c>
      <c r="D2427" s="1">
        <v>89</v>
      </c>
      <c r="E2427" t="s">
        <v>3467</v>
      </c>
      <c r="F2427" s="3" t="s">
        <v>3468</v>
      </c>
      <c r="G2427" s="1">
        <v>59</v>
      </c>
      <c r="H2427" t="s">
        <v>3469</v>
      </c>
      <c r="I2427" t="s">
        <v>3470</v>
      </c>
      <c r="J2427" s="1">
        <v>4</v>
      </c>
      <c r="K2427" s="1">
        <v>620.79570000000001</v>
      </c>
      <c r="L2427" s="1" t="str">
        <f>HYPERLINK("http://ms.phosphosite.org:5080/cgi-bin/plot-msms.cgi?MassType=1&amp;NumAxis=1&amp;Mod5=170&amp;Pep=TPELRDDDFLGGAECSLGQIVSS&amp;Dta=/var/www/html/dta/yong/23612.12517.4.dta&amp;Global_Mod=CS57.0215", "12517")</f>
        <v>12517</v>
      </c>
      <c r="M2427" s="1"/>
      <c r="N2427" s="27">
        <v>52.59</v>
      </c>
      <c r="O2427" s="27"/>
      <c r="P2427" s="27">
        <v>2.4350000000000001</v>
      </c>
      <c r="Q2427" s="27"/>
      <c r="R2427" s="27">
        <v>-6.1528999999999998</v>
      </c>
      <c r="S2427" s="27"/>
      <c r="T2427" s="27">
        <v>0.16850000000000001</v>
      </c>
      <c r="U2427" s="27"/>
      <c r="V2427" s="1">
        <v>8</v>
      </c>
      <c r="W2427" s="1"/>
      <c r="X2427" s="27">
        <v>0.75</v>
      </c>
      <c r="Y2427" s="27"/>
      <c r="Z2427" s="28">
        <v>1000</v>
      </c>
      <c r="AA2427" s="28"/>
      <c r="AB2427" s="1" t="s">
        <v>13</v>
      </c>
    </row>
    <row r="2428" spans="1:28">
      <c r="A2428" t="s">
        <v>1129</v>
      </c>
      <c r="B2428" s="2" t="s">
        <v>3471</v>
      </c>
      <c r="C2428" t="s">
        <v>3472</v>
      </c>
      <c r="D2428" s="1">
        <v>1334</v>
      </c>
      <c r="E2428" t="s">
        <v>3473</v>
      </c>
      <c r="F2428" s="3" t="s">
        <v>3474</v>
      </c>
      <c r="G2428" s="1">
        <v>216.4</v>
      </c>
      <c r="H2428" t="s">
        <v>3475</v>
      </c>
      <c r="I2428" t="s">
        <v>3476</v>
      </c>
      <c r="J2428" s="1">
        <v>2</v>
      </c>
      <c r="K2428" s="1">
        <v>1404.6758</v>
      </c>
      <c r="L2428" s="1" t="str">
        <f>HYPERLINK("http://ms.phosphosite.org:5080/cgi-bin/plot-msms.cgi?MassType=1&amp;NumAxis=1&amp;Mod7=147&amp;Mod25=170&amp;Pep=GSNLIGMSDLNVPEQLYQYMVGGHR&amp;Dta=/var/www/html/dta/yong/23612.25001.2.dta&amp;Global_Mod=CS57.0215", "25001")</f>
        <v>25001</v>
      </c>
      <c r="M2428" s="1"/>
      <c r="N2428" s="27">
        <v>109.57</v>
      </c>
      <c r="O2428" s="27"/>
      <c r="P2428" s="27">
        <v>1.4890000000000001</v>
      </c>
      <c r="Q2428" s="27"/>
      <c r="R2428" s="27">
        <v>0.49530000000000002</v>
      </c>
      <c r="S2428" s="27"/>
      <c r="T2428" s="27">
        <v>0.20780000000000001</v>
      </c>
      <c r="U2428" s="27"/>
      <c r="V2428" s="1">
        <v>45</v>
      </c>
      <c r="W2428" s="1"/>
      <c r="X2428" s="27">
        <v>1.1299999999999999</v>
      </c>
      <c r="Y2428" s="27"/>
      <c r="Z2428" s="28">
        <v>1000</v>
      </c>
      <c r="AA2428" s="28"/>
      <c r="AB2428" s="1" t="s">
        <v>13</v>
      </c>
    </row>
    <row r="2429" spans="1:28">
      <c r="A2429" t="s">
        <v>1129</v>
      </c>
      <c r="B2429" s="29" t="s">
        <v>3477</v>
      </c>
      <c r="C2429" s="26" t="s">
        <v>3478</v>
      </c>
      <c r="D2429" s="1">
        <v>504</v>
      </c>
      <c r="E2429" t="s">
        <v>3479</v>
      </c>
      <c r="F2429" s="3" t="s">
        <v>3480</v>
      </c>
      <c r="G2429" s="1">
        <v>58.5</v>
      </c>
      <c r="H2429" t="s">
        <v>3481</v>
      </c>
      <c r="I2429" t="s">
        <v>3482</v>
      </c>
      <c r="J2429" s="1">
        <v>3</v>
      </c>
      <c r="K2429" s="1">
        <v>785.08519999999999</v>
      </c>
      <c r="L2429" s="1"/>
      <c r="M2429" s="1" t="str">
        <f>HYPERLINK("http://ms.phosphosite.org:5080/cgi-bin/plot-msms.cgi?MassType=1&amp;NumAxis=1&amp;Mod23=170&amp;Pep=FDPVGPLPGPNPILPGRGGPNDR&amp;Dta=/var/www/html/dta/yong/23613.14306.3.dta&amp;Global_Mod=CS57.0215", "14306")</f>
        <v>14306</v>
      </c>
      <c r="N2429" s="27"/>
      <c r="O2429" s="27">
        <v>58.69</v>
      </c>
      <c r="P2429" s="27"/>
      <c r="Q2429" s="27">
        <v>1.893</v>
      </c>
      <c r="R2429" s="27"/>
      <c r="S2429" s="27">
        <v>0.58950000000000002</v>
      </c>
      <c r="T2429" s="27"/>
      <c r="U2429" s="27">
        <v>0.14080000000000001</v>
      </c>
      <c r="V2429" s="1"/>
      <c r="W2429" s="1">
        <v>1</v>
      </c>
      <c r="X2429" s="27"/>
      <c r="Y2429" s="27">
        <v>0.74</v>
      </c>
      <c r="Z2429" s="28"/>
      <c r="AA2429" s="28">
        <v>1000</v>
      </c>
      <c r="AB2429" s="1" t="s">
        <v>13</v>
      </c>
    </row>
    <row r="2430" spans="1:28">
      <c r="A2430" t="s">
        <v>1129</v>
      </c>
      <c r="B2430" s="29" t="s">
        <v>3477</v>
      </c>
      <c r="C2430" s="26" t="s">
        <v>3478</v>
      </c>
      <c r="D2430" s="1">
        <v>498</v>
      </c>
      <c r="E2430" t="s">
        <v>3479</v>
      </c>
      <c r="F2430" s="3" t="s">
        <v>3480</v>
      </c>
      <c r="G2430" s="1">
        <v>58.5</v>
      </c>
      <c r="H2430" t="s">
        <v>3481</v>
      </c>
      <c r="I2430" t="s">
        <v>3483</v>
      </c>
      <c r="J2430" s="1">
        <v>3</v>
      </c>
      <c r="K2430" s="1">
        <v>785.08519999999999</v>
      </c>
      <c r="L2430" s="1" t="str">
        <f>HYPERLINK("http://ms.phosphosite.org:5080/cgi-bin/plot-msms.cgi?MassType=1&amp;NumAxis=1&amp;Mod17=170&amp;Pep=FDPVGPLPGPNPILPGRGGPNDR&amp;Dta=/var/www/html/dta/yong/23612.14256.3.dta&amp;Global_Mod=CS57.0215", "14256")</f>
        <v>14256</v>
      </c>
      <c r="M2430" s="1"/>
      <c r="N2430" s="27">
        <v>58.8</v>
      </c>
      <c r="O2430" s="27"/>
      <c r="P2430" s="27">
        <v>2.1520000000000001</v>
      </c>
      <c r="Q2430" s="27"/>
      <c r="R2430" s="27">
        <v>0.93930000000000002</v>
      </c>
      <c r="S2430" s="27"/>
      <c r="T2430" s="27">
        <v>0.19450000000000001</v>
      </c>
      <c r="U2430" s="27"/>
      <c r="V2430" s="1">
        <v>9</v>
      </c>
      <c r="W2430" s="1"/>
      <c r="X2430" s="27">
        <v>1.0900000000000001</v>
      </c>
      <c r="Y2430" s="27"/>
      <c r="Z2430" s="28">
        <v>1000</v>
      </c>
      <c r="AA2430" s="28"/>
      <c r="AB2430" s="1" t="s">
        <v>13</v>
      </c>
    </row>
    <row r="2431" spans="1:28">
      <c r="A2431" t="s">
        <v>1157</v>
      </c>
      <c r="B2431" s="29" t="s">
        <v>3484</v>
      </c>
      <c r="C2431" s="26" t="s">
        <v>3485</v>
      </c>
      <c r="D2431" s="1">
        <v>452</v>
      </c>
      <c r="E2431" t="s">
        <v>1164</v>
      </c>
      <c r="F2431" s="3" t="s">
        <v>3486</v>
      </c>
      <c r="G2431" s="1">
        <v>69.3</v>
      </c>
      <c r="H2431" t="s">
        <v>3487</v>
      </c>
      <c r="I2431" t="s">
        <v>1165</v>
      </c>
      <c r="J2431" s="1">
        <v>3</v>
      </c>
      <c r="K2431" s="1">
        <v>547.30529999999999</v>
      </c>
      <c r="L2431" s="1" t="str">
        <f>HYPERLINK("http://ms.phosphosite.org:5080/cgi-bin/plot-msms.cgi?MassType=1&amp;NumAxis=1&amp;Mod14=170&amp;Pep=VPQVSTPTLVEVSRN&amp;Dta=/var/www/html/dta/yong/23612.9686.3.dta&amp;Global_Mod=CS57.0215", "9686")</f>
        <v>9686</v>
      </c>
      <c r="M2431" s="1" t="str">
        <f>HYPERLINK("http://ms.phosphosite.org:5080/cgi-bin/plot-msms.cgi?MassType=1&amp;NumAxis=1&amp;Mod14=170&amp;Pep=VPQVSTPTLVEVSRN&amp;Dta=/var/www/html/dta/yong/23613.9736.3.dta&amp;Global_Mod=CS57.0215", "9736")</f>
        <v>9736</v>
      </c>
      <c r="N2431" s="27">
        <v>42.89</v>
      </c>
      <c r="O2431" s="27">
        <v>42.9</v>
      </c>
      <c r="P2431" s="27">
        <v>2.98</v>
      </c>
      <c r="Q2431" s="27">
        <v>2.8769999999999998</v>
      </c>
      <c r="R2431" s="27">
        <v>22.5672</v>
      </c>
      <c r="S2431" s="27">
        <v>22.423100000000002</v>
      </c>
      <c r="T2431" s="27">
        <v>0.33960000000000001</v>
      </c>
      <c r="U2431" s="27">
        <v>0.2979</v>
      </c>
      <c r="V2431" s="1">
        <v>1</v>
      </c>
      <c r="W2431" s="1">
        <v>1</v>
      </c>
      <c r="X2431" s="27">
        <v>1.34</v>
      </c>
      <c r="Y2431" s="27">
        <v>1.04</v>
      </c>
      <c r="Z2431" s="28">
        <v>1000</v>
      </c>
      <c r="AA2431" s="28">
        <v>1000</v>
      </c>
      <c r="AB2431" s="1" t="s">
        <v>13</v>
      </c>
    </row>
    <row r="2432" spans="1:28">
      <c r="A2432" t="s">
        <v>1157</v>
      </c>
      <c r="B2432" s="2" t="s">
        <v>1166</v>
      </c>
      <c r="C2432" t="s">
        <v>1166</v>
      </c>
      <c r="D2432" s="1">
        <v>202</v>
      </c>
      <c r="E2432" t="s">
        <v>1167</v>
      </c>
      <c r="F2432" s="3" t="s">
        <v>3488</v>
      </c>
      <c r="G2432" s="1">
        <v>26.9</v>
      </c>
      <c r="H2432" t="s">
        <v>3489</v>
      </c>
      <c r="I2432" t="s">
        <v>3490</v>
      </c>
      <c r="J2432" s="1">
        <v>4</v>
      </c>
      <c r="K2432" s="1">
        <v>365.69409999999999</v>
      </c>
      <c r="L2432" s="1"/>
      <c r="M2432" s="1" t="str">
        <f>HYPERLINK("http://ms.phosphosite.org:5080/cgi-bin/plot-msms.cgi?MassType=1&amp;NumAxis=1&amp;Mod11=147&amp;Mod13=170&amp;Pep=RPAQSVNRGGMTR&amp;Dta=/var/www/html/dta/yong/23613.1004.4.dta&amp;Global_Mod=CS57.0215", "1004")</f>
        <v>1004</v>
      </c>
      <c r="N2432" s="27"/>
      <c r="O2432" s="27">
        <v>10.43</v>
      </c>
      <c r="P2432" s="27"/>
      <c r="Q2432" s="27">
        <v>1.744</v>
      </c>
      <c r="R2432" s="27"/>
      <c r="S2432" s="27">
        <v>0.34939999999999999</v>
      </c>
      <c r="T2432" s="27"/>
      <c r="U2432" s="27">
        <v>0.11459999999999999</v>
      </c>
      <c r="V2432" s="1"/>
      <c r="W2432" s="1">
        <v>320</v>
      </c>
      <c r="X2432" s="27"/>
      <c r="Y2432" s="27">
        <v>0.87</v>
      </c>
      <c r="Z2432" s="28"/>
      <c r="AA2432" s="28">
        <v>34</v>
      </c>
      <c r="AB2432" s="1" t="s">
        <v>13</v>
      </c>
    </row>
    <row r="2433" spans="1:28">
      <c r="A2433" t="s">
        <v>1157</v>
      </c>
      <c r="B2433" s="2" t="s">
        <v>1166</v>
      </c>
      <c r="C2433" t="s">
        <v>1166</v>
      </c>
      <c r="D2433" s="1">
        <v>38</v>
      </c>
      <c r="E2433" t="s">
        <v>1167</v>
      </c>
      <c r="F2433" s="3" t="s">
        <v>3488</v>
      </c>
      <c r="G2433" s="1">
        <v>26.9</v>
      </c>
      <c r="H2433" t="s">
        <v>3491</v>
      </c>
      <c r="I2433" t="s">
        <v>3492</v>
      </c>
      <c r="J2433" s="1">
        <v>2</v>
      </c>
      <c r="K2433" s="1">
        <v>693.35329999999999</v>
      </c>
      <c r="L2433" s="1" t="str">
        <f>HYPERLINK("http://ms.phosphosite.org:5080/cgi-bin/plot-msms.cgi?MassType=1&amp;NumAxis=1&amp;Mod7=170&amp;Pep=AGSQGGRGGGAQAAAR&amp;Dta=/var/www/html/dta/yong/23612.926.2.dta&amp;Global_Mod=CS57.0215", "926")</f>
        <v>926</v>
      </c>
      <c r="M2433" s="1"/>
      <c r="N2433" s="27">
        <v>10.29</v>
      </c>
      <c r="O2433" s="27"/>
      <c r="P2433" s="27">
        <v>2.7709999999999999</v>
      </c>
      <c r="Q2433" s="27"/>
      <c r="R2433" s="27">
        <v>0.80469999999999997</v>
      </c>
      <c r="S2433" s="27"/>
      <c r="T2433" s="27">
        <v>0.1404</v>
      </c>
      <c r="U2433" s="27"/>
      <c r="V2433" s="1">
        <v>1</v>
      </c>
      <c r="W2433" s="1"/>
      <c r="X2433" s="27">
        <v>1.21</v>
      </c>
      <c r="Y2433" s="27"/>
      <c r="Z2433" s="28">
        <v>1000</v>
      </c>
      <c r="AA2433" s="28"/>
      <c r="AB2433" s="1" t="s">
        <v>13</v>
      </c>
    </row>
    <row r="2434" spans="1:28">
      <c r="A2434" t="s">
        <v>1157</v>
      </c>
      <c r="B2434" s="2" t="s">
        <v>1166</v>
      </c>
      <c r="C2434" t="s">
        <v>1166</v>
      </c>
      <c r="D2434" s="1">
        <v>38</v>
      </c>
      <c r="E2434" t="s">
        <v>1167</v>
      </c>
      <c r="F2434" s="3" t="s">
        <v>3488</v>
      </c>
      <c r="G2434" s="1">
        <v>26.9</v>
      </c>
      <c r="H2434" t="s">
        <v>3491</v>
      </c>
      <c r="I2434" t="s">
        <v>3492</v>
      </c>
      <c r="J2434" s="1">
        <v>3</v>
      </c>
      <c r="K2434" s="1">
        <v>462.57130000000001</v>
      </c>
      <c r="L2434" s="1"/>
      <c r="M2434" s="1" t="str">
        <f>HYPERLINK("http://ms.phosphosite.org:5080/cgi-bin/plot-msms.cgi?MassType=1&amp;NumAxis=1&amp;Mod7=170&amp;Pep=AGSQGGRGGGAQAAAR&amp;Dta=/var/www/html/dta/yong/23613.939.3.dta&amp;Global_Mod=CS57.0215", "939")</f>
        <v>939</v>
      </c>
      <c r="N2434" s="27"/>
      <c r="O2434" s="27">
        <v>10.17</v>
      </c>
      <c r="P2434" s="27"/>
      <c r="Q2434" s="27">
        <v>1.9079999999999999</v>
      </c>
      <c r="R2434" s="27"/>
      <c r="S2434" s="27">
        <v>0.41930000000000001</v>
      </c>
      <c r="T2434" s="27"/>
      <c r="U2434" s="27">
        <v>0.15679999999999999</v>
      </c>
      <c r="V2434" s="1"/>
      <c r="W2434" s="1">
        <v>189</v>
      </c>
      <c r="X2434" s="27"/>
      <c r="Y2434" s="27">
        <v>1.1000000000000001</v>
      </c>
      <c r="Z2434" s="28"/>
      <c r="AA2434" s="28">
        <v>1000</v>
      </c>
      <c r="AB2434" s="1" t="s">
        <v>13</v>
      </c>
    </row>
    <row r="2435" spans="1:28">
      <c r="A2435" t="s">
        <v>1157</v>
      </c>
      <c r="B2435" s="2" t="s">
        <v>1166</v>
      </c>
      <c r="C2435" t="s">
        <v>1166</v>
      </c>
      <c r="D2435" s="1" t="s">
        <v>3493</v>
      </c>
      <c r="E2435" t="s">
        <v>1167</v>
      </c>
      <c r="F2435" s="3" t="s">
        <v>3488</v>
      </c>
      <c r="G2435" s="1">
        <v>26.9</v>
      </c>
      <c r="H2435" t="s">
        <v>3494</v>
      </c>
      <c r="I2435" t="s">
        <v>3495</v>
      </c>
      <c r="J2435" s="1">
        <v>3</v>
      </c>
      <c r="K2435" s="1">
        <v>464.60410000000002</v>
      </c>
      <c r="L2435" s="1"/>
      <c r="M2435" s="1" t="str">
        <f>HYPERLINK("http://ms.phosphosite.org:5080/cgi-bin/plot-msms.cgi?MassType=1&amp;NumAxis=1&amp;Mod3=170&amp;Mod9=170&amp;Pep=VNRGGGPIRNRPA&amp;Dta=/var/www/html/dta/yong/23613.1991.3.dta&amp;Global_Mod=CS57.0215", "1991")</f>
        <v>1991</v>
      </c>
      <c r="N2435" s="27"/>
      <c r="O2435" s="27">
        <v>14.19</v>
      </c>
      <c r="P2435" s="27"/>
      <c r="Q2435" s="27">
        <v>1.9910000000000001</v>
      </c>
      <c r="R2435" s="27"/>
      <c r="S2435" s="27">
        <v>-0.27600000000000002</v>
      </c>
      <c r="T2435" s="27"/>
      <c r="U2435" s="27">
        <v>0.20219999999999999</v>
      </c>
      <c r="V2435" s="1"/>
      <c r="W2435" s="1">
        <v>107</v>
      </c>
      <c r="X2435" s="27"/>
      <c r="Y2435" s="27">
        <v>1.2</v>
      </c>
      <c r="Z2435" s="28"/>
      <c r="AA2435" s="28" t="s">
        <v>3496</v>
      </c>
      <c r="AB2435" s="1" t="s">
        <v>13</v>
      </c>
    </row>
    <row r="2436" spans="1:28">
      <c r="A2436" t="s">
        <v>1157</v>
      </c>
      <c r="B2436" s="2" t="s">
        <v>1166</v>
      </c>
      <c r="C2436" t="s">
        <v>1166</v>
      </c>
      <c r="D2436" s="1">
        <v>197</v>
      </c>
      <c r="E2436" t="s">
        <v>1167</v>
      </c>
      <c r="F2436" s="3" t="s">
        <v>3488</v>
      </c>
      <c r="G2436" s="1">
        <v>26.9</v>
      </c>
      <c r="H2436" t="s">
        <v>3489</v>
      </c>
      <c r="I2436" t="s">
        <v>3497</v>
      </c>
      <c r="J2436" s="1">
        <v>2</v>
      </c>
      <c r="K2436" s="1">
        <v>595.8066</v>
      </c>
      <c r="L2436" s="1" t="str">
        <f>HYPERLINK("http://ms.phosphosite.org:5080/cgi-bin/plot-msms.cgi?MassType=1&amp;NumAxis=1&amp;Mod6=170&amp;Pep=AQSVNRGGMTR&amp;Dta=/var/www/html/dta/yong/23612.1825.2.dta&amp;Global_Mod=CS57.0215", "1825")</f>
        <v>1825</v>
      </c>
      <c r="M2436" s="1" t="str">
        <f>HYPERLINK("http://ms.phosphosite.org:5080/cgi-bin/plot-msms.cgi?MassType=1&amp;NumAxis=1&amp;Mod6=170&amp;Pep=AQSVNRGGMTR&amp;Dta=/var/www/html/dta/yong/23613.1845.2.dta&amp;Global_Mod=CS57.0215", "1845")</f>
        <v>1845</v>
      </c>
      <c r="N2436" s="27">
        <v>13.74</v>
      </c>
      <c r="O2436" s="27">
        <v>13.64</v>
      </c>
      <c r="P2436" s="27">
        <v>2.234</v>
      </c>
      <c r="Q2436" s="27">
        <v>2.4620000000000002</v>
      </c>
      <c r="R2436" s="27">
        <v>0.13139999999999999</v>
      </c>
      <c r="S2436" s="27">
        <v>0.5897</v>
      </c>
      <c r="T2436" s="27">
        <v>0.1333</v>
      </c>
      <c r="U2436" s="27">
        <v>0.21160000000000001</v>
      </c>
      <c r="V2436" s="1">
        <v>27</v>
      </c>
      <c r="W2436" s="1">
        <v>1</v>
      </c>
      <c r="X2436" s="27">
        <v>1.1200000000000001</v>
      </c>
      <c r="Y2436" s="27">
        <v>1.6</v>
      </c>
      <c r="Z2436" s="28">
        <v>1000</v>
      </c>
      <c r="AA2436" s="28">
        <v>1000</v>
      </c>
      <c r="AB2436" s="1" t="s">
        <v>13</v>
      </c>
    </row>
    <row r="2437" spans="1:28">
      <c r="A2437" t="s">
        <v>1157</v>
      </c>
      <c r="B2437" s="2" t="s">
        <v>1166</v>
      </c>
      <c r="C2437" t="s">
        <v>1166</v>
      </c>
      <c r="D2437" s="1">
        <v>197</v>
      </c>
      <c r="E2437" t="s">
        <v>1167</v>
      </c>
      <c r="F2437" s="3" t="s">
        <v>3488</v>
      </c>
      <c r="G2437" s="1">
        <v>26.9</v>
      </c>
      <c r="H2437" t="s">
        <v>3498</v>
      </c>
      <c r="I2437" t="s">
        <v>3499</v>
      </c>
      <c r="J2437" s="1">
        <v>2</v>
      </c>
      <c r="K2437" s="1">
        <v>471.26740000000001</v>
      </c>
      <c r="L2437" s="1" t="str">
        <f>HYPERLINK("http://ms.phosphosite.org:5080/cgi-bin/plot-msms.cgi?MassType=1&amp;NumAxis=1&amp;Mod8=170&amp;Pep=RPAQSVNR&amp;Dta=/var/www/html/dta/yong/23612.963.2.dta&amp;Global_Mod=CS57.0215", "963")</f>
        <v>963</v>
      </c>
      <c r="M2437" s="1" t="str">
        <f>HYPERLINK("http://ms.phosphosite.org:5080/cgi-bin/plot-msms.cgi?MassType=1&amp;NumAxis=1&amp;Mod8=170&amp;Pep=RPAQSVNR&amp;Dta=/var/www/html/dta/yong/23613.977.2.dta&amp;Global_Mod=CS57.0215", "977")</f>
        <v>977</v>
      </c>
      <c r="N2437" s="27">
        <v>10.45</v>
      </c>
      <c r="O2437" s="27">
        <v>10.33</v>
      </c>
      <c r="P2437" s="27">
        <v>3.0569999999999999</v>
      </c>
      <c r="Q2437" s="27">
        <v>2.59</v>
      </c>
      <c r="R2437" s="27">
        <v>0.2114</v>
      </c>
      <c r="S2437" s="27">
        <v>0.17510000000000001</v>
      </c>
      <c r="T2437" s="27">
        <v>2.3E-3</v>
      </c>
      <c r="U2437" s="27">
        <v>8.0000000000000004E-4</v>
      </c>
      <c r="V2437" s="1">
        <v>1</v>
      </c>
      <c r="W2437" s="1">
        <v>1</v>
      </c>
      <c r="X2437" s="27">
        <v>0.88</v>
      </c>
      <c r="Y2437" s="27">
        <v>0.8</v>
      </c>
      <c r="Z2437" s="28">
        <v>1000</v>
      </c>
      <c r="AA2437" s="28">
        <v>1000</v>
      </c>
      <c r="AB2437" s="1" t="s">
        <v>13</v>
      </c>
    </row>
    <row r="2438" spans="1:28">
      <c r="A2438" t="s">
        <v>1157</v>
      </c>
      <c r="B2438" s="2" t="s">
        <v>1166</v>
      </c>
      <c r="C2438" t="s">
        <v>1166</v>
      </c>
      <c r="D2438" s="1">
        <v>197</v>
      </c>
      <c r="E2438" t="s">
        <v>1167</v>
      </c>
      <c r="F2438" s="3" t="s">
        <v>3488</v>
      </c>
      <c r="G2438" s="1">
        <v>26.9</v>
      </c>
      <c r="H2438" t="s">
        <v>3489</v>
      </c>
      <c r="I2438" t="s">
        <v>3500</v>
      </c>
      <c r="J2438" s="1">
        <v>2</v>
      </c>
      <c r="K2438" s="1">
        <v>593.80909999999994</v>
      </c>
      <c r="L2438" s="1" t="str">
        <f>HYPERLINK("http://ms.phosphosite.org:5080/cgi-bin/plot-msms.cgi?MassType=1&amp;NumAxis=1&amp;Mod8=170&amp;Pep=RPAQSVNRGGM&amp;Dta=/var/www/html/dta/yong/23612.2367.2.dta&amp;Global_Mod=CS57.0215", "2367")</f>
        <v>2367</v>
      </c>
      <c r="M2438" s="1" t="str">
        <f>HYPERLINK("http://ms.phosphosite.org:5080/cgi-bin/plot-msms.cgi?MassType=1&amp;NumAxis=1&amp;Mod8=170&amp;Pep=RPAQSVNRGGM&amp;Dta=/var/www/html/dta/yong/23613.2413.2.dta&amp;Global_Mod=CS57.0215", "2413")</f>
        <v>2413</v>
      </c>
      <c r="N2438" s="27">
        <v>15.79</v>
      </c>
      <c r="O2438" s="27">
        <v>15.81</v>
      </c>
      <c r="P2438" s="27">
        <v>2.4980000000000002</v>
      </c>
      <c r="Q2438" s="27">
        <v>2.133</v>
      </c>
      <c r="R2438" s="27">
        <v>0.83340000000000003</v>
      </c>
      <c r="S2438" s="27">
        <v>0.64810000000000001</v>
      </c>
      <c r="T2438" s="27">
        <v>0.26279999999999998</v>
      </c>
      <c r="U2438" s="27">
        <v>0.19159999999999999</v>
      </c>
      <c r="V2438" s="1">
        <v>2</v>
      </c>
      <c r="W2438" s="1">
        <v>3</v>
      </c>
      <c r="X2438" s="27">
        <v>1.82</v>
      </c>
      <c r="Y2438" s="27">
        <v>1.43</v>
      </c>
      <c r="Z2438" s="28">
        <v>68</v>
      </c>
      <c r="AA2438" s="28">
        <v>98</v>
      </c>
      <c r="AB2438" s="1" t="s">
        <v>13</v>
      </c>
    </row>
    <row r="2439" spans="1:28">
      <c r="A2439" t="s">
        <v>1157</v>
      </c>
      <c r="B2439" s="2" t="s">
        <v>1166</v>
      </c>
      <c r="C2439" t="s">
        <v>1166</v>
      </c>
      <c r="D2439" s="1">
        <v>197</v>
      </c>
      <c r="E2439" t="s">
        <v>1167</v>
      </c>
      <c r="F2439" s="3" t="s">
        <v>3488</v>
      </c>
      <c r="G2439" s="1">
        <v>26.9</v>
      </c>
      <c r="H2439" t="s">
        <v>3489</v>
      </c>
      <c r="I2439" t="s">
        <v>3501</v>
      </c>
      <c r="J2439" s="1">
        <v>2</v>
      </c>
      <c r="K2439" s="1">
        <v>722.38350000000003</v>
      </c>
      <c r="L2439" s="1" t="str">
        <f>HYPERLINK("http://ms.phosphosite.org:5080/cgi-bin/plot-msms.cgi?MassType=1&amp;NumAxis=1&amp;Mod8=170&amp;Pep=RPAQSVNRGGMTR&amp;Dta=/var/www/html/dta/yong/23612.1707.2.dta&amp;Global_Mod=CS57.0215", "1707")</f>
        <v>1707</v>
      </c>
      <c r="M2439" s="1"/>
      <c r="N2439" s="27">
        <v>13.27</v>
      </c>
      <c r="O2439" s="27"/>
      <c r="P2439" s="27">
        <v>2.1890000000000001</v>
      </c>
      <c r="Q2439" s="27"/>
      <c r="R2439" s="27">
        <v>1.0868</v>
      </c>
      <c r="S2439" s="27"/>
      <c r="T2439" s="27">
        <v>0.1711</v>
      </c>
      <c r="U2439" s="27"/>
      <c r="V2439" s="1">
        <v>1</v>
      </c>
      <c r="W2439" s="1"/>
      <c r="X2439" s="27">
        <v>1.27</v>
      </c>
      <c r="Y2439" s="27"/>
      <c r="Z2439" s="28">
        <v>55</v>
      </c>
      <c r="AA2439" s="28"/>
      <c r="AB2439" s="1" t="s">
        <v>13</v>
      </c>
    </row>
    <row r="2440" spans="1:28">
      <c r="A2440" t="s">
        <v>1157</v>
      </c>
      <c r="B2440" s="2" t="s">
        <v>1166</v>
      </c>
      <c r="C2440" t="s">
        <v>1166</v>
      </c>
      <c r="D2440" s="1">
        <v>197</v>
      </c>
      <c r="E2440" t="s">
        <v>1167</v>
      </c>
      <c r="F2440" s="3" t="s">
        <v>3488</v>
      </c>
      <c r="G2440" s="1">
        <v>26.9</v>
      </c>
      <c r="H2440" t="s">
        <v>3489</v>
      </c>
      <c r="I2440" t="s">
        <v>3501</v>
      </c>
      <c r="J2440" s="1">
        <v>3</v>
      </c>
      <c r="K2440" s="1">
        <v>481.9248</v>
      </c>
      <c r="L2440" s="1" t="str">
        <f>HYPERLINK("http://ms.phosphosite.org:5080/cgi-bin/plot-msms.cgi?MassType=1&amp;NumAxis=1&amp;Mod8=170&amp;Pep=RPAQSVNRGGMTR&amp;Dta=/var/www/html/dta/yong/23612.1703.3.dta&amp;Global_Mod=CS57.0215", "1703")</f>
        <v>1703</v>
      </c>
      <c r="M2440" s="1" t="str">
        <f>HYPERLINK("http://ms.phosphosite.org:5080/cgi-bin/plot-msms.cgi?MassType=1&amp;NumAxis=1&amp;Mod8=170&amp;Pep=RPAQSVNRGGMTR&amp;Dta=/var/www/html/dta/yong/23613.1731.3.dta&amp;Global_Mod=CS57.0215", "1731")</f>
        <v>1731</v>
      </c>
      <c r="N2440" s="27">
        <v>13.26</v>
      </c>
      <c r="O2440" s="27">
        <v>13.22</v>
      </c>
      <c r="P2440" s="27">
        <v>2.262</v>
      </c>
      <c r="Q2440" s="27">
        <v>2.9</v>
      </c>
      <c r="R2440" s="27">
        <v>0.4395</v>
      </c>
      <c r="S2440" s="27">
        <v>0.34200000000000003</v>
      </c>
      <c r="T2440" s="27">
        <v>0.1918</v>
      </c>
      <c r="U2440" s="27">
        <v>0.252</v>
      </c>
      <c r="V2440" s="1">
        <v>1</v>
      </c>
      <c r="W2440" s="1">
        <v>1</v>
      </c>
      <c r="X2440" s="27">
        <v>1.48</v>
      </c>
      <c r="Y2440" s="27">
        <v>1.91</v>
      </c>
      <c r="Z2440" s="28">
        <v>12</v>
      </c>
      <c r="AA2440" s="28">
        <v>40</v>
      </c>
      <c r="AB2440" s="1" t="s">
        <v>13</v>
      </c>
    </row>
    <row r="2441" spans="1:28">
      <c r="A2441" t="s">
        <v>1157</v>
      </c>
      <c r="B2441" s="2" t="s">
        <v>1166</v>
      </c>
      <c r="C2441" t="s">
        <v>1166</v>
      </c>
      <c r="D2441" s="1">
        <v>204</v>
      </c>
      <c r="E2441" t="s">
        <v>1167</v>
      </c>
      <c r="F2441" s="3" t="s">
        <v>3488</v>
      </c>
      <c r="G2441" s="1">
        <v>26.9</v>
      </c>
      <c r="H2441" t="s">
        <v>1168</v>
      </c>
      <c r="I2441" t="s">
        <v>3502</v>
      </c>
      <c r="J2441" s="1">
        <v>2</v>
      </c>
      <c r="K2441" s="1">
        <v>617.80539999999996</v>
      </c>
      <c r="L2441" s="1" t="str">
        <f>HYPERLINK("http://ms.phosphosite.org:5080/cgi-bin/plot-msms.cgi?MassType=1&amp;NumAxis=1&amp;Mod2=170&amp;Pep=NRGAGGFGGGGGTR&amp;Dta=/var/www/html/dta/yong/23612.2224.2.dta&amp;Global_Mod=CS57.0215", "2224")</f>
        <v>2224</v>
      </c>
      <c r="M2441" s="1" t="str">
        <f>HYPERLINK("http://ms.phosphosite.org:5080/cgi-bin/plot-msms.cgi?MassType=1&amp;NumAxis=1&amp;Mod2=170&amp;Pep=NRGAGGFGGGGGTR&amp;Dta=/var/www/html/dta/yong/23613.2247.2.dta&amp;Global_Mod=CS57.0215", "2247")</f>
        <v>2247</v>
      </c>
      <c r="N2441" s="27">
        <v>15.24</v>
      </c>
      <c r="O2441" s="27">
        <v>15.16</v>
      </c>
      <c r="P2441" s="27">
        <v>3.536</v>
      </c>
      <c r="Q2441" s="27">
        <v>3.589</v>
      </c>
      <c r="R2441" s="27">
        <v>0.6845</v>
      </c>
      <c r="S2441" s="27">
        <v>0.3972</v>
      </c>
      <c r="T2441" s="27">
        <v>0.3342</v>
      </c>
      <c r="U2441" s="27">
        <v>0.31340000000000001</v>
      </c>
      <c r="V2441" s="1">
        <v>1</v>
      </c>
      <c r="W2441" s="1">
        <v>1</v>
      </c>
      <c r="X2441" s="27">
        <v>2.35</v>
      </c>
      <c r="Y2441" s="27">
        <v>2.2999999999999998</v>
      </c>
      <c r="Z2441" s="28">
        <v>1000</v>
      </c>
      <c r="AA2441" s="28">
        <v>1000</v>
      </c>
      <c r="AB2441" s="1" t="s">
        <v>13</v>
      </c>
    </row>
    <row r="2442" spans="1:28">
      <c r="A2442" t="s">
        <v>1157</v>
      </c>
      <c r="B2442" s="2" t="s">
        <v>1166</v>
      </c>
      <c r="C2442" t="s">
        <v>1166</v>
      </c>
      <c r="D2442" s="1">
        <v>204</v>
      </c>
      <c r="E2442" t="s">
        <v>1167</v>
      </c>
      <c r="F2442" s="3" t="s">
        <v>3488</v>
      </c>
      <c r="G2442" s="1">
        <v>26.9</v>
      </c>
      <c r="H2442" t="s">
        <v>1168</v>
      </c>
      <c r="I2442" t="s">
        <v>3502</v>
      </c>
      <c r="J2442" s="1">
        <v>3</v>
      </c>
      <c r="K2442" s="1">
        <v>412.20600000000002</v>
      </c>
      <c r="L2442" s="1"/>
      <c r="M2442" s="1" t="str">
        <f>HYPERLINK("http://ms.phosphosite.org:5080/cgi-bin/plot-msms.cgi?MassType=1&amp;NumAxis=1&amp;Mod2=170&amp;Pep=NRGAGGFGGGGGTR&amp;Dta=/var/www/html/dta/yong/23613.2261.3.dta&amp;Global_Mod=CS57.0215", "2261")</f>
        <v>2261</v>
      </c>
      <c r="N2442" s="27"/>
      <c r="O2442" s="27">
        <v>15.22</v>
      </c>
      <c r="P2442" s="27"/>
      <c r="Q2442" s="27">
        <v>3.2949999999999999</v>
      </c>
      <c r="R2442" s="27"/>
      <c r="S2442" s="27">
        <v>0.40889999999999999</v>
      </c>
      <c r="T2442" s="27"/>
      <c r="U2442" s="27">
        <v>8.7499999999999994E-2</v>
      </c>
      <c r="V2442" s="1"/>
      <c r="W2442" s="1">
        <v>6</v>
      </c>
      <c r="X2442" s="27"/>
      <c r="Y2442" s="27">
        <v>1.17</v>
      </c>
      <c r="Z2442" s="28"/>
      <c r="AA2442" s="28">
        <v>1000</v>
      </c>
      <c r="AB2442" s="1" t="s">
        <v>13</v>
      </c>
    </row>
    <row r="2443" spans="1:28">
      <c r="A2443" t="s">
        <v>1157</v>
      </c>
      <c r="B2443" s="2" t="s">
        <v>1166</v>
      </c>
      <c r="C2443" t="s">
        <v>1166</v>
      </c>
      <c r="D2443" s="1">
        <v>50</v>
      </c>
      <c r="E2443" t="s">
        <v>1167</v>
      </c>
      <c r="F2443" s="3" t="s">
        <v>3488</v>
      </c>
      <c r="G2443" s="1">
        <v>26.9</v>
      </c>
      <c r="H2443" t="s">
        <v>3503</v>
      </c>
      <c r="I2443" t="s">
        <v>3504</v>
      </c>
      <c r="J2443" s="1">
        <v>3</v>
      </c>
      <c r="K2443" s="1">
        <v>313.85430000000002</v>
      </c>
      <c r="L2443" s="1" t="str">
        <f>HYPERLINK("http://ms.phosphosite.org:5080/cgi-bin/plot-msms.cgi?MassType=1&amp;NumAxis=1&amp;Mod3=170&amp;Pep=VNRGGGPIR&amp;Dta=/var/www/html/dta/yong/23612.1758.3.dta&amp;Global_Mod=CS57.0215", "1758")</f>
        <v>1758</v>
      </c>
      <c r="M2443" s="1" t="str">
        <f>HYPERLINK("http://ms.phosphosite.org:5080/cgi-bin/plot-msms.cgi?MassType=1&amp;NumAxis=1&amp;Mod3=170&amp;Pep=VNRGGGPIR&amp;Dta=/var/www/html/dta/yong/23613.1791.3.dta&amp;Global_Mod=CS57.0215", "1791")</f>
        <v>1791</v>
      </c>
      <c r="N2443" s="27">
        <v>13.49</v>
      </c>
      <c r="O2443" s="27">
        <v>13.45</v>
      </c>
      <c r="P2443" s="27">
        <v>1.9510000000000001</v>
      </c>
      <c r="Q2443" s="27">
        <v>2.6669999999999998</v>
      </c>
      <c r="R2443" s="27">
        <v>0.6905</v>
      </c>
      <c r="S2443" s="27">
        <v>0.62209999999999999</v>
      </c>
      <c r="T2443" s="27">
        <v>0.10050000000000001</v>
      </c>
      <c r="U2443" s="27">
        <v>0.1525</v>
      </c>
      <c r="V2443" s="1">
        <v>1</v>
      </c>
      <c r="W2443" s="1">
        <v>1</v>
      </c>
      <c r="X2443" s="27">
        <v>1</v>
      </c>
      <c r="Y2443" s="27">
        <v>1.41</v>
      </c>
      <c r="Z2443" s="28">
        <v>1000</v>
      </c>
      <c r="AA2443" s="28">
        <v>1000</v>
      </c>
      <c r="AB2443" s="1" t="s">
        <v>13</v>
      </c>
    </row>
    <row r="2444" spans="1:28">
      <c r="A2444" t="s">
        <v>1157</v>
      </c>
      <c r="B2444" s="2" t="s">
        <v>3505</v>
      </c>
      <c r="C2444" t="s">
        <v>3506</v>
      </c>
      <c r="D2444" s="1">
        <v>177</v>
      </c>
      <c r="E2444" t="s">
        <v>3507</v>
      </c>
      <c r="F2444" s="3" t="s">
        <v>3508</v>
      </c>
      <c r="G2444" s="1">
        <v>21.6</v>
      </c>
      <c r="H2444" t="s">
        <v>3509</v>
      </c>
      <c r="I2444" t="s">
        <v>3510</v>
      </c>
      <c r="J2444" s="1">
        <v>3</v>
      </c>
      <c r="K2444" s="1">
        <v>780.41340000000002</v>
      </c>
      <c r="L2444" s="1"/>
      <c r="M2444" s="1" t="str">
        <f>HYPERLINK("http://ms.phosphosite.org:5080/cgi-bin/plot-msms.cgi?MassType=1&amp;NumAxis=1&amp;Mod23=170&amp;Pep=PAGPQLFLPDPDPQRGGPGPGVR&amp;Dta=/var/www/html/dta/yong/23613.13687.3.dta&amp;Global_Mod=CS57.0215", "13687")</f>
        <v>13687</v>
      </c>
      <c r="N2444" s="27"/>
      <c r="O2444" s="27">
        <v>56.4</v>
      </c>
      <c r="P2444" s="27"/>
      <c r="Q2444" s="27">
        <v>2.97</v>
      </c>
      <c r="R2444" s="27"/>
      <c r="S2444" s="27">
        <v>1.0845</v>
      </c>
      <c r="T2444" s="27"/>
      <c r="U2444" s="27">
        <v>0.30809999999999998</v>
      </c>
      <c r="V2444" s="1"/>
      <c r="W2444" s="1">
        <v>1</v>
      </c>
      <c r="X2444" s="27"/>
      <c r="Y2444" s="27">
        <v>1.76</v>
      </c>
      <c r="Z2444" s="28"/>
      <c r="AA2444" s="28">
        <v>1000</v>
      </c>
      <c r="AB2444" s="1" t="s">
        <v>13</v>
      </c>
    </row>
    <row r="2445" spans="1:28">
      <c r="A2445" t="s">
        <v>1157</v>
      </c>
      <c r="B2445" s="2" t="s">
        <v>3511</v>
      </c>
      <c r="C2445" t="s">
        <v>3511</v>
      </c>
      <c r="D2445" s="1" t="s">
        <v>3512</v>
      </c>
      <c r="E2445" t="s">
        <v>3513</v>
      </c>
      <c r="F2445" s="3" t="s">
        <v>3514</v>
      </c>
      <c r="G2445" s="1">
        <v>59.7</v>
      </c>
      <c r="H2445" t="s">
        <v>3515</v>
      </c>
      <c r="I2445" t="s">
        <v>3516</v>
      </c>
      <c r="J2445" s="1">
        <v>3</v>
      </c>
      <c r="K2445" s="1">
        <v>666.32809999999995</v>
      </c>
      <c r="L2445" s="1" t="str">
        <f>HYPERLINK("http://ms.phosphosite.org:5080/cgi-bin/plot-msms.cgi?MassType=1&amp;NumAxis=1&amp;Mod11=170&amp;Mod18=170&amp;Mod20=170&amp;Pep=SWEGSPGEQPRGGGAGGRGR&amp;Dta=/var/www/html/dta/yong/23612.3593.3.dta&amp;Global_Mod=CS57.0215", "3593")</f>
        <v>3593</v>
      </c>
      <c r="M2445" s="1" t="str">
        <f>HYPERLINK("http://ms.phosphosite.org:5080/cgi-bin/plot-msms.cgi?MassType=1&amp;NumAxis=1&amp;Mod11=170&amp;Mod18=170&amp;Mod20=170&amp;Pep=SWEGSPGEQPRGGGAGGRGR&amp;Dta=/var/www/html/dta/yong/23613.3645.3.dta&amp;Global_Mod=CS57.0215", "3645")</f>
        <v>3645</v>
      </c>
      <c r="N2445" s="27">
        <v>20.41</v>
      </c>
      <c r="O2445" s="27">
        <v>20.43</v>
      </c>
      <c r="P2445" s="27">
        <v>2.2490000000000001</v>
      </c>
      <c r="Q2445" s="27">
        <v>2.33</v>
      </c>
      <c r="R2445" s="27">
        <v>1.2706</v>
      </c>
      <c r="S2445" s="27">
        <v>1.4955000000000001</v>
      </c>
      <c r="T2445" s="27">
        <v>0.2903</v>
      </c>
      <c r="U2445" s="27">
        <v>0.26619999999999999</v>
      </c>
      <c r="V2445" s="1">
        <v>20</v>
      </c>
      <c r="W2445" s="1">
        <v>1</v>
      </c>
      <c r="X2445" s="27">
        <v>1.39</v>
      </c>
      <c r="Y2445" s="27">
        <v>1.26</v>
      </c>
      <c r="Z2445" s="28" t="s">
        <v>1307</v>
      </c>
      <c r="AA2445" s="28" t="s">
        <v>1307</v>
      </c>
      <c r="AB2445" s="1" t="s">
        <v>13</v>
      </c>
    </row>
    <row r="2446" spans="1:28">
      <c r="A2446" t="s">
        <v>1157</v>
      </c>
      <c r="B2446" s="2" t="s">
        <v>3517</v>
      </c>
      <c r="C2446" t="s">
        <v>3518</v>
      </c>
      <c r="D2446" s="1">
        <v>38</v>
      </c>
      <c r="E2446" t="s">
        <v>3519</v>
      </c>
      <c r="F2446" s="3" t="s">
        <v>3520</v>
      </c>
      <c r="G2446" s="1">
        <v>15.2</v>
      </c>
      <c r="H2446" t="s">
        <v>3521</v>
      </c>
      <c r="I2446" t="s">
        <v>3522</v>
      </c>
      <c r="J2446" s="1">
        <v>3</v>
      </c>
      <c r="K2446" s="1">
        <v>715.35919999999999</v>
      </c>
      <c r="L2446" s="1" t="str">
        <f>HYPERLINK("http://ms.phosphosite.org:5080/cgi-bin/plot-msms.cgi?MassType=1&amp;NumAxis=1&amp;Mod7=170&amp;Pep=HTLHVGRGGDAFGDTSFLSR&amp;Dta=/var/www/html/dta/yong/23612.9914.3.dta&amp;Global_Mod=CS57.0215", "9914")</f>
        <v>9914</v>
      </c>
      <c r="M2446" s="1" t="str">
        <f>HYPERLINK("http://ms.phosphosite.org:5080/cgi-bin/plot-msms.cgi?MassType=1&amp;NumAxis=1&amp;Mod7=170&amp;Pep=HTLHVGRGGDAFGDTSFLSR&amp;Dta=/var/www/html/dta/yong/23613.9973.3.dta&amp;Global_Mod=CS57.0215", "9973")</f>
        <v>9973</v>
      </c>
      <c r="N2446" s="27">
        <v>43.66</v>
      </c>
      <c r="O2446" s="27">
        <v>43.69</v>
      </c>
      <c r="P2446" s="27">
        <v>2.286</v>
      </c>
      <c r="Q2446" s="27">
        <v>3.2789999999999999</v>
      </c>
      <c r="R2446" s="27">
        <v>1.4610000000000001</v>
      </c>
      <c r="S2446" s="27">
        <v>0.90690000000000004</v>
      </c>
      <c r="T2446" s="27">
        <v>0.23630000000000001</v>
      </c>
      <c r="U2446" s="27">
        <v>0.3624</v>
      </c>
      <c r="V2446" s="1">
        <v>1</v>
      </c>
      <c r="W2446" s="1">
        <v>1</v>
      </c>
      <c r="X2446" s="27">
        <v>1.34</v>
      </c>
      <c r="Y2446" s="27">
        <v>2.15</v>
      </c>
      <c r="Z2446" s="28">
        <v>1000</v>
      </c>
      <c r="AA2446" s="28">
        <v>1000</v>
      </c>
      <c r="AB2446" s="1" t="s">
        <v>13</v>
      </c>
    </row>
    <row r="2447" spans="1:28">
      <c r="A2447" t="s">
        <v>1157</v>
      </c>
      <c r="B2447" s="2" t="s">
        <v>3517</v>
      </c>
      <c r="C2447" t="s">
        <v>3518</v>
      </c>
      <c r="D2447" s="1">
        <v>38</v>
      </c>
      <c r="E2447" t="s">
        <v>3519</v>
      </c>
      <c r="F2447" s="3" t="s">
        <v>3520</v>
      </c>
      <c r="G2447" s="1">
        <v>15.2</v>
      </c>
      <c r="H2447" t="s">
        <v>3521</v>
      </c>
      <c r="I2447" t="s">
        <v>3523</v>
      </c>
      <c r="J2447" s="1">
        <v>3</v>
      </c>
      <c r="K2447" s="1">
        <v>552.60940000000005</v>
      </c>
      <c r="L2447" s="1" t="str">
        <f>HYPERLINK("http://ms.phosphosite.org:5080/cgi-bin/plot-msms.cgi?MassType=1&amp;NumAxis=1&amp;Mod3=170&amp;Pep=VGRGGDAFGDTSFLSR&amp;Dta=/var/www/html/dta/yong/23612.11295.3.dta&amp;Global_Mod=CS57.0215", "11295")</f>
        <v>11295</v>
      </c>
      <c r="M2447" s="1" t="str">
        <f>HYPERLINK("http://ms.phosphosite.org:5080/cgi-bin/plot-msms.cgi?MassType=1&amp;NumAxis=1&amp;Mod3=170&amp;Pep=VGRGGDAFGDTSFLSR&amp;Dta=/var/www/html/dta/yong/23613.11390.3.dta&amp;Global_Mod=CS57.0215", "11390")</f>
        <v>11390</v>
      </c>
      <c r="N2447" s="27">
        <v>48.45</v>
      </c>
      <c r="O2447" s="27">
        <v>48.5</v>
      </c>
      <c r="P2447" s="27">
        <v>3.363</v>
      </c>
      <c r="Q2447" s="27">
        <v>3.0419999999999998</v>
      </c>
      <c r="R2447" s="27">
        <v>4.1799999999999997E-2</v>
      </c>
      <c r="S2447" s="27">
        <v>0.73470000000000002</v>
      </c>
      <c r="T2447" s="27">
        <v>0.39069999999999999</v>
      </c>
      <c r="U2447" s="27">
        <v>0.34660000000000002</v>
      </c>
      <c r="V2447" s="1">
        <v>1</v>
      </c>
      <c r="W2447" s="1">
        <v>1</v>
      </c>
      <c r="X2447" s="27">
        <v>2.39</v>
      </c>
      <c r="Y2447" s="27">
        <v>2.09</v>
      </c>
      <c r="Z2447" s="28">
        <v>1000</v>
      </c>
      <c r="AA2447" s="28">
        <v>1000</v>
      </c>
      <c r="AB2447" s="1" t="s">
        <v>13</v>
      </c>
    </row>
    <row r="2448" spans="1:28">
      <c r="A2448" t="s">
        <v>1157</v>
      </c>
      <c r="B2448" s="29" t="s">
        <v>3524</v>
      </c>
      <c r="C2448" s="26" t="s">
        <v>3524</v>
      </c>
      <c r="D2448" s="1">
        <v>460</v>
      </c>
      <c r="E2448" t="s">
        <v>3525</v>
      </c>
      <c r="F2448" s="3" t="s">
        <v>3526</v>
      </c>
      <c r="G2448" s="1">
        <v>77.099999999999994</v>
      </c>
      <c r="H2448" t="s">
        <v>3527</v>
      </c>
      <c r="I2448" t="s">
        <v>3528</v>
      </c>
      <c r="J2448" s="1">
        <v>2</v>
      </c>
      <c r="K2448" s="1">
        <v>388.71170000000001</v>
      </c>
      <c r="L2448" s="1"/>
      <c r="M2448" s="1" t="str">
        <f>HYPERLINK("http://ms.phosphosite.org:5080/cgi-bin/plot-msms.cgi?MassType=1&amp;NumAxis=1&amp;Mod1=170&amp;Pep=RGGYGPR&amp;Dta=/var/www/html/dta/yong/23613.1392.2.dta&amp;Global_Mod=CS57.0215", "1392")</f>
        <v>1392</v>
      </c>
      <c r="N2448" s="27"/>
      <c r="O2448" s="27">
        <v>11.94</v>
      </c>
      <c r="P2448" s="27"/>
      <c r="Q2448" s="27">
        <v>1.8109999999999999</v>
      </c>
      <c r="R2448" s="27"/>
      <c r="S2448" s="27">
        <v>0.42699999999999999</v>
      </c>
      <c r="T2448" s="27"/>
      <c r="U2448" s="27">
        <v>0.1036</v>
      </c>
      <c r="V2448" s="1"/>
      <c r="W2448" s="1">
        <v>26</v>
      </c>
      <c r="X2448" s="27"/>
      <c r="Y2448" s="27">
        <v>0.7</v>
      </c>
      <c r="Z2448" s="28"/>
      <c r="AA2448" s="28">
        <v>1000</v>
      </c>
      <c r="AB2448" s="1" t="s">
        <v>13</v>
      </c>
    </row>
    <row r="2449" spans="1:28">
      <c r="A2449" t="s">
        <v>1157</v>
      </c>
      <c r="B2449" s="2" t="s">
        <v>3529</v>
      </c>
      <c r="C2449" t="s">
        <v>3529</v>
      </c>
      <c r="D2449" s="1">
        <v>41</v>
      </c>
      <c r="E2449" t="s">
        <v>3530</v>
      </c>
      <c r="F2449" s="3" t="s">
        <v>3531</v>
      </c>
      <c r="G2449" s="1">
        <v>55.2</v>
      </c>
      <c r="H2449" t="s">
        <v>3532</v>
      </c>
      <c r="I2449" t="s">
        <v>3533</v>
      </c>
      <c r="J2449" s="1">
        <v>3</v>
      </c>
      <c r="K2449" s="1">
        <v>758.35159999999996</v>
      </c>
      <c r="L2449" s="1" t="str">
        <f>HYPERLINK("http://ms.phosphosite.org:5080/cgi-bin/plot-msms.cgi?MassType=1&amp;NumAxis=1&amp;Mod10=170&amp;Pep=SGFGGSGGGRGGASGPGSGSGGPGGPAGR&amp;Dta=/var/www/html/dta/yong/23612.4231.3.dta&amp;Global_Mod=CS57.0215", "4231")</f>
        <v>4231</v>
      </c>
      <c r="M2449" s="1" t="str">
        <f>HYPERLINK("http://ms.phosphosite.org:5080/cgi-bin/plot-msms.cgi?MassType=1&amp;NumAxis=1&amp;Mod10=170&amp;Pep=SGFGGSGGGRGGASGPGSGSGGPGGPAGR&amp;Dta=/var/www/html/dta/yong/23613.4272.3.dta&amp;Global_Mod=CS57.0215", "4272")</f>
        <v>4272</v>
      </c>
      <c r="N2449" s="27">
        <v>22.85</v>
      </c>
      <c r="O2449" s="27">
        <v>22.8</v>
      </c>
      <c r="P2449" s="27">
        <v>5.6760000000000002</v>
      </c>
      <c r="Q2449" s="27">
        <v>6.0119999999999996</v>
      </c>
      <c r="R2449" s="27">
        <v>1.0701000000000001</v>
      </c>
      <c r="S2449" s="27">
        <v>1.1831</v>
      </c>
      <c r="T2449" s="27">
        <v>0.56430000000000002</v>
      </c>
      <c r="U2449" s="27">
        <v>0.5474</v>
      </c>
      <c r="V2449" s="1">
        <v>1</v>
      </c>
      <c r="W2449" s="1">
        <v>1</v>
      </c>
      <c r="X2449" s="27">
        <v>3.53</v>
      </c>
      <c r="Y2449" s="27">
        <v>3.48</v>
      </c>
      <c r="Z2449" s="28">
        <v>1000</v>
      </c>
      <c r="AA2449" s="28">
        <v>1000</v>
      </c>
      <c r="AB2449" s="1" t="s">
        <v>13</v>
      </c>
    </row>
    <row r="2450" spans="1:28">
      <c r="A2450" t="s">
        <v>1157</v>
      </c>
      <c r="B2450" s="2" t="s">
        <v>3529</v>
      </c>
      <c r="C2450" t="s">
        <v>3529</v>
      </c>
      <c r="D2450" s="1">
        <v>41</v>
      </c>
      <c r="E2450" t="s">
        <v>3530</v>
      </c>
      <c r="F2450" s="3" t="s">
        <v>3531</v>
      </c>
      <c r="G2450" s="1">
        <v>55.2</v>
      </c>
      <c r="H2450" t="s">
        <v>3532</v>
      </c>
      <c r="I2450" t="s">
        <v>3533</v>
      </c>
      <c r="J2450" s="1">
        <v>3</v>
      </c>
      <c r="K2450" s="1">
        <v>758.35159999999996</v>
      </c>
      <c r="L2450" s="1" t="str">
        <f>HYPERLINK("http://ms.phosphosite.org:5080/cgi-bin/plot-msms.cgi?MassType=1&amp;NumAxis=1&amp;Mod10=170&amp;Pep=SGFGGSGGGRGGASGPGSGSGGPGGPAGR&amp;Dta=/var/www/html/dta/yong/23612.4224.3.dta&amp;Global_Mod=CS57.0215", "4224")</f>
        <v>4224</v>
      </c>
      <c r="M2450" s="1"/>
      <c r="N2450" s="27">
        <v>22.83</v>
      </c>
      <c r="O2450" s="27"/>
      <c r="P2450" s="27">
        <v>7.3209999999999997</v>
      </c>
      <c r="Q2450" s="27"/>
      <c r="R2450" s="27">
        <v>1.0701000000000001</v>
      </c>
      <c r="S2450" s="27"/>
      <c r="T2450" s="27">
        <v>0.62749999999999995</v>
      </c>
      <c r="U2450" s="27"/>
      <c r="V2450" s="1">
        <v>1</v>
      </c>
      <c r="W2450" s="1"/>
      <c r="X2450" s="27">
        <v>4.16</v>
      </c>
      <c r="Y2450" s="27"/>
      <c r="Z2450" s="28">
        <v>1000</v>
      </c>
      <c r="AA2450" s="28"/>
      <c r="AB2450" s="1" t="s">
        <v>13</v>
      </c>
    </row>
    <row r="2451" spans="1:28">
      <c r="A2451" t="s">
        <v>1157</v>
      </c>
      <c r="B2451" s="29" t="s">
        <v>3534</v>
      </c>
      <c r="C2451" s="26" t="s">
        <v>3535</v>
      </c>
      <c r="D2451" s="1">
        <v>397</v>
      </c>
      <c r="E2451" t="s">
        <v>3536</v>
      </c>
      <c r="F2451" s="3" t="s">
        <v>3537</v>
      </c>
      <c r="G2451" s="1">
        <v>54.1</v>
      </c>
      <c r="H2451" t="s">
        <v>3538</v>
      </c>
      <c r="I2451" t="s">
        <v>3539</v>
      </c>
      <c r="J2451" s="1">
        <v>2</v>
      </c>
      <c r="K2451" s="1">
        <v>778.88679999999999</v>
      </c>
      <c r="L2451" s="1" t="str">
        <f>HYPERLINK("http://ms.phosphosite.org:5080/cgi-bin/plot-msms.cgi?MassType=1&amp;NumAxis=1&amp;Mod4=170&amp;Pep=TQGRGGPASVPSSSPGT&amp;Dta=/var/www/html/dta/yong/23612.4272.2.dta&amp;Global_Mod=CS57.0215", "4272")</f>
        <v>4272</v>
      </c>
      <c r="M2451" s="1"/>
      <c r="N2451" s="27">
        <v>23.02</v>
      </c>
      <c r="O2451" s="27"/>
      <c r="P2451" s="27">
        <v>2.694</v>
      </c>
      <c r="Q2451" s="27"/>
      <c r="R2451" s="27">
        <v>1.4343999999999999</v>
      </c>
      <c r="S2451" s="27"/>
      <c r="T2451" s="27">
        <v>0.18490000000000001</v>
      </c>
      <c r="U2451" s="27"/>
      <c r="V2451" s="1">
        <v>1</v>
      </c>
      <c r="W2451" s="1"/>
      <c r="X2451" s="27">
        <v>1.25</v>
      </c>
      <c r="Y2451" s="27"/>
      <c r="Z2451" s="28">
        <v>1000</v>
      </c>
      <c r="AA2451" s="28"/>
      <c r="AB2451" s="1" t="s">
        <v>13</v>
      </c>
    </row>
    <row r="2452" spans="1:28">
      <c r="A2452" t="s">
        <v>1157</v>
      </c>
      <c r="B2452" s="29" t="s">
        <v>3534</v>
      </c>
      <c r="C2452" s="26" t="s">
        <v>3535</v>
      </c>
      <c r="D2452" s="1">
        <v>397</v>
      </c>
      <c r="E2452" t="s">
        <v>3536</v>
      </c>
      <c r="F2452" s="3" t="s">
        <v>3537</v>
      </c>
      <c r="G2452" s="1">
        <v>54.1</v>
      </c>
      <c r="H2452" t="s">
        <v>3538</v>
      </c>
      <c r="I2452" t="s">
        <v>3540</v>
      </c>
      <c r="J2452" s="1">
        <v>2</v>
      </c>
      <c r="K2452" s="1">
        <v>822.40279999999996</v>
      </c>
      <c r="L2452" s="1" t="str">
        <f>HYPERLINK("http://ms.phosphosite.org:5080/cgi-bin/plot-msms.cgi?MassType=1&amp;NumAxis=1&amp;Mod4=170&amp;Pep=TQGRGGPASVPSSSPGTS&amp;Dta=/var/www/html/dta/yong/23612.4040.2.dta&amp;Global_Mod=CS57.0215", "4040")</f>
        <v>4040</v>
      </c>
      <c r="M2452" s="1" t="str">
        <f>HYPERLINK("http://ms.phosphosite.org:5080/cgi-bin/plot-msms.cgi?MassType=1&amp;NumAxis=1&amp;Mod4=170&amp;Pep=TQGRGGPASVPSSSPGTS&amp;Dta=/var/www/html/dta/yong/23613.4095.2.dta&amp;Global_Mod=CS57.0215", "4095")</f>
        <v>4095</v>
      </c>
      <c r="N2452" s="27">
        <v>22.16</v>
      </c>
      <c r="O2452" s="27">
        <v>22.17</v>
      </c>
      <c r="P2452" s="27">
        <v>3.286</v>
      </c>
      <c r="Q2452" s="27">
        <v>3.452</v>
      </c>
      <c r="R2452" s="27">
        <v>0.30919999999999997</v>
      </c>
      <c r="S2452" s="27">
        <v>0.40250000000000002</v>
      </c>
      <c r="T2452" s="27">
        <v>0.32350000000000001</v>
      </c>
      <c r="U2452" s="27">
        <v>0.34539999999999998</v>
      </c>
      <c r="V2452" s="1">
        <v>1</v>
      </c>
      <c r="W2452" s="1">
        <v>1</v>
      </c>
      <c r="X2452" s="27">
        <v>2.09</v>
      </c>
      <c r="Y2452" s="27">
        <v>2.21</v>
      </c>
      <c r="Z2452" s="28">
        <v>1000</v>
      </c>
      <c r="AA2452" s="28">
        <v>1000</v>
      </c>
      <c r="AB2452" s="1" t="s">
        <v>13</v>
      </c>
    </row>
    <row r="2453" spans="1:28">
      <c r="A2453" t="s">
        <v>1157</v>
      </c>
      <c r="B2453" s="29" t="s">
        <v>3534</v>
      </c>
      <c r="C2453" s="26" t="s">
        <v>3535</v>
      </c>
      <c r="D2453" s="1">
        <v>397</v>
      </c>
      <c r="E2453" t="s">
        <v>3536</v>
      </c>
      <c r="F2453" s="3" t="s">
        <v>3537</v>
      </c>
      <c r="G2453" s="1">
        <v>54.1</v>
      </c>
      <c r="H2453" t="s">
        <v>3538</v>
      </c>
      <c r="I2453" t="s">
        <v>3541</v>
      </c>
      <c r="J2453" s="1">
        <v>2</v>
      </c>
      <c r="K2453" s="1">
        <v>871.93700000000001</v>
      </c>
      <c r="L2453" s="1" t="str">
        <f>HYPERLINK("http://ms.phosphosite.org:5080/cgi-bin/plot-msms.cgi?MassType=1&amp;NumAxis=1&amp;Mod4=170&amp;Pep=TQGRGGPASVPSSSPGTSV&amp;Dta=/var/www/html/dta/yong/23612.6166.2.dta&amp;Global_Mod=CS57.0215", "6166")</f>
        <v>6166</v>
      </c>
      <c r="M2453" s="1" t="str">
        <f>HYPERLINK("http://ms.phosphosite.org:5080/cgi-bin/plot-msms.cgi?MassType=1&amp;NumAxis=1&amp;Mod4=170&amp;Pep=TQGRGGPASVPSSSPGTSV&amp;Dta=/var/www/html/dta/yong/23613.6192.2.dta&amp;Global_Mod=CS57.0215", "6192")</f>
        <v>6192</v>
      </c>
      <c r="N2453" s="27">
        <v>30.19</v>
      </c>
      <c r="O2453" s="27">
        <v>30.09</v>
      </c>
      <c r="P2453" s="27">
        <v>3.0950000000000002</v>
      </c>
      <c r="Q2453" s="27">
        <v>3.7959999999999998</v>
      </c>
      <c r="R2453" s="27">
        <v>1.7284999999999999</v>
      </c>
      <c r="S2453" s="27">
        <v>0.81669999999999998</v>
      </c>
      <c r="T2453" s="27">
        <v>0.29970000000000002</v>
      </c>
      <c r="U2453" s="27">
        <v>0.40799999999999997</v>
      </c>
      <c r="V2453" s="1">
        <v>1</v>
      </c>
      <c r="W2453" s="1">
        <v>1</v>
      </c>
      <c r="X2453" s="27">
        <v>1.86</v>
      </c>
      <c r="Y2453" s="27">
        <v>2.56</v>
      </c>
      <c r="Z2453" s="28">
        <v>1000</v>
      </c>
      <c r="AA2453" s="28">
        <v>1000</v>
      </c>
      <c r="AB2453" s="1" t="s">
        <v>13</v>
      </c>
    </row>
    <row r="2454" spans="1:28">
      <c r="A2454" t="s">
        <v>1157</v>
      </c>
      <c r="B2454" s="29" t="s">
        <v>3534</v>
      </c>
      <c r="C2454" s="26" t="s">
        <v>3535</v>
      </c>
      <c r="D2454" s="1">
        <v>397</v>
      </c>
      <c r="E2454" t="s">
        <v>3536</v>
      </c>
      <c r="F2454" s="3" t="s">
        <v>3537</v>
      </c>
      <c r="G2454" s="1">
        <v>54.1</v>
      </c>
      <c r="H2454" t="s">
        <v>3538</v>
      </c>
      <c r="I2454" t="s">
        <v>3541</v>
      </c>
      <c r="J2454" s="1">
        <v>2</v>
      </c>
      <c r="K2454" s="1">
        <v>871.93700000000001</v>
      </c>
      <c r="L2454" s="1" t="str">
        <f>HYPERLINK("http://ms.phosphosite.org:5080/cgi-bin/plot-msms.cgi?MassType=1&amp;NumAxis=1&amp;Mod4=170&amp;Pep=TQGRGGPASVPSSSPGTSV&amp;Dta=/var/www/html/dta/yong/23612.6128.2.dta&amp;Global_Mod=CS57.0215", "6128")</f>
        <v>6128</v>
      </c>
      <c r="M2454" s="1" t="str">
        <f>HYPERLINK("http://ms.phosphosite.org:5080/cgi-bin/plot-msms.cgi?MassType=1&amp;NumAxis=1&amp;Mod4=170&amp;Pep=TQGRGGPASVPSSSPGTSV&amp;Dta=/var/www/html/dta/yong/23613.6172.2.dta&amp;Global_Mod=CS57.0215", "6172")</f>
        <v>6172</v>
      </c>
      <c r="N2454" s="27">
        <v>30.06</v>
      </c>
      <c r="O2454" s="27">
        <v>30.02</v>
      </c>
      <c r="P2454" s="27">
        <v>3.3069999999999999</v>
      </c>
      <c r="Q2454" s="27">
        <v>3.4990000000000001</v>
      </c>
      <c r="R2454" s="27">
        <v>1.7284999999999999</v>
      </c>
      <c r="S2454" s="27">
        <v>0.81669999999999998</v>
      </c>
      <c r="T2454" s="27">
        <v>0.3644</v>
      </c>
      <c r="U2454" s="27">
        <v>0.44169999999999998</v>
      </c>
      <c r="V2454" s="1">
        <v>1</v>
      </c>
      <c r="W2454" s="1">
        <v>1</v>
      </c>
      <c r="X2454" s="27">
        <v>2.2200000000000002</v>
      </c>
      <c r="Y2454" s="27">
        <v>2.66</v>
      </c>
      <c r="Z2454" s="28">
        <v>1000</v>
      </c>
      <c r="AA2454" s="28">
        <v>1000</v>
      </c>
      <c r="AB2454" s="1" t="s">
        <v>13</v>
      </c>
    </row>
    <row r="2455" spans="1:28">
      <c r="A2455" t="s">
        <v>1157</v>
      </c>
      <c r="B2455" s="29" t="s">
        <v>3534</v>
      </c>
      <c r="C2455" s="26" t="s">
        <v>3535</v>
      </c>
      <c r="D2455" s="1">
        <v>397</v>
      </c>
      <c r="E2455" t="s">
        <v>3536</v>
      </c>
      <c r="F2455" s="3" t="s">
        <v>3537</v>
      </c>
      <c r="G2455" s="1">
        <v>54.1</v>
      </c>
      <c r="H2455" t="s">
        <v>3538</v>
      </c>
      <c r="I2455" t="s">
        <v>3542</v>
      </c>
      <c r="J2455" s="1">
        <v>2</v>
      </c>
      <c r="K2455" s="1">
        <v>935.98450000000003</v>
      </c>
      <c r="L2455" s="1" t="str">
        <f>HYPERLINK("http://ms.phosphosite.org:5080/cgi-bin/plot-msms.cgi?MassType=1&amp;NumAxis=1&amp;Mod4=170&amp;Pep=TQGRGGPASVPSSSPGTSVK&amp;Dta=/var/www/html/dta/yong/23612.4188.2.dta&amp;Global_Mod=CS57.0215", "4188")</f>
        <v>4188</v>
      </c>
      <c r="M2455" s="1" t="str">
        <f>HYPERLINK("http://ms.phosphosite.org:5080/cgi-bin/plot-msms.cgi?MassType=1&amp;NumAxis=1&amp;Mod4=170&amp;Pep=TQGRGGPASVPSSSPGTSVK&amp;Dta=/var/www/html/dta/yong/23613.4226.2.dta&amp;Global_Mod=CS57.0215", "4226")</f>
        <v>4226</v>
      </c>
      <c r="N2455" s="27">
        <v>22.7</v>
      </c>
      <c r="O2455" s="27">
        <v>22.63</v>
      </c>
      <c r="P2455" s="27">
        <v>4.8680000000000003</v>
      </c>
      <c r="Q2455" s="27">
        <v>4.7300000000000004</v>
      </c>
      <c r="R2455" s="27">
        <v>1.2603</v>
      </c>
      <c r="S2455" s="27">
        <v>1.1879999999999999</v>
      </c>
      <c r="T2455" s="27">
        <v>0.52429999999999999</v>
      </c>
      <c r="U2455" s="27">
        <v>0.44259999999999999</v>
      </c>
      <c r="V2455" s="1">
        <v>1</v>
      </c>
      <c r="W2455" s="1">
        <v>1</v>
      </c>
      <c r="X2455" s="27">
        <v>3.33</v>
      </c>
      <c r="Y2455" s="27">
        <v>2.89</v>
      </c>
      <c r="Z2455" s="28">
        <v>1000</v>
      </c>
      <c r="AA2455" s="28">
        <v>1000</v>
      </c>
      <c r="AB2455" s="1" t="s">
        <v>13</v>
      </c>
    </row>
    <row r="2456" spans="1:28">
      <c r="A2456" t="s">
        <v>1157</v>
      </c>
      <c r="B2456" s="29" t="s">
        <v>3534</v>
      </c>
      <c r="C2456" s="26" t="s">
        <v>3535</v>
      </c>
      <c r="D2456" s="1">
        <v>397</v>
      </c>
      <c r="E2456" t="s">
        <v>3536</v>
      </c>
      <c r="F2456" s="3" t="s">
        <v>3537</v>
      </c>
      <c r="G2456" s="1">
        <v>54.1</v>
      </c>
      <c r="H2456" t="s">
        <v>3538</v>
      </c>
      <c r="I2456" t="s">
        <v>3542</v>
      </c>
      <c r="J2456" s="1">
        <v>3</v>
      </c>
      <c r="K2456" s="1">
        <v>624.32539999999995</v>
      </c>
      <c r="L2456" s="1" t="str">
        <f>HYPERLINK("http://ms.phosphosite.org:5080/cgi-bin/plot-msms.cgi?MassType=1&amp;NumAxis=1&amp;Mod4=170&amp;Pep=TQGRGGPASVPSSSPGTSVK&amp;Dta=/var/www/html/dta/yong/23612.4168.3.dta&amp;Global_Mod=CS57.0215", "4168")</f>
        <v>4168</v>
      </c>
      <c r="M2456" s="1" t="str">
        <f>HYPERLINK("http://ms.phosphosite.org:5080/cgi-bin/plot-msms.cgi?MassType=1&amp;NumAxis=1&amp;Mod4=170&amp;Pep=TQGRGGPASVPSSSPGTSVK&amp;Dta=/var/www/html/dta/yong/23613.4209.3.dta&amp;Global_Mod=CS57.0215", "4209")</f>
        <v>4209</v>
      </c>
      <c r="N2456" s="27">
        <v>22.62</v>
      </c>
      <c r="O2456" s="27">
        <v>22.57</v>
      </c>
      <c r="P2456" s="27">
        <v>2.9449999999999998</v>
      </c>
      <c r="Q2456" s="27">
        <v>3.3380000000000001</v>
      </c>
      <c r="R2456" s="27">
        <v>0.41510000000000002</v>
      </c>
      <c r="S2456" s="27">
        <v>0.2407</v>
      </c>
      <c r="T2456" s="27">
        <v>8.2100000000000006E-2</v>
      </c>
      <c r="U2456" s="27">
        <v>0.1792</v>
      </c>
      <c r="V2456" s="1">
        <v>10</v>
      </c>
      <c r="W2456" s="1">
        <v>1</v>
      </c>
      <c r="X2456" s="27">
        <v>0.86</v>
      </c>
      <c r="Y2456" s="27">
        <v>1.38</v>
      </c>
      <c r="Z2456" s="28">
        <v>1000</v>
      </c>
      <c r="AA2456" s="28">
        <v>1000</v>
      </c>
      <c r="AB2456" s="1" t="s">
        <v>13</v>
      </c>
    </row>
    <row r="2457" spans="1:28">
      <c r="A2457" t="s">
        <v>1157</v>
      </c>
      <c r="B2457" s="29" t="s">
        <v>3543</v>
      </c>
      <c r="C2457" s="26" t="s">
        <v>3544</v>
      </c>
      <c r="D2457" s="1">
        <v>140</v>
      </c>
      <c r="E2457" t="s">
        <v>3545</v>
      </c>
      <c r="F2457" s="3" t="s">
        <v>3546</v>
      </c>
      <c r="G2457" s="1">
        <v>51.7</v>
      </c>
      <c r="H2457" t="s">
        <v>3547</v>
      </c>
      <c r="I2457" t="s">
        <v>3548</v>
      </c>
      <c r="J2457" s="1">
        <v>4</v>
      </c>
      <c r="K2457" s="1">
        <v>1087.3033</v>
      </c>
      <c r="L2457" s="1" t="str">
        <f>HYPERLINK("http://ms.phosphosite.org:5080/cgi-bin/plot-msms.cgi?MassType=1&amp;NumAxis=1&amp;Mod40=170&amp;Pep=RFEHGSPSYIQVTSPLSQQVQTQSPTQPSPGPGQALQNVR&amp;Dta=/var/www/html/dta/yong/23612.12813.4.dta&amp;Global_Mod=CS57.0215", "12813")</f>
        <v>12813</v>
      </c>
      <c r="M2457" s="1" t="str">
        <f>HYPERLINK("http://ms.phosphosite.org:5080/cgi-bin/plot-msms.cgi?MassType=1&amp;NumAxis=1&amp;Mod40=170&amp;Pep=RFEHGSPSYIQVTSPLSQQVQTQSPTQPSPGPGQALQNVR&amp;Dta=/var/www/html/dta/yong/23613.12944.4.dta&amp;Global_Mod=CS57.0215", "12944")</f>
        <v>12944</v>
      </c>
      <c r="N2457" s="27">
        <v>53.59</v>
      </c>
      <c r="O2457" s="27">
        <v>53.73</v>
      </c>
      <c r="P2457" s="27">
        <v>4.99</v>
      </c>
      <c r="Q2457" s="27">
        <v>4.8239999999999998</v>
      </c>
      <c r="R2457" s="27">
        <v>2.2711999999999999</v>
      </c>
      <c r="S2457" s="27">
        <v>-0.61829999999999996</v>
      </c>
      <c r="T2457" s="27">
        <v>0.25330000000000003</v>
      </c>
      <c r="U2457" s="27">
        <v>0.33839999999999998</v>
      </c>
      <c r="V2457" s="1">
        <v>1</v>
      </c>
      <c r="W2457" s="1">
        <v>1</v>
      </c>
      <c r="X2457" s="27">
        <v>1.73</v>
      </c>
      <c r="Y2457" s="27">
        <v>2.11</v>
      </c>
      <c r="Z2457" s="28">
        <v>1000</v>
      </c>
      <c r="AA2457" s="28">
        <v>1000</v>
      </c>
      <c r="AB2457" s="1" t="s">
        <v>13</v>
      </c>
    </row>
    <row r="2458" spans="1:28">
      <c r="A2458" t="s">
        <v>1157</v>
      </c>
      <c r="B2458" s="29" t="s">
        <v>3543</v>
      </c>
      <c r="C2458" s="26" t="s">
        <v>3544</v>
      </c>
      <c r="D2458" s="1">
        <v>140</v>
      </c>
      <c r="E2458" t="s">
        <v>3545</v>
      </c>
      <c r="F2458" s="3" t="s">
        <v>3546</v>
      </c>
      <c r="G2458" s="1">
        <v>51.7</v>
      </c>
      <c r="H2458" t="s">
        <v>3547</v>
      </c>
      <c r="I2458" t="s">
        <v>3548</v>
      </c>
      <c r="J2458" s="1">
        <v>4</v>
      </c>
      <c r="K2458" s="1">
        <v>1087.3033</v>
      </c>
      <c r="L2458" s="1" t="str">
        <f>HYPERLINK("http://ms.phosphosite.org:5080/cgi-bin/plot-msms.cgi?MassType=1&amp;NumAxis=1&amp;Mod40=170&amp;Pep=RFEHGSPSYIQVTSPLSQQVQTQSPTQPSPGPGQALQNVR&amp;Dta=/var/www/html/dta/yong/23612.12858.4.dta&amp;Global_Mod=CS57.0215", "12858")</f>
        <v>12858</v>
      </c>
      <c r="M2458" s="1" t="str">
        <f>HYPERLINK("http://ms.phosphosite.org:5080/cgi-bin/plot-msms.cgi?MassType=1&amp;NumAxis=1&amp;Mod40=170&amp;Pep=RFEHGSPSYIQVTSPLSQQVQTQSPTQPSPGPGQALQNVR&amp;Dta=/var/www/html/dta/yong/23613.12919.4.dta&amp;Global_Mod=CS57.0215", "12919")</f>
        <v>12919</v>
      </c>
      <c r="N2458" s="27">
        <v>53.74</v>
      </c>
      <c r="O2458" s="27">
        <v>53.64</v>
      </c>
      <c r="P2458" s="27">
        <v>4.7140000000000004</v>
      </c>
      <c r="Q2458" s="27">
        <v>5.8070000000000004</v>
      </c>
      <c r="R2458" s="27">
        <v>2.2711999999999999</v>
      </c>
      <c r="S2458" s="27">
        <v>-0.61829999999999996</v>
      </c>
      <c r="T2458" s="27">
        <v>0.28989999999999999</v>
      </c>
      <c r="U2458" s="27">
        <v>0.36349999999999999</v>
      </c>
      <c r="V2458" s="1">
        <v>1</v>
      </c>
      <c r="W2458" s="1">
        <v>1</v>
      </c>
      <c r="X2458" s="27">
        <v>1.86</v>
      </c>
      <c r="Y2458" s="27">
        <v>2.4300000000000002</v>
      </c>
      <c r="Z2458" s="28">
        <v>1000</v>
      </c>
      <c r="AA2458" s="28">
        <v>1000</v>
      </c>
      <c r="AB2458" s="1" t="s">
        <v>13</v>
      </c>
    </row>
    <row r="2459" spans="1:28">
      <c r="A2459" t="s">
        <v>1157</v>
      </c>
      <c r="B2459" s="29" t="s">
        <v>3549</v>
      </c>
      <c r="C2459" s="26" t="s">
        <v>3550</v>
      </c>
      <c r="D2459" s="1">
        <v>1091</v>
      </c>
      <c r="E2459" t="s">
        <v>3551</v>
      </c>
      <c r="F2459" s="3" t="s">
        <v>3552</v>
      </c>
      <c r="G2459" s="1">
        <v>155.69999999999999</v>
      </c>
      <c r="H2459" t="s">
        <v>3553</v>
      </c>
      <c r="I2459" t="s">
        <v>3554</v>
      </c>
      <c r="J2459" s="1">
        <v>3</v>
      </c>
      <c r="K2459" s="1">
        <v>680.35220000000004</v>
      </c>
      <c r="L2459" s="1" t="str">
        <f>HYPERLINK("http://ms.phosphosite.org:5080/cgi-bin/plot-msms.cgi?MassType=1&amp;NumAxis=1&amp;Mod4=170&amp;Pep=VSERMFSFYQAKEKFK&amp;Dta=/var/www/html/dta/yong/23612.17690.3.dta&amp;Global_Mod=CS57.0215", "17690")</f>
        <v>17690</v>
      </c>
      <c r="M2459" s="1"/>
      <c r="N2459" s="27">
        <v>72.81</v>
      </c>
      <c r="O2459" s="27"/>
      <c r="P2459" s="27">
        <v>2.7519999999999998</v>
      </c>
      <c r="Q2459" s="27"/>
      <c r="R2459" s="27">
        <v>-0.41189999999999999</v>
      </c>
      <c r="S2459" s="27"/>
      <c r="T2459" s="27">
        <v>0.182</v>
      </c>
      <c r="U2459" s="27"/>
      <c r="V2459" s="1">
        <v>49</v>
      </c>
      <c r="W2459" s="1"/>
      <c r="X2459" s="27">
        <v>0.79</v>
      </c>
      <c r="Y2459" s="27"/>
      <c r="Z2459" s="28">
        <v>1000</v>
      </c>
      <c r="AA2459" s="28"/>
      <c r="AB2459" s="1" t="s">
        <v>13</v>
      </c>
    </row>
    <row r="2460" spans="1:28">
      <c r="A2460" t="s">
        <v>1157</v>
      </c>
      <c r="B2460" s="2" t="s">
        <v>1199</v>
      </c>
      <c r="C2460" t="s">
        <v>1200</v>
      </c>
      <c r="D2460" s="1">
        <v>65</v>
      </c>
      <c r="E2460" t="s">
        <v>1201</v>
      </c>
      <c r="F2460" s="3" t="s">
        <v>3555</v>
      </c>
      <c r="G2460" s="1">
        <v>17.8</v>
      </c>
      <c r="H2460" t="s">
        <v>1202</v>
      </c>
      <c r="I2460" t="s">
        <v>3556</v>
      </c>
      <c r="J2460" s="1">
        <v>3</v>
      </c>
      <c r="K2460" s="1">
        <v>667.68290000000002</v>
      </c>
      <c r="L2460" s="1" t="str">
        <f>HYPERLINK("http://ms.phosphosite.org:5080/cgi-bin/plot-msms.cgi?MassType=1&amp;NumAxis=1&amp;Mod19=170&amp;Pep=AQPFAQPPGPWPLSSPGPR&amp;Dta=/var/www/html/dta/yong/23612.15321.3.dta&amp;Global_Mod=CS57.0215", "15321")</f>
        <v>15321</v>
      </c>
      <c r="M2460" s="1" t="str">
        <f>HYPERLINK("http://ms.phosphosite.org:5080/cgi-bin/plot-msms.cgi?MassType=1&amp;NumAxis=1&amp;Mod19=170&amp;Pep=AQPFAQPPGPWPLSSPGPR&amp;Dta=/var/www/html/dta/yong/23613.15397.3.dta&amp;Global_Mod=CS57.0215", "15397")</f>
        <v>15397</v>
      </c>
      <c r="N2460" s="27">
        <v>62.84</v>
      </c>
      <c r="O2460" s="27">
        <v>62.84</v>
      </c>
      <c r="P2460" s="27">
        <v>2.7919999999999998</v>
      </c>
      <c r="Q2460" s="27">
        <v>2.149</v>
      </c>
      <c r="R2460" s="27">
        <v>0.61939999999999995</v>
      </c>
      <c r="S2460" s="27">
        <v>1.4374</v>
      </c>
      <c r="T2460" s="27">
        <v>0.21490000000000001</v>
      </c>
      <c r="U2460" s="27">
        <v>0.12989999999999999</v>
      </c>
      <c r="V2460" s="1">
        <v>9</v>
      </c>
      <c r="W2460" s="1">
        <v>23</v>
      </c>
      <c r="X2460" s="27">
        <v>1.56</v>
      </c>
      <c r="Y2460" s="27">
        <v>0.92</v>
      </c>
      <c r="Z2460" s="28">
        <v>1000</v>
      </c>
      <c r="AA2460" s="28">
        <v>1000</v>
      </c>
      <c r="AB2460" s="1" t="s">
        <v>13</v>
      </c>
    </row>
    <row r="2461" spans="1:28">
      <c r="A2461" t="s">
        <v>1157</v>
      </c>
      <c r="B2461" s="29" t="s">
        <v>3557</v>
      </c>
      <c r="C2461" s="26" t="s">
        <v>3558</v>
      </c>
      <c r="D2461" s="1">
        <v>1113</v>
      </c>
      <c r="E2461" t="s">
        <v>3559</v>
      </c>
      <c r="F2461" s="3" t="s">
        <v>3560</v>
      </c>
      <c r="G2461" s="1">
        <v>147.1</v>
      </c>
      <c r="H2461" t="s">
        <v>3561</v>
      </c>
      <c r="I2461" t="s">
        <v>3562</v>
      </c>
      <c r="J2461" s="1">
        <v>3</v>
      </c>
      <c r="K2461" s="1">
        <v>583.30909999999994</v>
      </c>
      <c r="L2461" s="1"/>
      <c r="M2461" s="1" t="str">
        <f>HYPERLINK("http://ms.phosphosite.org:5080/cgi-bin/plot-msms.cgi?MassType=1&amp;NumAxis=1&amp;Mod18=170&amp;Pep=LAAAAAPWEGGPVPGVDR&amp;Dta=/var/www/html/dta/yong/23613.11395.3.dta&amp;Global_Mod=CS57.0215", "11395")</f>
        <v>11395</v>
      </c>
      <c r="N2461" s="27"/>
      <c r="O2461" s="27">
        <v>48.52</v>
      </c>
      <c r="P2461" s="27"/>
      <c r="Q2461" s="27">
        <v>2.4020000000000001</v>
      </c>
      <c r="R2461" s="27"/>
      <c r="S2461" s="27">
        <v>-12.4039</v>
      </c>
      <c r="T2461" s="27"/>
      <c r="U2461" s="27">
        <v>0.19719999999999999</v>
      </c>
      <c r="V2461" s="1"/>
      <c r="W2461" s="1">
        <v>1</v>
      </c>
      <c r="X2461" s="27"/>
      <c r="Y2461" s="27">
        <v>0.7</v>
      </c>
      <c r="Z2461" s="28"/>
      <c r="AA2461" s="28">
        <v>1000</v>
      </c>
      <c r="AB2461" s="1" t="s">
        <v>13</v>
      </c>
    </row>
    <row r="2462" spans="1:28">
      <c r="A2462" t="s">
        <v>1157</v>
      </c>
      <c r="B2462" s="29" t="s">
        <v>3563</v>
      </c>
      <c r="C2462" s="26" t="s">
        <v>3563</v>
      </c>
      <c r="D2462" s="1">
        <v>573</v>
      </c>
      <c r="E2462" t="s">
        <v>3564</v>
      </c>
      <c r="F2462" s="3" t="s">
        <v>3565</v>
      </c>
      <c r="G2462" s="1">
        <v>122</v>
      </c>
      <c r="H2462" t="s">
        <v>3566</v>
      </c>
      <c r="I2462" t="s">
        <v>3567</v>
      </c>
      <c r="J2462" s="1">
        <v>5</v>
      </c>
      <c r="K2462" s="1">
        <v>376.79880000000003</v>
      </c>
      <c r="L2462" s="1"/>
      <c r="M2462" s="1" t="str">
        <f>HYPERLINK("http://ms.phosphosite.org:5080/cgi-bin/plot-msms.cgi?MassType=1&amp;NumAxis=1&amp;Mod16=170&amp;Pep=EKGEVEESEYVVITVR&amp;Dta=/var/www/html/dta/yong/23613.7559.5.dta&amp;Global_Mod=CS57.0215", "7559")</f>
        <v>7559</v>
      </c>
      <c r="N2462" s="27"/>
      <c r="O2462" s="27">
        <v>35.11</v>
      </c>
      <c r="P2462" s="27"/>
      <c r="Q2462" s="27">
        <v>2.5609999999999999</v>
      </c>
      <c r="R2462" s="27"/>
      <c r="S2462" s="27">
        <v>0.99099999999999999</v>
      </c>
      <c r="T2462" s="27"/>
      <c r="U2462" s="27">
        <v>7.7100000000000002E-2</v>
      </c>
      <c r="V2462" s="1"/>
      <c r="W2462" s="1">
        <v>67</v>
      </c>
      <c r="X2462" s="27"/>
      <c r="Y2462" s="27">
        <v>0.68</v>
      </c>
      <c r="Z2462" s="28"/>
      <c r="AA2462" s="28">
        <v>1000</v>
      </c>
      <c r="AB2462" s="1" t="s">
        <v>13</v>
      </c>
    </row>
    <row r="2463" spans="1:28">
      <c r="A2463" t="s">
        <v>1157</v>
      </c>
      <c r="B2463" s="2" t="s">
        <v>3568</v>
      </c>
      <c r="C2463" t="s">
        <v>3568</v>
      </c>
      <c r="D2463" s="1">
        <v>106</v>
      </c>
      <c r="E2463" t="s">
        <v>3569</v>
      </c>
      <c r="F2463" s="3" t="s">
        <v>3570</v>
      </c>
      <c r="G2463" s="1">
        <v>12.6</v>
      </c>
      <c r="H2463" t="s">
        <v>3571</v>
      </c>
      <c r="I2463" t="s">
        <v>3572</v>
      </c>
      <c r="J2463" s="1">
        <v>3</v>
      </c>
      <c r="K2463" s="1">
        <v>794.71289999999999</v>
      </c>
      <c r="L2463" s="1" t="str">
        <f>HYPERLINK("http://ms.phosphosite.org:5080/cgi-bin/plot-msms.cgi?MassType=1&amp;NumAxis=1&amp;Mod15=170&amp;Pep=DGQEMGLPNPEEVKRPEEGEK&amp;Dta=/var/www/html/dta/yong/23612.8163.3.dta&amp;Global_Mod=CS57.0215", "8163")</f>
        <v>8163</v>
      </c>
      <c r="M2463" s="1"/>
      <c r="N2463" s="27">
        <v>37.42</v>
      </c>
      <c r="O2463" s="27"/>
      <c r="P2463" s="27">
        <v>2.84</v>
      </c>
      <c r="Q2463" s="27"/>
      <c r="R2463" s="27">
        <v>-4.2927</v>
      </c>
      <c r="S2463" s="27"/>
      <c r="T2463" s="27">
        <v>0.1726</v>
      </c>
      <c r="U2463" s="27"/>
      <c r="V2463" s="1">
        <v>158</v>
      </c>
      <c r="W2463" s="1"/>
      <c r="X2463" s="27">
        <v>0.81</v>
      </c>
      <c r="Y2463" s="27"/>
      <c r="Z2463" s="28">
        <v>1000</v>
      </c>
      <c r="AA2463" s="28"/>
      <c r="AB2463" s="1" t="s">
        <v>13</v>
      </c>
    </row>
    <row r="2464" spans="1:28">
      <c r="A2464" t="s">
        <v>1157</v>
      </c>
      <c r="B2464" s="29" t="s">
        <v>3573</v>
      </c>
      <c r="C2464" s="26" t="s">
        <v>3573</v>
      </c>
      <c r="D2464" s="1">
        <v>408</v>
      </c>
      <c r="E2464" t="s">
        <v>3574</v>
      </c>
      <c r="F2464" s="3" t="s">
        <v>3575</v>
      </c>
      <c r="G2464" s="1">
        <v>46.4</v>
      </c>
      <c r="H2464" t="s">
        <v>3576</v>
      </c>
      <c r="I2464" t="s">
        <v>3577</v>
      </c>
      <c r="J2464" s="1">
        <v>2</v>
      </c>
      <c r="K2464" s="1">
        <v>838.87980000000005</v>
      </c>
      <c r="L2464" s="1" t="str">
        <f>HYPERLINK("http://ms.phosphosite.org:5080/cgi-bin/plot-msms.cgi?MassType=1&amp;NumAxis=1&amp;Mod3=170&amp;Pep=ASRGGGNHQNNYQPY&amp;Dta=/var/www/html/dta/yong/23612.3558.2.dta&amp;Global_Mod=CS57.0215", "3558")</f>
        <v>3558</v>
      </c>
      <c r="M2464" s="1" t="str">
        <f>HYPERLINK("http://ms.phosphosite.org:5080/cgi-bin/plot-msms.cgi?MassType=1&amp;NumAxis=1&amp;Mod3=170&amp;Pep=ASRGGGNHQNNYQPY&amp;Dta=/var/www/html/dta/yong/23613.3621.2.dta&amp;Global_Mod=CS57.0215", "3621")</f>
        <v>3621</v>
      </c>
      <c r="N2464" s="27">
        <v>20.27</v>
      </c>
      <c r="O2464" s="27">
        <v>20.34</v>
      </c>
      <c r="P2464" s="27">
        <v>2.347</v>
      </c>
      <c r="Q2464" s="27">
        <v>2.7330000000000001</v>
      </c>
      <c r="R2464" s="27">
        <v>0.84409999999999996</v>
      </c>
      <c r="S2464" s="27">
        <v>1.2271000000000001</v>
      </c>
      <c r="T2464" s="27">
        <v>0.26919999999999999</v>
      </c>
      <c r="U2464" s="27">
        <v>0.36749999999999999</v>
      </c>
      <c r="V2464" s="1">
        <v>1</v>
      </c>
      <c r="W2464" s="1">
        <v>1</v>
      </c>
      <c r="X2464" s="27">
        <v>1.54</v>
      </c>
      <c r="Y2464" s="27">
        <v>2.0699999999999998</v>
      </c>
      <c r="Z2464" s="28">
        <v>1000</v>
      </c>
      <c r="AA2464" s="28">
        <v>1000</v>
      </c>
      <c r="AB2464" s="1" t="s">
        <v>13</v>
      </c>
    </row>
    <row r="2465" spans="1:28">
      <c r="A2465" t="s">
        <v>1157</v>
      </c>
      <c r="B2465" s="29" t="s">
        <v>3578</v>
      </c>
      <c r="C2465" s="26" t="s">
        <v>3579</v>
      </c>
      <c r="D2465" s="1">
        <v>187</v>
      </c>
      <c r="E2465" t="s">
        <v>1211</v>
      </c>
      <c r="F2465" s="3" t="s">
        <v>3580</v>
      </c>
      <c r="G2465" s="1">
        <v>38.799999999999997</v>
      </c>
      <c r="H2465" t="s">
        <v>3581</v>
      </c>
      <c r="I2465" t="s">
        <v>3582</v>
      </c>
      <c r="J2465" s="1">
        <v>3</v>
      </c>
      <c r="K2465" s="1">
        <v>839.09780000000001</v>
      </c>
      <c r="L2465" s="1" t="str">
        <f>HYPERLINK("http://ms.phosphosite.org:5080/cgi-bin/plot-msms.cgi?MassType=1&amp;NumAxis=1&amp;Mod23=170&amp;Pep=QAQLQELTYLNGGSENADVPVVR&amp;Dta=/var/www/html/dta/yong/23612.15099.3.dta&amp;Global_Mod=CS57.0215", "15099")</f>
        <v>15099</v>
      </c>
      <c r="M2465" s="1" t="str">
        <f>HYPERLINK("http://ms.phosphosite.org:5080/cgi-bin/plot-msms.cgi?MassType=1&amp;NumAxis=1&amp;Mod23=170&amp;Pep=QAQLQELTYLNGGSENADVPVVR&amp;Dta=/var/www/html/dta/yong/23613.15194.3.dta&amp;Global_Mod=CS57.0215", "15194")</f>
        <v>15194</v>
      </c>
      <c r="N2465" s="27">
        <v>61.99</v>
      </c>
      <c r="O2465" s="27">
        <v>62.07</v>
      </c>
      <c r="P2465" s="27">
        <v>2.8559999999999999</v>
      </c>
      <c r="Q2465" s="27">
        <v>2.5489999999999999</v>
      </c>
      <c r="R2465" s="27">
        <v>2.0693999999999999</v>
      </c>
      <c r="S2465" s="27">
        <v>2.7949000000000002</v>
      </c>
      <c r="T2465" s="27">
        <v>0.22040000000000001</v>
      </c>
      <c r="U2465" s="27">
        <v>7.9299999999999995E-2</v>
      </c>
      <c r="V2465" s="1">
        <v>272</v>
      </c>
      <c r="W2465" s="1">
        <v>1</v>
      </c>
      <c r="X2465" s="27">
        <v>1.33</v>
      </c>
      <c r="Y2465" s="27">
        <v>0.68</v>
      </c>
      <c r="Z2465" s="28">
        <v>1000</v>
      </c>
      <c r="AA2465" s="28">
        <v>1000</v>
      </c>
      <c r="AB2465" s="1" t="s">
        <v>13</v>
      </c>
    </row>
    <row r="2466" spans="1:28">
      <c r="A2466" t="s">
        <v>1157</v>
      </c>
      <c r="B2466" s="29" t="s">
        <v>3583</v>
      </c>
      <c r="C2466" s="26" t="s">
        <v>3584</v>
      </c>
      <c r="D2466" s="1">
        <v>449</v>
      </c>
      <c r="E2466" t="s">
        <v>3585</v>
      </c>
      <c r="F2466" s="3" t="s">
        <v>3586</v>
      </c>
      <c r="G2466" s="1">
        <v>73.8</v>
      </c>
      <c r="H2466" t="s">
        <v>3587</v>
      </c>
      <c r="I2466" t="s">
        <v>3588</v>
      </c>
      <c r="J2466" s="1">
        <v>3</v>
      </c>
      <c r="K2466" s="1">
        <v>862.09190000000001</v>
      </c>
      <c r="L2466" s="1"/>
      <c r="M2466" s="1" t="str">
        <f>HYPERLINK("http://ms.phosphosite.org:5080/cgi-bin/plot-msms.cgi?MassType=1&amp;NumAxis=1&amp;Mod8=170&amp;Pep=YLYAVGGRNAAGELPTVECYNPR&amp;Dta=/var/www/html/dta/yong/23613.18687.3.dta&amp;Global_Mod=CS57.0215", "18687")</f>
        <v>18687</v>
      </c>
      <c r="N2466" s="27"/>
      <c r="O2466" s="27">
        <v>76.84</v>
      </c>
      <c r="P2466" s="27"/>
      <c r="Q2466" s="27">
        <v>3.3420000000000001</v>
      </c>
      <c r="R2466" s="27"/>
      <c r="S2466" s="27">
        <v>3.8397999999999999</v>
      </c>
      <c r="T2466" s="27"/>
      <c r="U2466" s="27">
        <v>0.2056</v>
      </c>
      <c r="V2466" s="1"/>
      <c r="W2466" s="1">
        <v>2</v>
      </c>
      <c r="X2466" s="27"/>
      <c r="Y2466" s="27">
        <v>1.18</v>
      </c>
      <c r="Z2466" s="28"/>
      <c r="AA2466" s="28">
        <v>1000</v>
      </c>
      <c r="AB2466" s="1" t="s">
        <v>13</v>
      </c>
    </row>
    <row r="2467" spans="1:28">
      <c r="A2467" t="s">
        <v>1157</v>
      </c>
      <c r="B2467" s="2" t="s">
        <v>3589</v>
      </c>
      <c r="C2467" t="s">
        <v>3589</v>
      </c>
      <c r="D2467" s="1">
        <v>137</v>
      </c>
      <c r="E2467" t="s">
        <v>3590</v>
      </c>
      <c r="F2467" s="3" t="s">
        <v>3591</v>
      </c>
      <c r="G2467" s="1">
        <v>30.5</v>
      </c>
      <c r="H2467" t="s">
        <v>3592</v>
      </c>
      <c r="I2467" t="s">
        <v>3593</v>
      </c>
      <c r="J2467" s="1">
        <v>4</v>
      </c>
      <c r="K2467" s="1">
        <v>1035.7852</v>
      </c>
      <c r="L2467" s="1" t="str">
        <f>HYPERLINK("http://ms.phosphosite.org:5080/cgi-bin/plot-msms.cgi?MassType=1&amp;NumAxis=1&amp;Mod28=170&amp;Pep=ALGILTYLGQSAAEAQTQPPWYQLPPGRGGPPPGPAPDEK&amp;Dta=/var/www/html/dta/yong/23612.19626.4.dta&amp;Global_Mod=CS57.0215", "19626")</f>
        <v>19626</v>
      </c>
      <c r="M2467" s="1"/>
      <c r="N2467" s="27">
        <v>81.73</v>
      </c>
      <c r="O2467" s="27"/>
      <c r="P2467" s="27">
        <v>3.613</v>
      </c>
      <c r="Q2467" s="27"/>
      <c r="R2467" s="27">
        <v>2.0129999999999999</v>
      </c>
      <c r="S2467" s="27"/>
      <c r="T2467" s="27">
        <v>0.2145</v>
      </c>
      <c r="U2467" s="27"/>
      <c r="V2467" s="1">
        <v>1</v>
      </c>
      <c r="W2467" s="1"/>
      <c r="X2467" s="27">
        <v>1.28</v>
      </c>
      <c r="Y2467" s="27"/>
      <c r="Z2467" s="28">
        <v>1000</v>
      </c>
      <c r="AA2467" s="28"/>
      <c r="AB2467" s="1" t="s">
        <v>13</v>
      </c>
    </row>
    <row r="2468" spans="1:28">
      <c r="A2468" t="s">
        <v>1157</v>
      </c>
      <c r="B2468" s="2" t="s">
        <v>3594</v>
      </c>
      <c r="C2468" t="s">
        <v>3594</v>
      </c>
      <c r="D2468" s="1">
        <v>261</v>
      </c>
      <c r="E2468" t="s">
        <v>3595</v>
      </c>
      <c r="F2468" s="3" t="s">
        <v>3596</v>
      </c>
      <c r="G2468" s="1">
        <v>35.200000000000003</v>
      </c>
      <c r="H2468" t="s">
        <v>3597</v>
      </c>
      <c r="I2468" t="s">
        <v>3598</v>
      </c>
      <c r="J2468" s="1">
        <v>3</v>
      </c>
      <c r="K2468" s="1">
        <v>1083.2048</v>
      </c>
      <c r="L2468" s="1" t="str">
        <f>HYPERLINK("http://ms.phosphosite.org:5080/cgi-bin/plot-msms.cgi?MassType=1&amp;NumAxis=1&amp;Mod33=170&amp;Pep=GYPGFAPSYGYQFPGFPAAAYGPVAAAAVAAAR&amp;Dta=/var/www/html/dta/yong/23612.21616.3.dta&amp;Global_Mod=CS57.0215", "21616")</f>
        <v>21616</v>
      </c>
      <c r="M2468" s="1" t="str">
        <f>HYPERLINK("http://ms.phosphosite.org:5080/cgi-bin/plot-msms.cgi?MassType=1&amp;NumAxis=1&amp;Mod33=170&amp;Pep=GYPGFAPSYGYQFPGFPAAAYGPVAAAAVAAAR&amp;Dta=/var/www/html/dta/yong/23613.21679.3.dta&amp;Global_Mod=CS57.0215", "21679")</f>
        <v>21679</v>
      </c>
      <c r="N2468" s="27">
        <v>91.24</v>
      </c>
      <c r="O2468" s="27">
        <v>91.1</v>
      </c>
      <c r="P2468" s="27">
        <v>5.88</v>
      </c>
      <c r="Q2468" s="27">
        <v>5.9880000000000004</v>
      </c>
      <c r="R2468" s="27">
        <v>1.3381000000000001</v>
      </c>
      <c r="S2468" s="27">
        <v>1.2172000000000001</v>
      </c>
      <c r="T2468" s="27">
        <v>0.48670000000000002</v>
      </c>
      <c r="U2468" s="27">
        <v>0.53339999999999999</v>
      </c>
      <c r="V2468" s="1">
        <v>1</v>
      </c>
      <c r="W2468" s="1">
        <v>1</v>
      </c>
      <c r="X2468" s="27">
        <v>3.55</v>
      </c>
      <c r="Y2468" s="27">
        <v>3.78</v>
      </c>
      <c r="Z2468" s="28">
        <v>1000</v>
      </c>
      <c r="AA2468" s="28">
        <v>1000</v>
      </c>
      <c r="AB2468" s="1" t="s">
        <v>13</v>
      </c>
    </row>
    <row r="2469" spans="1:28">
      <c r="A2469" t="s">
        <v>1157</v>
      </c>
      <c r="B2469" s="2" t="s">
        <v>3594</v>
      </c>
      <c r="C2469" t="s">
        <v>3594</v>
      </c>
      <c r="D2469" s="1">
        <v>261</v>
      </c>
      <c r="E2469" t="s">
        <v>3595</v>
      </c>
      <c r="F2469" s="3" t="s">
        <v>3596</v>
      </c>
      <c r="G2469" s="1">
        <v>35.200000000000003</v>
      </c>
      <c r="H2469" t="s">
        <v>3597</v>
      </c>
      <c r="I2469" t="s">
        <v>3598</v>
      </c>
      <c r="J2469" s="1">
        <v>3</v>
      </c>
      <c r="K2469" s="1">
        <v>1083.2048</v>
      </c>
      <c r="L2469" s="1" t="str">
        <f>HYPERLINK("http://ms.phosphosite.org:5080/cgi-bin/plot-msms.cgi?MassType=1&amp;NumAxis=1&amp;Mod33=170&amp;Pep=GYPGFAPSYGYQFPGFPAAAYGPVAAAAVAAAR&amp;Dta=/var/www/html/dta/yong/23612.21575.3.dta&amp;Global_Mod=CS57.0215", "21575")</f>
        <v>21575</v>
      </c>
      <c r="M2469" s="1" t="str">
        <f>HYPERLINK("http://ms.phosphosite.org:5080/cgi-bin/plot-msms.cgi?MassType=1&amp;NumAxis=1&amp;Mod33=170&amp;Pep=GYPGFAPSYGYQFPGFPAAAYGPVAAAAVAAAR&amp;Dta=/var/www/html/dta/yong/23613.21698.3.dta&amp;Global_Mod=CS57.0215", "21698")</f>
        <v>21698</v>
      </c>
      <c r="N2469" s="27">
        <v>91.05</v>
      </c>
      <c r="O2469" s="27">
        <v>91.19</v>
      </c>
      <c r="P2469" s="27">
        <v>5.5860000000000003</v>
      </c>
      <c r="Q2469" s="27">
        <v>5.7389999999999999</v>
      </c>
      <c r="R2469" s="27">
        <v>1.0606</v>
      </c>
      <c r="S2469" s="27">
        <v>1.2521</v>
      </c>
      <c r="T2469" s="27">
        <v>0.47920000000000001</v>
      </c>
      <c r="U2469" s="27">
        <v>0.4919</v>
      </c>
      <c r="V2469" s="1">
        <v>1</v>
      </c>
      <c r="W2469" s="1">
        <v>1</v>
      </c>
      <c r="X2469" s="27">
        <v>3.47</v>
      </c>
      <c r="Y2469" s="27">
        <v>3.52</v>
      </c>
      <c r="Z2469" s="28">
        <v>1000</v>
      </c>
      <c r="AA2469" s="28">
        <v>1000</v>
      </c>
      <c r="AB2469" s="1" t="s">
        <v>13</v>
      </c>
    </row>
    <row r="2470" spans="1:28">
      <c r="A2470" t="s">
        <v>1157</v>
      </c>
      <c r="B2470" s="2" t="s">
        <v>3594</v>
      </c>
      <c r="C2470" t="s">
        <v>3594</v>
      </c>
      <c r="D2470" s="1">
        <v>261</v>
      </c>
      <c r="E2470" t="s">
        <v>3595</v>
      </c>
      <c r="F2470" s="3" t="s">
        <v>3596</v>
      </c>
      <c r="G2470" s="1">
        <v>35.200000000000003</v>
      </c>
      <c r="H2470" t="s">
        <v>3597</v>
      </c>
      <c r="I2470" t="s">
        <v>3598</v>
      </c>
      <c r="J2470" s="1">
        <v>3</v>
      </c>
      <c r="K2470" s="1">
        <v>1083.2048</v>
      </c>
      <c r="L2470" s="1" t="str">
        <f>HYPERLINK("http://ms.phosphosite.org:5080/cgi-bin/plot-msms.cgi?MassType=1&amp;NumAxis=1&amp;Mod33=170&amp;Pep=GYPGFAPSYGYQFPGFPAAAYGPVAAAAVAAAR&amp;Dta=/var/www/html/dta/yong/23612.21601.3.dta&amp;Global_Mod=CS57.0215", "21601")</f>
        <v>21601</v>
      </c>
      <c r="M2470" s="1"/>
      <c r="N2470" s="27">
        <v>91.17</v>
      </c>
      <c r="O2470" s="27"/>
      <c r="P2470" s="27">
        <v>5.7640000000000002</v>
      </c>
      <c r="Q2470" s="27"/>
      <c r="R2470" s="27">
        <v>1.3552999999999999</v>
      </c>
      <c r="S2470" s="27"/>
      <c r="T2470" s="27">
        <v>0.48349999999999999</v>
      </c>
      <c r="U2470" s="27"/>
      <c r="V2470" s="1">
        <v>1</v>
      </c>
      <c r="W2470" s="1"/>
      <c r="X2470" s="27">
        <v>3.51</v>
      </c>
      <c r="Y2470" s="27"/>
      <c r="Z2470" s="28">
        <v>1000</v>
      </c>
      <c r="AA2470" s="28"/>
      <c r="AB2470" s="1" t="s">
        <v>13</v>
      </c>
    </row>
    <row r="2471" spans="1:28">
      <c r="A2471" t="s">
        <v>1157</v>
      </c>
      <c r="B2471" s="2" t="s">
        <v>3594</v>
      </c>
      <c r="C2471" t="s">
        <v>3594</v>
      </c>
      <c r="D2471" s="1">
        <v>261</v>
      </c>
      <c r="E2471" t="s">
        <v>3595</v>
      </c>
      <c r="F2471" s="3" t="s">
        <v>3596</v>
      </c>
      <c r="G2471" s="1">
        <v>35.200000000000003</v>
      </c>
      <c r="H2471" t="s">
        <v>3597</v>
      </c>
      <c r="I2471" t="s">
        <v>3598</v>
      </c>
      <c r="J2471" s="1">
        <v>4</v>
      </c>
      <c r="K2471" s="1">
        <v>812.65549999999996</v>
      </c>
      <c r="L2471" s="1" t="str">
        <f>HYPERLINK("http://ms.phosphosite.org:5080/cgi-bin/plot-msms.cgi?MassType=1&amp;NumAxis=1&amp;Mod33=170&amp;Pep=GYPGFAPSYGYQFPGFPAAAYGPVAAAAVAAAR&amp;Dta=/var/www/html/dta/yong/23612.21645.4.dta&amp;Global_Mod=CS57.0215", "21645")</f>
        <v>21645</v>
      </c>
      <c r="M2471" s="1" t="str">
        <f>HYPERLINK("http://ms.phosphosite.org:5080/cgi-bin/plot-msms.cgi?MassType=1&amp;NumAxis=1&amp;Mod33=170&amp;Pep=GYPGFAPSYGYQFPGFPAAAYGPVAAAAVAAAR&amp;Dta=/var/www/html/dta/yong/23613.21711.4.dta&amp;Global_Mod=CS57.0215", "21711")</f>
        <v>21711</v>
      </c>
      <c r="N2471" s="27">
        <v>91.39</v>
      </c>
      <c r="O2471" s="27">
        <v>91.25</v>
      </c>
      <c r="P2471" s="27">
        <v>4.6719999999999997</v>
      </c>
      <c r="Q2471" s="27">
        <v>4.9649999999999999</v>
      </c>
      <c r="R2471" s="27">
        <v>0.97960000000000003</v>
      </c>
      <c r="S2471" s="27">
        <v>0.68620000000000003</v>
      </c>
      <c r="T2471" s="27">
        <v>0.45689999999999997</v>
      </c>
      <c r="U2471" s="27">
        <v>0.49220000000000003</v>
      </c>
      <c r="V2471" s="1">
        <v>1</v>
      </c>
      <c r="W2471" s="1">
        <v>1</v>
      </c>
      <c r="X2471" s="27">
        <v>3.24</v>
      </c>
      <c r="Y2471" s="27">
        <v>3.43</v>
      </c>
      <c r="Z2471" s="28">
        <v>1000</v>
      </c>
      <c r="AA2471" s="28">
        <v>1000</v>
      </c>
      <c r="AB2471" s="1" t="s">
        <v>13</v>
      </c>
    </row>
    <row r="2472" spans="1:28">
      <c r="A2472" t="s">
        <v>1157</v>
      </c>
      <c r="B2472" s="2" t="s">
        <v>3594</v>
      </c>
      <c r="C2472" t="s">
        <v>3594</v>
      </c>
      <c r="D2472" s="1">
        <v>261</v>
      </c>
      <c r="E2472" t="s">
        <v>3595</v>
      </c>
      <c r="F2472" s="3" t="s">
        <v>3596</v>
      </c>
      <c r="G2472" s="1">
        <v>35.200000000000003</v>
      </c>
      <c r="H2472" t="s">
        <v>3597</v>
      </c>
      <c r="I2472" t="s">
        <v>3598</v>
      </c>
      <c r="J2472" s="1">
        <v>4</v>
      </c>
      <c r="K2472" s="1">
        <v>812.65549999999996</v>
      </c>
      <c r="L2472" s="1" t="str">
        <f>HYPERLINK("http://ms.phosphosite.org:5080/cgi-bin/plot-msms.cgi?MassType=1&amp;NumAxis=1&amp;Mod33=170&amp;Pep=GYPGFAPSYGYQFPGFPAAAYGPVAAAAVAAAR&amp;Dta=/var/www/html/dta/yong/23612.21621.4.dta&amp;Global_Mod=CS57.0215", "21621")</f>
        <v>21621</v>
      </c>
      <c r="M2472" s="1" t="str">
        <f>HYPERLINK("http://ms.phosphosite.org:5080/cgi-bin/plot-msms.cgi?MassType=1&amp;NumAxis=1&amp;Mod33=170&amp;Pep=GYPGFAPSYGYQFPGFPAAAYGPVAAAAVAAAR&amp;Dta=/var/www/html/dta/yong/23613.21783.4.dta&amp;Global_Mod=CS57.0215", "21783")</f>
        <v>21783</v>
      </c>
      <c r="N2472" s="27">
        <v>91.27</v>
      </c>
      <c r="O2472" s="27">
        <v>91.61</v>
      </c>
      <c r="P2472" s="27">
        <v>5.1379999999999999</v>
      </c>
      <c r="Q2472" s="27">
        <v>4.0179999999999998</v>
      </c>
      <c r="R2472" s="27">
        <v>-0.22939999999999999</v>
      </c>
      <c r="S2472" s="27">
        <v>0.56869999999999998</v>
      </c>
      <c r="T2472" s="27">
        <v>0.4637</v>
      </c>
      <c r="U2472" s="27">
        <v>0.2394</v>
      </c>
      <c r="V2472" s="1">
        <v>1</v>
      </c>
      <c r="W2472" s="1">
        <v>1</v>
      </c>
      <c r="X2472" s="27">
        <v>3.36</v>
      </c>
      <c r="Y2472" s="27">
        <v>2</v>
      </c>
      <c r="Z2472" s="28">
        <v>1000</v>
      </c>
      <c r="AA2472" s="28">
        <v>1000</v>
      </c>
      <c r="AB2472" s="1" t="s">
        <v>13</v>
      </c>
    </row>
    <row r="2473" spans="1:28">
      <c r="A2473" t="s">
        <v>1157</v>
      </c>
      <c r="B2473" s="2" t="s">
        <v>3594</v>
      </c>
      <c r="C2473" t="s">
        <v>3594</v>
      </c>
      <c r="D2473" s="1">
        <v>261</v>
      </c>
      <c r="E2473" t="s">
        <v>3595</v>
      </c>
      <c r="F2473" s="3" t="s">
        <v>3596</v>
      </c>
      <c r="G2473" s="1">
        <v>35.200000000000003</v>
      </c>
      <c r="H2473" t="s">
        <v>3597</v>
      </c>
      <c r="I2473" t="s">
        <v>3599</v>
      </c>
      <c r="J2473" s="1">
        <v>3</v>
      </c>
      <c r="K2473" s="1">
        <v>696.70569999999998</v>
      </c>
      <c r="L2473" s="1" t="str">
        <f>HYPERLINK("http://ms.phosphosite.org:5080/cgi-bin/plot-msms.cgi?MassType=1&amp;NumAxis=1&amp;Mod22=170&amp;Pep=QFPGFPAAAYGPVAAAAVAAAR&amp;Dta=/var/www/html/dta/yong/23612.19326.3.dta&amp;Global_Mod=CS57.0215", "19326")</f>
        <v>19326</v>
      </c>
      <c r="M2473" s="1" t="str">
        <f>HYPERLINK("http://ms.phosphosite.org:5080/cgi-bin/plot-msms.cgi?MassType=1&amp;NumAxis=1&amp;Mod22=170&amp;Pep=QFPGFPAAAYGPVAAAAVAAAR&amp;Dta=/var/www/html/dta/yong/23613.19345.3.dta&amp;Global_Mod=CS57.0215", "19345")</f>
        <v>19345</v>
      </c>
      <c r="N2473" s="27">
        <v>80.31</v>
      </c>
      <c r="O2473" s="27">
        <v>79.94</v>
      </c>
      <c r="P2473" s="27">
        <v>3.4529999999999998</v>
      </c>
      <c r="Q2473" s="27">
        <v>4.09</v>
      </c>
      <c r="R2473" s="27">
        <v>1.0047999999999999</v>
      </c>
      <c r="S2473" s="27">
        <v>1.0921000000000001</v>
      </c>
      <c r="T2473" s="27">
        <v>0.45200000000000001</v>
      </c>
      <c r="U2473" s="27">
        <v>0.35470000000000002</v>
      </c>
      <c r="V2473" s="1">
        <v>1</v>
      </c>
      <c r="W2473" s="1">
        <v>1</v>
      </c>
      <c r="X2473" s="27">
        <v>3.05</v>
      </c>
      <c r="Y2473" s="27">
        <v>2.65</v>
      </c>
      <c r="Z2473" s="28">
        <v>1000</v>
      </c>
      <c r="AA2473" s="28">
        <v>1000</v>
      </c>
      <c r="AB2473" s="1" t="s">
        <v>13</v>
      </c>
    </row>
    <row r="2474" spans="1:28">
      <c r="A2474" t="s">
        <v>1157</v>
      </c>
      <c r="B2474" s="2" t="s">
        <v>3594</v>
      </c>
      <c r="C2474" t="s">
        <v>3594</v>
      </c>
      <c r="D2474" s="1">
        <v>261</v>
      </c>
      <c r="E2474" t="s">
        <v>3595</v>
      </c>
      <c r="F2474" s="3" t="s">
        <v>3596</v>
      </c>
      <c r="G2474" s="1">
        <v>35.200000000000003</v>
      </c>
      <c r="H2474" t="s">
        <v>3597</v>
      </c>
      <c r="I2474" t="s">
        <v>3599</v>
      </c>
      <c r="J2474" s="1">
        <v>3</v>
      </c>
      <c r="K2474" s="1">
        <v>696.70569999999998</v>
      </c>
      <c r="L2474" s="1" t="str">
        <f>HYPERLINK("http://ms.phosphosite.org:5080/cgi-bin/plot-msms.cgi?MassType=1&amp;NumAxis=1&amp;Mod22=170&amp;Pep=QFPGFPAAAYGPVAAAAVAAAR&amp;Dta=/var/www/html/dta/yong/23612.19293.3.dta&amp;Global_Mod=CS57.0215", "19293")</f>
        <v>19293</v>
      </c>
      <c r="M2474" s="1"/>
      <c r="N2474" s="27">
        <v>80.150000000000006</v>
      </c>
      <c r="O2474" s="27"/>
      <c r="P2474" s="27">
        <v>4.5030000000000001</v>
      </c>
      <c r="Q2474" s="27"/>
      <c r="R2474" s="27">
        <v>0.9657</v>
      </c>
      <c r="S2474" s="27"/>
      <c r="T2474" s="27">
        <v>0.49619999999999997</v>
      </c>
      <c r="U2474" s="27"/>
      <c r="V2474" s="1">
        <v>1</v>
      </c>
      <c r="W2474" s="1"/>
      <c r="X2474" s="27">
        <v>3.47</v>
      </c>
      <c r="Y2474" s="27"/>
      <c r="Z2474" s="28">
        <v>1000</v>
      </c>
      <c r="AA2474" s="28"/>
      <c r="AB2474" s="1" t="s">
        <v>13</v>
      </c>
    </row>
    <row r="2475" spans="1:28">
      <c r="A2475" t="s">
        <v>1157</v>
      </c>
      <c r="B2475" s="2" t="s">
        <v>3594</v>
      </c>
      <c r="C2475" t="s">
        <v>3594</v>
      </c>
      <c r="D2475" s="1" t="s">
        <v>3600</v>
      </c>
      <c r="E2475" t="s">
        <v>3595</v>
      </c>
      <c r="F2475" s="3" t="s">
        <v>3596</v>
      </c>
      <c r="G2475" s="1">
        <v>35.200000000000003</v>
      </c>
      <c r="H2475" t="s">
        <v>3601</v>
      </c>
      <c r="I2475" t="s">
        <v>3602</v>
      </c>
      <c r="J2475" s="1">
        <v>3</v>
      </c>
      <c r="K2475" s="1">
        <v>1270.6335999999999</v>
      </c>
      <c r="L2475" s="1" t="str">
        <f>HYPERLINK("http://ms.phosphosite.org:5080/cgi-bin/plot-msms.cgi?MassType=1&amp;NumAxis=1&amp;Mod5=170&amp;Mod38=170&amp;Pep=ATYGRGYPGFAPSYGYQFPGFPAAAYGPVAAAAVAAAR&amp;Dta=/var/www/html/dta/yong/23612.20203.3.dta&amp;Global_Mod=CS57.0215", "20203")</f>
        <v>20203</v>
      </c>
      <c r="M2475" s="1" t="str">
        <f>HYPERLINK("http://ms.phosphosite.org:5080/cgi-bin/plot-msms.cgi?MassType=1&amp;NumAxis=1&amp;Mod5=170&amp;Mod38=170&amp;Pep=ATYGRGYPGFAPSYGYQFPGFPAAAYGPVAAAAVAAAR&amp;Dta=/var/www/html/dta/yong/23613.20312.3.dta&amp;Global_Mod=CS57.0215", "20312")</f>
        <v>20312</v>
      </c>
      <c r="N2475" s="27">
        <v>84.44</v>
      </c>
      <c r="O2475" s="27">
        <v>84.51</v>
      </c>
      <c r="P2475" s="27">
        <v>5.7960000000000003</v>
      </c>
      <c r="Q2475" s="27">
        <v>6.2110000000000003</v>
      </c>
      <c r="R2475" s="27">
        <v>1.9704999999999999</v>
      </c>
      <c r="S2475" s="27">
        <v>2.7332000000000001</v>
      </c>
      <c r="T2475" s="27">
        <v>0.49170000000000003</v>
      </c>
      <c r="U2475" s="27">
        <v>0.56420000000000003</v>
      </c>
      <c r="V2475" s="1">
        <v>1</v>
      </c>
      <c r="W2475" s="1">
        <v>1</v>
      </c>
      <c r="X2475" s="27">
        <v>3.28</v>
      </c>
      <c r="Y2475" s="27">
        <v>3.64</v>
      </c>
      <c r="Z2475" s="28" t="s">
        <v>1306</v>
      </c>
      <c r="AA2475" s="28" t="s">
        <v>1306</v>
      </c>
      <c r="AB2475" s="1" t="s">
        <v>13</v>
      </c>
    </row>
    <row r="2476" spans="1:28">
      <c r="A2476" t="s">
        <v>1157</v>
      </c>
      <c r="B2476" s="2" t="s">
        <v>3594</v>
      </c>
      <c r="C2476" t="s">
        <v>3594</v>
      </c>
      <c r="D2476" s="1" t="s">
        <v>3600</v>
      </c>
      <c r="E2476" t="s">
        <v>3595</v>
      </c>
      <c r="F2476" s="3" t="s">
        <v>3596</v>
      </c>
      <c r="G2476" s="1">
        <v>35.200000000000003</v>
      </c>
      <c r="H2476" t="s">
        <v>3601</v>
      </c>
      <c r="I2476" t="s">
        <v>3602</v>
      </c>
      <c r="J2476" s="1">
        <v>3</v>
      </c>
      <c r="K2476" s="1">
        <v>1270.6335999999999</v>
      </c>
      <c r="L2476" s="1" t="str">
        <f>HYPERLINK("http://ms.phosphosite.org:5080/cgi-bin/plot-msms.cgi?MassType=1&amp;NumAxis=1&amp;Mod5=170&amp;Mod38=170&amp;Pep=ATYGRGYPGFAPSYGYQFPGFPAAAYGPVAAAAVAAAR&amp;Dta=/var/www/html/dta/yong/23612.20219.3.dta&amp;Global_Mod=CS57.0215", "20219")</f>
        <v>20219</v>
      </c>
      <c r="M2476" s="1"/>
      <c r="N2476" s="27">
        <v>84.51</v>
      </c>
      <c r="O2476" s="27"/>
      <c r="P2476" s="27">
        <v>6.0949999999999998</v>
      </c>
      <c r="Q2476" s="27"/>
      <c r="R2476" s="27">
        <v>1.9704999999999999</v>
      </c>
      <c r="S2476" s="27"/>
      <c r="T2476" s="27">
        <v>0.49440000000000001</v>
      </c>
      <c r="U2476" s="27"/>
      <c r="V2476" s="1">
        <v>1</v>
      </c>
      <c r="W2476" s="1"/>
      <c r="X2476" s="27">
        <v>3.35</v>
      </c>
      <c r="Y2476" s="27"/>
      <c r="Z2476" s="28" t="s">
        <v>1306</v>
      </c>
      <c r="AA2476" s="28"/>
      <c r="AB2476" s="1" t="s">
        <v>13</v>
      </c>
    </row>
    <row r="2477" spans="1:28">
      <c r="A2477" t="s">
        <v>1157</v>
      </c>
      <c r="B2477" s="2" t="s">
        <v>3594</v>
      </c>
      <c r="C2477" t="s">
        <v>3594</v>
      </c>
      <c r="D2477" s="1" t="s">
        <v>3600</v>
      </c>
      <c r="E2477" t="s">
        <v>3595</v>
      </c>
      <c r="F2477" s="3" t="s">
        <v>3596</v>
      </c>
      <c r="G2477" s="1">
        <v>35.200000000000003</v>
      </c>
      <c r="H2477" t="s">
        <v>3601</v>
      </c>
      <c r="I2477" t="s">
        <v>3602</v>
      </c>
      <c r="J2477" s="1">
        <v>4</v>
      </c>
      <c r="K2477" s="1">
        <v>953.22699999999998</v>
      </c>
      <c r="L2477" s="1" t="str">
        <f>HYPERLINK("http://ms.phosphosite.org:5080/cgi-bin/plot-msms.cgi?MassType=1&amp;NumAxis=1&amp;Mod5=170&amp;Mod38=170&amp;Pep=ATYGRGYPGFAPSYGYQFPGFPAAAYGPVAAAAVAAAR&amp;Dta=/var/www/html/dta/yong/23612.20163.4.dta&amp;Global_Mod=CS57.0215", "20163")</f>
        <v>20163</v>
      </c>
      <c r="M2477" s="1" t="str">
        <f>HYPERLINK("http://ms.phosphosite.org:5080/cgi-bin/plot-msms.cgi?MassType=1&amp;NumAxis=1&amp;Mod5=170&amp;Mod38=170&amp;Pep=ATYGRGYPGFAPSYGYQFPGFPAAAYGPVAAAAVAAAR&amp;Dta=/var/www/html/dta/yong/23613.20263.4.dta&amp;Global_Mod=CS57.0215", "20263")</f>
        <v>20263</v>
      </c>
      <c r="N2477" s="27">
        <v>84.27</v>
      </c>
      <c r="O2477" s="27">
        <v>84.29</v>
      </c>
      <c r="P2477" s="27">
        <v>4.4660000000000002</v>
      </c>
      <c r="Q2477" s="27">
        <v>4.1920000000000002</v>
      </c>
      <c r="R2477" s="27">
        <v>0.2036</v>
      </c>
      <c r="S2477" s="27">
        <v>-0.99509999999999998</v>
      </c>
      <c r="T2477" s="27">
        <v>0.43269999999999997</v>
      </c>
      <c r="U2477" s="27">
        <v>0.43319999999999997</v>
      </c>
      <c r="V2477" s="1">
        <v>1</v>
      </c>
      <c r="W2477" s="1">
        <v>1</v>
      </c>
      <c r="X2477" s="27">
        <v>2.86</v>
      </c>
      <c r="Y2477" s="27">
        <v>2.68</v>
      </c>
      <c r="Z2477" s="28" t="s">
        <v>1306</v>
      </c>
      <c r="AA2477" s="28" t="s">
        <v>1306</v>
      </c>
      <c r="AB2477" s="1" t="s">
        <v>13</v>
      </c>
    </row>
    <row r="2478" spans="1:28">
      <c r="A2478" t="s">
        <v>1157</v>
      </c>
      <c r="B2478" s="2" t="s">
        <v>3594</v>
      </c>
      <c r="C2478" t="s">
        <v>3594</v>
      </c>
      <c r="D2478" s="1" t="s">
        <v>3600</v>
      </c>
      <c r="E2478" t="s">
        <v>3595</v>
      </c>
      <c r="F2478" s="3" t="s">
        <v>3596</v>
      </c>
      <c r="G2478" s="1">
        <v>35.200000000000003</v>
      </c>
      <c r="H2478" t="s">
        <v>3601</v>
      </c>
      <c r="I2478" t="s">
        <v>3602</v>
      </c>
      <c r="J2478" s="1">
        <v>4</v>
      </c>
      <c r="K2478" s="1">
        <v>953.22699999999998</v>
      </c>
      <c r="L2478" s="1" t="str">
        <f>HYPERLINK("http://ms.phosphosite.org:5080/cgi-bin/plot-msms.cgi?MassType=1&amp;NumAxis=1&amp;Mod5=170&amp;Mod38=170&amp;Pep=ATYGRGYPGFAPSYGYQFPGFPAAAYGPVAAAAVAAAR&amp;Dta=/var/www/html/dta/yong/23612.20199.4.dta&amp;Global_Mod=CS57.0215", "20199")</f>
        <v>20199</v>
      </c>
      <c r="M2478" s="1" t="str">
        <f>HYPERLINK("http://ms.phosphosite.org:5080/cgi-bin/plot-msms.cgi?MassType=1&amp;NumAxis=1&amp;Mod5=170&amp;Mod38=170&amp;Pep=ATYGRGYPGFAPSYGYQFPGFPAAAYGPVAAAAVAAAR&amp;Dta=/var/www/html/dta/yong/23613.20351.4.dta&amp;Global_Mod=CS57.0215", "20351")</f>
        <v>20351</v>
      </c>
      <c r="N2478" s="27">
        <v>84.43</v>
      </c>
      <c r="O2478" s="27">
        <v>84.68</v>
      </c>
      <c r="P2478" s="27">
        <v>5.1429999999999998</v>
      </c>
      <c r="Q2478" s="27">
        <v>4.3010000000000002</v>
      </c>
      <c r="R2478" s="27">
        <v>-0.1421</v>
      </c>
      <c r="S2478" s="27">
        <v>-0.70250000000000001</v>
      </c>
      <c r="T2478" s="27">
        <v>0.46510000000000001</v>
      </c>
      <c r="U2478" s="27">
        <v>0.40670000000000001</v>
      </c>
      <c r="V2478" s="1">
        <v>1</v>
      </c>
      <c r="W2478" s="1">
        <v>1</v>
      </c>
      <c r="X2478" s="27">
        <v>3.13</v>
      </c>
      <c r="Y2478" s="27">
        <v>2.58</v>
      </c>
      <c r="Z2478" s="28" t="s">
        <v>1306</v>
      </c>
      <c r="AA2478" s="28" t="s">
        <v>1306</v>
      </c>
      <c r="AB2478" s="1" t="s">
        <v>13</v>
      </c>
    </row>
    <row r="2479" spans="1:28">
      <c r="A2479" t="s">
        <v>1157</v>
      </c>
      <c r="B2479" s="2" t="s">
        <v>3594</v>
      </c>
      <c r="C2479" t="s">
        <v>3594</v>
      </c>
      <c r="D2479" s="1" t="s">
        <v>3600</v>
      </c>
      <c r="E2479" t="s">
        <v>3595</v>
      </c>
      <c r="F2479" s="3" t="s">
        <v>3596</v>
      </c>
      <c r="G2479" s="1">
        <v>35.200000000000003</v>
      </c>
      <c r="H2479" t="s">
        <v>3601</v>
      </c>
      <c r="I2479" t="s">
        <v>3603</v>
      </c>
      <c r="J2479" s="1">
        <v>3</v>
      </c>
      <c r="K2479" s="1">
        <v>1158.9176</v>
      </c>
      <c r="L2479" s="1" t="str">
        <f>HYPERLINK("http://ms.phosphosite.org:5080/cgi-bin/plot-msms.cgi?MassType=1&amp;NumAxis=1&amp;Mod2=170&amp;Mod35=170&amp;Pep=GRGYPGFAPSYGYQFPGFPAAAYGPVAAAAVAAAR&amp;Dta=/var/www/html/dta/yong/23612.20129.3.dta&amp;Global_Mod=CS57.0215", "20129")</f>
        <v>20129</v>
      </c>
      <c r="M2479" s="1" t="str">
        <f>HYPERLINK("http://ms.phosphosite.org:5080/cgi-bin/plot-msms.cgi?MassType=1&amp;NumAxis=1&amp;Mod2=170&amp;Mod35=170&amp;Pep=GRGYPGFAPSYGYQFPGFPAAAYGPVAAAAVAAAR&amp;Dta=/var/www/html/dta/yong/23613.20217.3.dta&amp;Global_Mod=CS57.0215", "20217")</f>
        <v>20217</v>
      </c>
      <c r="N2479" s="27">
        <v>84.11</v>
      </c>
      <c r="O2479" s="27">
        <v>84.09</v>
      </c>
      <c r="P2479" s="27">
        <v>5.556</v>
      </c>
      <c r="Q2479" s="27">
        <v>5.524</v>
      </c>
      <c r="R2479" s="27">
        <v>2.2751999999999999</v>
      </c>
      <c r="S2479" s="27">
        <v>1.4883999999999999</v>
      </c>
      <c r="T2479" s="27">
        <v>0.4572</v>
      </c>
      <c r="U2479" s="27">
        <v>0.36580000000000001</v>
      </c>
      <c r="V2479" s="1">
        <v>1</v>
      </c>
      <c r="W2479" s="1">
        <v>1</v>
      </c>
      <c r="X2479" s="27">
        <v>3.08</v>
      </c>
      <c r="Y2479" s="27">
        <v>2.63</v>
      </c>
      <c r="Z2479" s="28" t="s">
        <v>1306</v>
      </c>
      <c r="AA2479" s="28" t="s">
        <v>1306</v>
      </c>
      <c r="AB2479" s="1" t="s">
        <v>13</v>
      </c>
    </row>
    <row r="2480" spans="1:28">
      <c r="A2480" t="s">
        <v>1157</v>
      </c>
      <c r="B2480" s="2" t="s">
        <v>3594</v>
      </c>
      <c r="C2480" t="s">
        <v>3594</v>
      </c>
      <c r="D2480" s="1" t="s">
        <v>3600</v>
      </c>
      <c r="E2480" t="s">
        <v>3595</v>
      </c>
      <c r="F2480" s="3" t="s">
        <v>3596</v>
      </c>
      <c r="G2480" s="1">
        <v>35.200000000000003</v>
      </c>
      <c r="H2480" t="s">
        <v>3601</v>
      </c>
      <c r="I2480" t="s">
        <v>3603</v>
      </c>
      <c r="J2480" s="1">
        <v>4</v>
      </c>
      <c r="K2480" s="1">
        <v>869.44</v>
      </c>
      <c r="L2480" s="1" t="str">
        <f>HYPERLINK("http://ms.phosphosite.org:5080/cgi-bin/plot-msms.cgi?MassType=1&amp;NumAxis=1&amp;Mod2=170&amp;Mod35=170&amp;Pep=GRGYPGFAPSYGYQFPGFPAAAYGPVAAAAVAAAR&amp;Dta=/var/www/html/dta/yong/23612.20107.4.dta&amp;Global_Mod=CS57.0215", "20107")</f>
        <v>20107</v>
      </c>
      <c r="M2480" s="1"/>
      <c r="N2480" s="27">
        <v>84.01</v>
      </c>
      <c r="O2480" s="27"/>
      <c r="P2480" s="27">
        <v>3.7559999999999998</v>
      </c>
      <c r="Q2480" s="27"/>
      <c r="R2480" s="27">
        <v>1.6209</v>
      </c>
      <c r="S2480" s="27"/>
      <c r="T2480" s="27">
        <v>0.22339999999999999</v>
      </c>
      <c r="U2480" s="27"/>
      <c r="V2480" s="1">
        <v>1</v>
      </c>
      <c r="W2480" s="1"/>
      <c r="X2480" s="27">
        <v>1.67</v>
      </c>
      <c r="Y2480" s="27"/>
      <c r="Z2480" s="28" t="s">
        <v>1306</v>
      </c>
      <c r="AA2480" s="28"/>
      <c r="AB2480" s="1" t="s">
        <v>13</v>
      </c>
    </row>
    <row r="2481" spans="1:28">
      <c r="A2481" t="s">
        <v>1157</v>
      </c>
      <c r="B2481" s="29" t="s">
        <v>3604</v>
      </c>
      <c r="C2481" s="26" t="s">
        <v>3604</v>
      </c>
      <c r="D2481" s="1">
        <v>197</v>
      </c>
      <c r="E2481" t="s">
        <v>3595</v>
      </c>
      <c r="F2481" s="3" t="s">
        <v>3596</v>
      </c>
      <c r="G2481" s="1">
        <v>35.200000000000003</v>
      </c>
      <c r="H2481" t="s">
        <v>3605</v>
      </c>
      <c r="I2481" t="s">
        <v>3606</v>
      </c>
      <c r="J2481" s="1">
        <v>2</v>
      </c>
      <c r="K2481" s="1">
        <v>532.26570000000004</v>
      </c>
      <c r="L2481" s="1" t="str">
        <f>HYPERLINK("http://ms.phosphosite.org:5080/cgi-bin/plot-msms.cgi?MassType=1&amp;NumAxis=1&amp;Mod3=147&amp;Mod9=170&amp;Pep=EVMFPPGTR&amp;Dta=/var/www/html/dta/yong/23612.6911.2.dta&amp;Global_Mod=CS57.0215", "6911")</f>
        <v>6911</v>
      </c>
      <c r="M2481" s="1" t="str">
        <f>HYPERLINK("http://ms.phosphosite.org:5080/cgi-bin/plot-msms.cgi?MassType=1&amp;NumAxis=1&amp;Mod3=147&amp;Mod9=170&amp;Pep=EVMFPPGTR&amp;Dta=/var/www/html/dta/yong/23613.6952.2.dta&amp;Global_Mod=CS57.0215", "6952")</f>
        <v>6952</v>
      </c>
      <c r="N2481" s="27">
        <v>32.97</v>
      </c>
      <c r="O2481" s="27">
        <v>32.93</v>
      </c>
      <c r="P2481" s="27">
        <v>2.069</v>
      </c>
      <c r="Q2481" s="27">
        <v>1.8009999999999999</v>
      </c>
      <c r="R2481" s="27">
        <v>0.38829999999999998</v>
      </c>
      <c r="S2481" s="27">
        <v>0.71209999999999996</v>
      </c>
      <c r="T2481" s="27">
        <v>0.19550000000000001</v>
      </c>
      <c r="U2481" s="27">
        <v>8.7300000000000003E-2</v>
      </c>
      <c r="V2481" s="1">
        <v>1</v>
      </c>
      <c r="W2481" s="1">
        <v>2</v>
      </c>
      <c r="X2481" s="27">
        <v>1.63</v>
      </c>
      <c r="Y2481" s="27">
        <v>1</v>
      </c>
      <c r="Z2481" s="28">
        <v>1000</v>
      </c>
      <c r="AA2481" s="28">
        <v>1000</v>
      </c>
      <c r="AB2481" s="1" t="s">
        <v>13</v>
      </c>
    </row>
    <row r="2482" spans="1:28">
      <c r="A2482" t="s">
        <v>1157</v>
      </c>
      <c r="B2482" s="29" t="s">
        <v>3604</v>
      </c>
      <c r="C2482" s="26" t="s">
        <v>3604</v>
      </c>
      <c r="D2482" s="1">
        <v>197</v>
      </c>
      <c r="E2482" t="s">
        <v>3595</v>
      </c>
      <c r="F2482" s="3" t="s">
        <v>3596</v>
      </c>
      <c r="G2482" s="1">
        <v>35.200000000000003</v>
      </c>
      <c r="H2482" t="s">
        <v>3605</v>
      </c>
      <c r="I2482" t="s">
        <v>3606</v>
      </c>
      <c r="J2482" s="1">
        <v>2</v>
      </c>
      <c r="K2482" s="1">
        <v>532.26570000000004</v>
      </c>
      <c r="L2482" s="1" t="str">
        <f>HYPERLINK("http://ms.phosphosite.org:5080/cgi-bin/plot-msms.cgi?MassType=1&amp;NumAxis=1&amp;Mod3=147&amp;Mod9=170&amp;Pep=EVMFPPGTR&amp;Dta=/var/www/html/dta/yong/23612.7160.2.dta&amp;Global_Mod=CS57.0215", "7160")</f>
        <v>7160</v>
      </c>
      <c r="M2482" s="1" t="str">
        <f>HYPERLINK("http://ms.phosphosite.org:5080/cgi-bin/plot-msms.cgi?MassType=1&amp;NumAxis=1&amp;Mod3=147&amp;Mod9=170&amp;Pep=EVMFPPGTR&amp;Dta=/var/www/html/dta/yong/23613.8330.2.dta&amp;Global_Mod=CS57.0215", "8330")</f>
        <v>8330</v>
      </c>
      <c r="N2482" s="27">
        <v>33.83</v>
      </c>
      <c r="O2482" s="27">
        <v>37.950000000000003</v>
      </c>
      <c r="P2482" s="27">
        <v>1.839</v>
      </c>
      <c r="Q2482" s="27">
        <v>1.966</v>
      </c>
      <c r="R2482" s="27">
        <v>0.54459999999999997</v>
      </c>
      <c r="S2482" s="27">
        <v>0.37259999999999999</v>
      </c>
      <c r="T2482" s="27">
        <v>6.5299999999999997E-2</v>
      </c>
      <c r="U2482" s="27">
        <v>4.9099999999999998E-2</v>
      </c>
      <c r="V2482" s="1">
        <v>1</v>
      </c>
      <c r="W2482" s="1">
        <v>6</v>
      </c>
      <c r="X2482" s="27">
        <v>0.94</v>
      </c>
      <c r="Y2482" s="27">
        <v>0.85</v>
      </c>
      <c r="Z2482" s="28">
        <v>1000</v>
      </c>
      <c r="AA2482" s="28">
        <v>1000</v>
      </c>
      <c r="AB2482" s="1" t="s">
        <v>13</v>
      </c>
    </row>
    <row r="2483" spans="1:28">
      <c r="A2483" t="s">
        <v>1157</v>
      </c>
      <c r="B2483" s="29" t="s">
        <v>3604</v>
      </c>
      <c r="C2483" s="26" t="s">
        <v>3604</v>
      </c>
      <c r="D2483" s="1">
        <v>197</v>
      </c>
      <c r="E2483" t="s">
        <v>3595</v>
      </c>
      <c r="F2483" s="3" t="s">
        <v>3596</v>
      </c>
      <c r="G2483" s="1">
        <v>35.200000000000003</v>
      </c>
      <c r="H2483" t="s">
        <v>3605</v>
      </c>
      <c r="I2483" t="s">
        <v>3606</v>
      </c>
      <c r="J2483" s="1">
        <v>2</v>
      </c>
      <c r="K2483" s="1">
        <v>532.26570000000004</v>
      </c>
      <c r="L2483" s="1" t="str">
        <f>HYPERLINK("http://ms.phosphosite.org:5080/cgi-bin/plot-msms.cgi?MassType=1&amp;NumAxis=1&amp;Mod3=147&amp;Mod9=170&amp;Pep=EVMFPPGTR&amp;Dta=/var/www/html/dta/yong/23612.7740.2.dta&amp;Global_Mod=CS57.0215", "7740")</f>
        <v>7740</v>
      </c>
      <c r="M2483" s="1" t="str">
        <f>HYPERLINK("http://ms.phosphosite.org:5080/cgi-bin/plot-msms.cgi?MassType=1&amp;NumAxis=1&amp;Mod3=147&amp;Mod9=170&amp;Pep=EVMFPPGTR&amp;Dta=/var/www/html/dta/yong/23613.7628.2.dta&amp;Global_Mod=CS57.0215", "7628")</f>
        <v>7628</v>
      </c>
      <c r="N2483" s="27">
        <v>35.92</v>
      </c>
      <c r="O2483" s="27">
        <v>35.369999999999997</v>
      </c>
      <c r="P2483" s="27">
        <v>2.5190000000000001</v>
      </c>
      <c r="Q2483" s="27">
        <v>1.8759999999999999</v>
      </c>
      <c r="R2483" s="27">
        <v>0.33100000000000002</v>
      </c>
      <c r="S2483" s="27">
        <v>1.2500000000000001E-2</v>
      </c>
      <c r="T2483" s="27">
        <v>0.24709999999999999</v>
      </c>
      <c r="U2483" s="27">
        <v>2.87E-2</v>
      </c>
      <c r="V2483" s="1">
        <v>1</v>
      </c>
      <c r="W2483" s="1">
        <v>1</v>
      </c>
      <c r="X2483" s="27">
        <v>1.97</v>
      </c>
      <c r="Y2483" s="27">
        <v>0.72</v>
      </c>
      <c r="Z2483" s="28">
        <v>1000</v>
      </c>
      <c r="AA2483" s="28">
        <v>1000</v>
      </c>
      <c r="AB2483" s="1" t="s">
        <v>13</v>
      </c>
    </row>
    <row r="2484" spans="1:28">
      <c r="A2484" t="s">
        <v>1157</v>
      </c>
      <c r="B2484" s="29" t="s">
        <v>3604</v>
      </c>
      <c r="C2484" s="26" t="s">
        <v>3604</v>
      </c>
      <c r="D2484" s="1">
        <v>197</v>
      </c>
      <c r="E2484" t="s">
        <v>3595</v>
      </c>
      <c r="F2484" s="3" t="s">
        <v>3596</v>
      </c>
      <c r="G2484" s="1">
        <v>35.200000000000003</v>
      </c>
      <c r="H2484" t="s">
        <v>3605</v>
      </c>
      <c r="I2484" t="s">
        <v>3606</v>
      </c>
      <c r="J2484" s="1">
        <v>2</v>
      </c>
      <c r="K2484" s="1">
        <v>532.26570000000004</v>
      </c>
      <c r="L2484" s="1" t="str">
        <f>HYPERLINK("http://ms.phosphosite.org:5080/cgi-bin/plot-msms.cgi?MassType=1&amp;NumAxis=1&amp;Mod3=147&amp;Mod9=170&amp;Pep=EVMFPPGTR&amp;Dta=/var/www/html/dta/yong/23612.7794.2.dta&amp;Global_Mod=CS57.0215", "7794")</f>
        <v>7794</v>
      </c>
      <c r="M2484" s="1" t="str">
        <f>HYPERLINK("http://ms.phosphosite.org:5080/cgi-bin/plot-msms.cgi?MassType=1&amp;NumAxis=1&amp;Mod3=147&amp;Mod9=170&amp;Pep=EVMFPPGTR&amp;Dta=/var/www/html/dta/yong/23613.7859.2.dta&amp;Global_Mod=CS57.0215", "7859")</f>
        <v>7859</v>
      </c>
      <c r="N2484" s="27">
        <v>36.090000000000003</v>
      </c>
      <c r="O2484" s="27">
        <v>36.229999999999997</v>
      </c>
      <c r="P2484" s="27">
        <v>1.9690000000000001</v>
      </c>
      <c r="Q2484" s="27">
        <v>1.8859999999999999</v>
      </c>
      <c r="R2484" s="27">
        <v>0.2084</v>
      </c>
      <c r="S2484" s="27">
        <v>-0.10730000000000001</v>
      </c>
      <c r="T2484" s="27">
        <v>4.5999999999999999E-2</v>
      </c>
      <c r="U2484" s="27">
        <v>0.11210000000000001</v>
      </c>
      <c r="V2484" s="1">
        <v>2</v>
      </c>
      <c r="W2484" s="1">
        <v>1</v>
      </c>
      <c r="X2484" s="27">
        <v>0.86</v>
      </c>
      <c r="Y2484" s="27">
        <v>1.1299999999999999</v>
      </c>
      <c r="Z2484" s="28">
        <v>1000</v>
      </c>
      <c r="AA2484" s="28">
        <v>1000</v>
      </c>
      <c r="AB2484" s="1" t="s">
        <v>13</v>
      </c>
    </row>
    <row r="2485" spans="1:28">
      <c r="A2485" t="s">
        <v>1157</v>
      </c>
      <c r="B2485" s="29" t="s">
        <v>3604</v>
      </c>
      <c r="C2485" s="26" t="s">
        <v>3604</v>
      </c>
      <c r="D2485" s="1">
        <v>197</v>
      </c>
      <c r="E2485" t="s">
        <v>3595</v>
      </c>
      <c r="F2485" s="3" t="s">
        <v>3596</v>
      </c>
      <c r="G2485" s="1">
        <v>35.200000000000003</v>
      </c>
      <c r="H2485" t="s">
        <v>3605</v>
      </c>
      <c r="I2485" t="s">
        <v>3606</v>
      </c>
      <c r="J2485" s="1">
        <v>2</v>
      </c>
      <c r="K2485" s="1">
        <v>532.26570000000004</v>
      </c>
      <c r="L2485" s="1"/>
      <c r="M2485" s="1" t="str">
        <f>HYPERLINK("http://ms.phosphosite.org:5080/cgi-bin/plot-msms.cgi?MassType=1&amp;NumAxis=1&amp;Mod3=147&amp;Mod9=170&amp;Pep=EVMFPPGTR&amp;Dta=/var/www/html/dta/yong/23613.7201.2.dta&amp;Global_Mod=CS57.0215", "7201")</f>
        <v>7201</v>
      </c>
      <c r="N2485" s="27"/>
      <c r="O2485" s="27">
        <v>33.82</v>
      </c>
      <c r="P2485" s="27"/>
      <c r="Q2485" s="27">
        <v>1.804</v>
      </c>
      <c r="R2485" s="27"/>
      <c r="S2485" s="27">
        <v>0.38129999999999997</v>
      </c>
      <c r="T2485" s="27"/>
      <c r="U2485" s="27">
        <v>0.1318</v>
      </c>
      <c r="V2485" s="1"/>
      <c r="W2485" s="1">
        <v>1</v>
      </c>
      <c r="X2485" s="27"/>
      <c r="Y2485" s="27">
        <v>1.23</v>
      </c>
      <c r="Z2485" s="28"/>
      <c r="AA2485" s="28">
        <v>1000</v>
      </c>
      <c r="AB2485" s="1" t="s">
        <v>13</v>
      </c>
    </row>
    <row r="2486" spans="1:28">
      <c r="A2486" t="s">
        <v>1157</v>
      </c>
      <c r="B2486" s="29" t="s">
        <v>3604</v>
      </c>
      <c r="C2486" s="26" t="s">
        <v>3604</v>
      </c>
      <c r="D2486" s="1">
        <v>197</v>
      </c>
      <c r="E2486" t="s">
        <v>3595</v>
      </c>
      <c r="F2486" s="3" t="s">
        <v>3596</v>
      </c>
      <c r="G2486" s="1">
        <v>35.200000000000003</v>
      </c>
      <c r="H2486" t="s">
        <v>3605</v>
      </c>
      <c r="I2486" t="s">
        <v>3606</v>
      </c>
      <c r="J2486" s="1">
        <v>2</v>
      </c>
      <c r="K2486" s="1">
        <v>532.26570000000004</v>
      </c>
      <c r="L2486" s="1"/>
      <c r="M2486" s="1" t="str">
        <f>HYPERLINK("http://ms.phosphosite.org:5080/cgi-bin/plot-msms.cgi?MassType=1&amp;NumAxis=1&amp;Mod3=147&amp;Mod9=170&amp;Pep=EVMFPPGTR&amp;Dta=/var/www/html/dta/yong/23613.7433.2.dta&amp;Global_Mod=CS57.0215", "7433")</f>
        <v>7433</v>
      </c>
      <c r="N2486" s="27"/>
      <c r="O2486" s="27">
        <v>34.69</v>
      </c>
      <c r="P2486" s="27"/>
      <c r="Q2486" s="27">
        <v>2.0459999999999998</v>
      </c>
      <c r="R2486" s="27"/>
      <c r="S2486" s="27">
        <v>-1.2699999999999999E-2</v>
      </c>
      <c r="T2486" s="27"/>
      <c r="U2486" s="27">
        <v>0.14319999999999999</v>
      </c>
      <c r="V2486" s="1"/>
      <c r="W2486" s="1">
        <v>1</v>
      </c>
      <c r="X2486" s="27"/>
      <c r="Y2486" s="27">
        <v>1.32</v>
      </c>
      <c r="Z2486" s="28"/>
      <c r="AA2486" s="28">
        <v>1000</v>
      </c>
      <c r="AB2486" s="1" t="s">
        <v>13</v>
      </c>
    </row>
    <row r="2487" spans="1:28">
      <c r="A2487" t="s">
        <v>1157</v>
      </c>
      <c r="B2487" s="29" t="s">
        <v>3607</v>
      </c>
      <c r="C2487" s="26" t="s">
        <v>3607</v>
      </c>
      <c r="D2487" s="1">
        <v>54</v>
      </c>
      <c r="E2487" t="s">
        <v>3608</v>
      </c>
      <c r="F2487" s="3" t="s">
        <v>3609</v>
      </c>
      <c r="G2487" s="1">
        <v>13</v>
      </c>
      <c r="H2487" t="s">
        <v>3610</v>
      </c>
      <c r="I2487" t="s">
        <v>3611</v>
      </c>
      <c r="J2487" s="1">
        <v>3</v>
      </c>
      <c r="K2487" s="1">
        <v>929.72080000000005</v>
      </c>
      <c r="L2487" s="1" t="str">
        <f>HYPERLINK("http://ms.phosphosite.org:5080/cgi-bin/plot-msms.cgi?MassType=1&amp;NumAxis=1&amp;Mod3=170&amp;Mod23=147&amp;Pep=PNRQINDGMGGDGDDMEIFMEEMR&amp;Dta=/var/www/html/dta/yong/23612.12829.3.dta&amp;Global_Mod=CS57.0215", "12829")</f>
        <v>12829</v>
      </c>
      <c r="M2487" s="1"/>
      <c r="N2487" s="27">
        <v>53.65</v>
      </c>
      <c r="O2487" s="27"/>
      <c r="P2487" s="27">
        <v>2.915</v>
      </c>
      <c r="Q2487" s="27"/>
      <c r="R2487" s="27">
        <v>0.23100000000000001</v>
      </c>
      <c r="S2487" s="27"/>
      <c r="T2487" s="27">
        <v>0.113</v>
      </c>
      <c r="U2487" s="27"/>
      <c r="V2487" s="1">
        <v>5</v>
      </c>
      <c r="W2487" s="1"/>
      <c r="X2487" s="27">
        <v>0.83</v>
      </c>
      <c r="Y2487" s="27"/>
      <c r="Z2487" s="28">
        <v>1000</v>
      </c>
      <c r="AA2487" s="28"/>
      <c r="AB2487" s="1" t="s">
        <v>13</v>
      </c>
    </row>
    <row r="2488" spans="1:28">
      <c r="A2488" t="s">
        <v>1157</v>
      </c>
      <c r="B2488" s="2" t="s">
        <v>3612</v>
      </c>
      <c r="C2488" t="s">
        <v>3613</v>
      </c>
      <c r="D2488" s="1">
        <v>306</v>
      </c>
      <c r="E2488" t="s">
        <v>3614</v>
      </c>
      <c r="F2488" s="3" t="s">
        <v>3615</v>
      </c>
      <c r="G2488" s="1">
        <v>57</v>
      </c>
      <c r="H2488" t="s">
        <v>3616</v>
      </c>
      <c r="I2488" t="s">
        <v>3617</v>
      </c>
      <c r="J2488" s="1">
        <v>2</v>
      </c>
      <c r="K2488" s="1">
        <v>474.79750000000001</v>
      </c>
      <c r="L2488" s="1" t="str">
        <f>HYPERLINK("http://ms.phosphosite.org:5080/cgi-bin/plot-msms.cgi?MassType=1&amp;NumAxis=1&amp;Mod3=170&amp;Pep=YGRTVLIL&amp;Dta=/var/www/html/dta/yong/23612.24416.2.dta&amp;Global_Mod=CS57.0215", "24416")</f>
        <v>24416</v>
      </c>
      <c r="M2488" s="1"/>
      <c r="N2488" s="27">
        <v>105.76</v>
      </c>
      <c r="O2488" s="27"/>
      <c r="P2488" s="27">
        <v>1.39</v>
      </c>
      <c r="Q2488" s="27"/>
      <c r="R2488" s="27">
        <v>-11.373699999999999</v>
      </c>
      <c r="S2488" s="27"/>
      <c r="T2488" s="27">
        <v>0.32190000000000002</v>
      </c>
      <c r="U2488" s="27"/>
      <c r="V2488" s="1">
        <v>61</v>
      </c>
      <c r="W2488" s="1"/>
      <c r="X2488" s="27">
        <v>1.05</v>
      </c>
      <c r="Y2488" s="27"/>
      <c r="Z2488" s="28">
        <v>1000</v>
      </c>
      <c r="AA2488" s="28"/>
      <c r="AB2488" s="1" t="s">
        <v>13</v>
      </c>
    </row>
    <row r="2489" spans="1:28">
      <c r="A2489" t="s">
        <v>1157</v>
      </c>
      <c r="B2489" s="29" t="s">
        <v>3618</v>
      </c>
      <c r="C2489" s="26" t="s">
        <v>3618</v>
      </c>
      <c r="D2489" s="1">
        <v>738</v>
      </c>
      <c r="E2489" t="s">
        <v>1240</v>
      </c>
      <c r="F2489" s="3" t="s">
        <v>3619</v>
      </c>
      <c r="G2489" s="1">
        <v>228.7</v>
      </c>
      <c r="H2489" t="s">
        <v>3620</v>
      </c>
      <c r="I2489" t="s">
        <v>3621</v>
      </c>
      <c r="J2489" s="1">
        <v>4</v>
      </c>
      <c r="K2489" s="1">
        <v>632.35500000000002</v>
      </c>
      <c r="L2489" s="1"/>
      <c r="M2489" s="1" t="str">
        <f>HYPERLINK("http://ms.phosphosite.org:5080/cgi-bin/plot-msms.cgi?MassType=1&amp;NumAxis=1&amp;Mod5=170&amp;Pep=LLQGRPPLDFYPPGVHPSGLVPR&amp;Dta=/var/www/html/dta/yong/23613.14998.4.dta&amp;Global_Mod=CS57.0215", "14998")</f>
        <v>14998</v>
      </c>
      <c r="N2489" s="27"/>
      <c r="O2489" s="27">
        <v>61.4</v>
      </c>
      <c r="P2489" s="27"/>
      <c r="Q2489" s="27">
        <v>3.016</v>
      </c>
      <c r="R2489" s="27"/>
      <c r="S2489" s="27">
        <v>1.2677</v>
      </c>
      <c r="T2489" s="27"/>
      <c r="U2489" s="27">
        <v>0.28820000000000001</v>
      </c>
      <c r="V2489" s="1"/>
      <c r="W2489" s="1">
        <v>1</v>
      </c>
      <c r="X2489" s="27"/>
      <c r="Y2489" s="27">
        <v>1.91</v>
      </c>
      <c r="Z2489" s="28"/>
      <c r="AA2489" s="28">
        <v>1000</v>
      </c>
      <c r="AB2489" s="1" t="s">
        <v>13</v>
      </c>
    </row>
    <row r="2490" spans="1:28">
      <c r="A2490" t="s">
        <v>1157</v>
      </c>
      <c r="B2490" s="29" t="s">
        <v>3622</v>
      </c>
      <c r="C2490" s="26" t="s">
        <v>3622</v>
      </c>
      <c r="D2490" s="30" t="s">
        <v>3623</v>
      </c>
      <c r="E2490" t="s">
        <v>1248</v>
      </c>
      <c r="F2490" s="3" t="s">
        <v>3624</v>
      </c>
      <c r="G2490" s="1">
        <v>316.7</v>
      </c>
      <c r="H2490" t="s">
        <v>3625</v>
      </c>
      <c r="I2490" t="s">
        <v>3626</v>
      </c>
      <c r="J2490" s="1">
        <v>4</v>
      </c>
      <c r="K2490" s="1">
        <v>726.39380000000006</v>
      </c>
      <c r="L2490" s="1" t="str">
        <f>HYPERLINK("http://ms.phosphosite.org:5080/cgi-bin/plot-msms.cgi?MassType=1&amp;NumAxis=1&amp;Mod3=170&amp;Mod5=170&amp;Pep=GLRGRGPPPSWASEPERPSILSASELK&amp;Dta=/var/www/html/dta/yong/23612.11407.4.dta&amp;Global_Mod=CS57.0215", "11407")</f>
        <v>11407</v>
      </c>
      <c r="M2490" s="1"/>
      <c r="N2490" s="27">
        <v>48.84</v>
      </c>
      <c r="O2490" s="27"/>
      <c r="P2490" s="27">
        <v>3.2509999999999999</v>
      </c>
      <c r="Q2490" s="27"/>
      <c r="R2490" s="27">
        <v>-0.83589999999999998</v>
      </c>
      <c r="S2490" s="27"/>
      <c r="T2490" s="27">
        <v>0.2122</v>
      </c>
      <c r="U2490" s="27"/>
      <c r="V2490" s="1">
        <v>35</v>
      </c>
      <c r="W2490" s="1"/>
      <c r="X2490" s="27">
        <v>1.18</v>
      </c>
      <c r="Y2490" s="27"/>
      <c r="Z2490" s="28" t="s">
        <v>3627</v>
      </c>
      <c r="AA2490" s="28"/>
      <c r="AB2490" s="1" t="s">
        <v>13</v>
      </c>
    </row>
    <row r="2491" spans="1:28">
      <c r="A2491" t="s">
        <v>1157</v>
      </c>
      <c r="B2491" s="2" t="s">
        <v>3628</v>
      </c>
      <c r="C2491" t="s">
        <v>3629</v>
      </c>
      <c r="D2491" s="1">
        <v>231</v>
      </c>
      <c r="E2491" t="s">
        <v>3630</v>
      </c>
      <c r="F2491" s="3" t="s">
        <v>3631</v>
      </c>
      <c r="G2491" s="1">
        <v>29.8</v>
      </c>
      <c r="H2491" t="s">
        <v>3632</v>
      </c>
      <c r="I2491" t="s">
        <v>3633</v>
      </c>
      <c r="J2491" s="1">
        <v>3</v>
      </c>
      <c r="K2491" s="1">
        <v>756.09370000000001</v>
      </c>
      <c r="L2491" s="1" t="str">
        <f>HYPERLINK("http://ms.phosphosite.org:5080/cgi-bin/plot-msms.cgi?MassType=1&amp;NumAxis=1&amp;Mod12=170&amp;Pep=ALIDPSSGLPNRLPPGAVPPGAR&amp;Dta=/var/www/html/dta/yong/23612.12977.3.dta&amp;Global_Mod=CS57.0215", "12977")</f>
        <v>12977</v>
      </c>
      <c r="M2491" s="1" t="str">
        <f>HYPERLINK("http://ms.phosphosite.org:5080/cgi-bin/plot-msms.cgi?MassType=1&amp;NumAxis=1&amp;Mod12=170&amp;Pep=ALIDPSSGLPNRLPPGAVPPGAR&amp;Dta=/var/www/html/dta/yong/23613.13092.3.dta&amp;Global_Mod=CS57.0215", "13092")</f>
        <v>13092</v>
      </c>
      <c r="N2491" s="27">
        <v>54.17</v>
      </c>
      <c r="O2491" s="27">
        <v>54.24</v>
      </c>
      <c r="P2491" s="27">
        <v>3.234</v>
      </c>
      <c r="Q2491" s="27">
        <v>3.2029999999999998</v>
      </c>
      <c r="R2491" s="27">
        <v>0.86150000000000004</v>
      </c>
      <c r="S2491" s="27">
        <v>0.60060000000000002</v>
      </c>
      <c r="T2491" s="27">
        <v>0.40689999999999998</v>
      </c>
      <c r="U2491" s="27">
        <v>0.44090000000000001</v>
      </c>
      <c r="V2491" s="1">
        <v>1</v>
      </c>
      <c r="W2491" s="1">
        <v>1</v>
      </c>
      <c r="X2491" s="27">
        <v>2.37</v>
      </c>
      <c r="Y2491" s="27">
        <v>2.5099999999999998</v>
      </c>
      <c r="Z2491" s="28">
        <v>1000</v>
      </c>
      <c r="AA2491" s="28">
        <v>1000</v>
      </c>
      <c r="AB2491" s="1" t="s">
        <v>13</v>
      </c>
    </row>
    <row r="2492" spans="1:28">
      <c r="A2492" t="s">
        <v>1157</v>
      </c>
      <c r="B2492" s="2" t="s">
        <v>3628</v>
      </c>
      <c r="C2492" t="s">
        <v>3629</v>
      </c>
      <c r="D2492" s="1">
        <v>231</v>
      </c>
      <c r="E2492" t="s">
        <v>3630</v>
      </c>
      <c r="F2492" s="3" t="s">
        <v>3631</v>
      </c>
      <c r="G2492" s="1">
        <v>29.8</v>
      </c>
      <c r="H2492" t="s">
        <v>3632</v>
      </c>
      <c r="I2492" t="s">
        <v>3633</v>
      </c>
      <c r="J2492" s="1">
        <v>3</v>
      </c>
      <c r="K2492" s="1">
        <v>756.09370000000001</v>
      </c>
      <c r="L2492" s="1" t="str">
        <f>HYPERLINK("http://ms.phosphosite.org:5080/cgi-bin/plot-msms.cgi?MassType=1&amp;NumAxis=1&amp;Mod12=170&amp;Pep=ALIDPSSGLPNRLPPGAVPPGAR&amp;Dta=/var/www/html/dta/yong/23612.13136.3.dta&amp;Global_Mod=CS57.0215", "13136")</f>
        <v>13136</v>
      </c>
      <c r="M2492" s="1"/>
      <c r="N2492" s="27">
        <v>54.78</v>
      </c>
      <c r="O2492" s="27"/>
      <c r="P2492" s="27">
        <v>2.649</v>
      </c>
      <c r="Q2492" s="27"/>
      <c r="R2492" s="27">
        <v>1.0434000000000001</v>
      </c>
      <c r="S2492" s="27"/>
      <c r="T2492" s="27">
        <v>0.24410000000000001</v>
      </c>
      <c r="U2492" s="27"/>
      <c r="V2492" s="1">
        <v>1</v>
      </c>
      <c r="W2492" s="1"/>
      <c r="X2492" s="27">
        <v>1.44</v>
      </c>
      <c r="Y2492" s="27"/>
      <c r="Z2492" s="28">
        <v>1000</v>
      </c>
      <c r="AA2492" s="28"/>
      <c r="AB2492" s="1" t="s">
        <v>13</v>
      </c>
    </row>
    <row r="2493" spans="1:28">
      <c r="A2493" t="s">
        <v>1157</v>
      </c>
      <c r="B2493" s="29" t="s">
        <v>3634</v>
      </c>
      <c r="C2493" s="26" t="s">
        <v>3635</v>
      </c>
      <c r="D2493" s="1">
        <v>256</v>
      </c>
      <c r="E2493" t="s">
        <v>3636</v>
      </c>
      <c r="F2493" s="3" t="s">
        <v>3637</v>
      </c>
      <c r="G2493" s="1">
        <v>37.6</v>
      </c>
      <c r="H2493" t="s">
        <v>3638</v>
      </c>
      <c r="I2493" t="s">
        <v>3639</v>
      </c>
      <c r="J2493" s="1">
        <v>2</v>
      </c>
      <c r="K2493" s="1">
        <v>747.92110000000002</v>
      </c>
      <c r="L2493" s="1" t="str">
        <f>HYPERLINK("http://ms.phosphosite.org:5080/cgi-bin/plot-msms.cgi?MassType=1&amp;NumAxis=1&amp;Mod10=147&amp;Mod14=170&amp;Pep=TPTPAGPTIMPLIR&amp;Dta=/var/www/html/dta/yong/23612.12061.2.dta&amp;Global_Mod=CS57.0215", "12061")</f>
        <v>12061</v>
      </c>
      <c r="M2493" s="1" t="str">
        <f>HYPERLINK("http://ms.phosphosite.org:5080/cgi-bin/plot-msms.cgi?MassType=1&amp;NumAxis=1&amp;Mod10=147&amp;Mod14=170&amp;Pep=TPTPAGPTIMPLIR&amp;Dta=/var/www/html/dta/yong/23613.12142.2.dta&amp;Global_Mod=CS57.0215", "12142")</f>
        <v>12142</v>
      </c>
      <c r="N2493" s="27">
        <v>50.99</v>
      </c>
      <c r="O2493" s="27">
        <v>50.97</v>
      </c>
      <c r="P2493" s="27">
        <v>2.548</v>
      </c>
      <c r="Q2493" s="27">
        <v>2.6339999999999999</v>
      </c>
      <c r="R2493" s="27">
        <v>0.37980000000000003</v>
      </c>
      <c r="S2493" s="27">
        <v>0.90390000000000004</v>
      </c>
      <c r="T2493" s="27">
        <v>0.29349999999999998</v>
      </c>
      <c r="U2493" s="27">
        <v>0.31440000000000001</v>
      </c>
      <c r="V2493" s="1">
        <v>1</v>
      </c>
      <c r="W2493" s="1">
        <v>1</v>
      </c>
      <c r="X2493" s="27">
        <v>1.91</v>
      </c>
      <c r="Y2493" s="27">
        <v>1.99</v>
      </c>
      <c r="Z2493" s="28">
        <v>1000</v>
      </c>
      <c r="AA2493" s="28">
        <v>1000</v>
      </c>
      <c r="AB2493" s="1" t="s">
        <v>13</v>
      </c>
    </row>
    <row r="2494" spans="1:28">
      <c r="A2494" t="s">
        <v>1157</v>
      </c>
      <c r="B2494" s="2" t="s">
        <v>1259</v>
      </c>
      <c r="C2494" t="s">
        <v>1259</v>
      </c>
      <c r="D2494" s="1">
        <v>405</v>
      </c>
      <c r="E2494" t="s">
        <v>1260</v>
      </c>
      <c r="F2494" s="3" t="s">
        <v>3640</v>
      </c>
      <c r="G2494" s="1">
        <v>64.099999999999994</v>
      </c>
      <c r="H2494" t="s">
        <v>3641</v>
      </c>
      <c r="I2494" t="s">
        <v>3642</v>
      </c>
      <c r="J2494" s="1">
        <v>2</v>
      </c>
      <c r="K2494" s="1">
        <v>551.26980000000003</v>
      </c>
      <c r="L2494" s="1" t="str">
        <f>HYPERLINK("http://ms.phosphosite.org:5080/cgi-bin/plot-msms.cgi?MassType=1&amp;NumAxis=1&amp;Mod11=170&amp;Pep=GSYLGGYSAGR&amp;Dta=/var/www/html/dta/yong/23612.7485.2.dta&amp;Global_Mod=CS57.0215", "7485")</f>
        <v>7485</v>
      </c>
      <c r="M2494" s="1" t="str">
        <f>HYPERLINK("http://ms.phosphosite.org:5080/cgi-bin/plot-msms.cgi?MassType=1&amp;NumAxis=1&amp;Mod11=170&amp;Pep=GSYLGGYSAGR&amp;Dta=/var/www/html/dta/yong/23613.7541.2.dta&amp;Global_Mod=CS57.0215", "7541")</f>
        <v>7541</v>
      </c>
      <c r="N2494" s="27">
        <v>35.01</v>
      </c>
      <c r="O2494" s="27">
        <v>35.049999999999997</v>
      </c>
      <c r="P2494" s="27">
        <v>4.149</v>
      </c>
      <c r="Q2494" s="27">
        <v>3.7189999999999999</v>
      </c>
      <c r="R2494" s="27">
        <v>0.3952</v>
      </c>
      <c r="S2494" s="27">
        <v>0.1484</v>
      </c>
      <c r="T2494" s="27">
        <v>0.38109999999999999</v>
      </c>
      <c r="U2494" s="27">
        <v>0.3574</v>
      </c>
      <c r="V2494" s="1">
        <v>1</v>
      </c>
      <c r="W2494" s="1">
        <v>1</v>
      </c>
      <c r="X2494" s="27">
        <v>2.81</v>
      </c>
      <c r="Y2494" s="27">
        <v>2.58</v>
      </c>
      <c r="Z2494" s="28">
        <v>1000</v>
      </c>
      <c r="AA2494" s="28">
        <v>1000</v>
      </c>
      <c r="AB2494" s="1" t="s">
        <v>13</v>
      </c>
    </row>
    <row r="2495" spans="1:28">
      <c r="A2495" t="s">
        <v>1157</v>
      </c>
      <c r="B2495" s="2" t="s">
        <v>1259</v>
      </c>
      <c r="C2495" t="s">
        <v>1259</v>
      </c>
      <c r="D2495" s="1">
        <v>405</v>
      </c>
      <c r="E2495" t="s">
        <v>1260</v>
      </c>
      <c r="F2495" s="3" t="s">
        <v>3640</v>
      </c>
      <c r="G2495" s="1">
        <v>64.099999999999994</v>
      </c>
      <c r="H2495" t="s">
        <v>3641</v>
      </c>
      <c r="I2495" t="s">
        <v>3643</v>
      </c>
      <c r="J2495" s="1">
        <v>2</v>
      </c>
      <c r="K2495" s="1">
        <v>636.32259999999997</v>
      </c>
      <c r="L2495" s="1"/>
      <c r="M2495" s="1" t="str">
        <f>HYPERLINK("http://ms.phosphosite.org:5080/cgi-bin/plot-msms.cgi?MassType=1&amp;NumAxis=1&amp;Mod11=170&amp;Pep=GSYLGGYSAGRGI&amp;Dta=/var/www/html/dta/yong/23613.10832.2.dta&amp;Global_Mod=CS57.0215", "10832")</f>
        <v>10832</v>
      </c>
      <c r="N2495" s="27"/>
      <c r="O2495" s="27">
        <v>46.63</v>
      </c>
      <c r="P2495" s="27"/>
      <c r="Q2495" s="27">
        <v>1.6020000000000001</v>
      </c>
      <c r="R2495" s="27"/>
      <c r="S2495" s="27">
        <v>0.43859999999999999</v>
      </c>
      <c r="T2495" s="27"/>
      <c r="U2495" s="27">
        <v>0.24260000000000001</v>
      </c>
      <c r="V2495" s="1"/>
      <c r="W2495" s="1">
        <v>5</v>
      </c>
      <c r="X2495" s="27"/>
      <c r="Y2495" s="27">
        <v>1.39</v>
      </c>
      <c r="Z2495" s="28"/>
      <c r="AA2495" s="28">
        <v>1000</v>
      </c>
      <c r="AB2495" s="1" t="s">
        <v>13</v>
      </c>
    </row>
    <row r="2496" spans="1:28">
      <c r="A2496" t="s">
        <v>1157</v>
      </c>
      <c r="B2496" s="2" t="s">
        <v>1259</v>
      </c>
      <c r="C2496" t="s">
        <v>1259</v>
      </c>
      <c r="D2496" s="1">
        <v>405</v>
      </c>
      <c r="E2496" t="s">
        <v>1260</v>
      </c>
      <c r="F2496" s="3" t="s">
        <v>3640</v>
      </c>
      <c r="G2496" s="1">
        <v>64.099999999999994</v>
      </c>
      <c r="H2496" t="s">
        <v>3641</v>
      </c>
      <c r="I2496" t="s">
        <v>3644</v>
      </c>
      <c r="J2496" s="1">
        <v>2</v>
      </c>
      <c r="K2496" s="1">
        <v>717.85419999999999</v>
      </c>
      <c r="L2496" s="1" t="str">
        <f>HYPERLINK("http://ms.phosphosite.org:5080/cgi-bin/plot-msms.cgi?MassType=1&amp;NumAxis=1&amp;Mod11=170&amp;Pep=GSYLGGYSAGRGIY&amp;Dta=/var/www/html/dta/yong/23612.11904.2.dta&amp;Global_Mod=CS57.0215", "11904")</f>
        <v>11904</v>
      </c>
      <c r="M2496" s="1" t="str">
        <f>HYPERLINK("http://ms.phosphosite.org:5080/cgi-bin/plot-msms.cgi?MassType=1&amp;NumAxis=1&amp;Mod11=170&amp;Pep=GSYLGGYSAGRGIY&amp;Dta=/var/www/html/dta/yong/23613.11978.2.dta&amp;Global_Mod=CS57.0215", "11978")</f>
        <v>11978</v>
      </c>
      <c r="N2496" s="27">
        <v>50.48</v>
      </c>
      <c r="O2496" s="27">
        <v>50.42</v>
      </c>
      <c r="P2496" s="27">
        <v>4.4119999999999999</v>
      </c>
      <c r="Q2496" s="27">
        <v>3.2130000000000001</v>
      </c>
      <c r="R2496" s="27">
        <v>0.42280000000000001</v>
      </c>
      <c r="S2496" s="27">
        <v>1.0174000000000001</v>
      </c>
      <c r="T2496" s="27">
        <v>0.52500000000000002</v>
      </c>
      <c r="U2496" s="27">
        <v>0.4738</v>
      </c>
      <c r="V2496" s="1">
        <v>1</v>
      </c>
      <c r="W2496" s="1">
        <v>1</v>
      </c>
      <c r="X2496" s="27">
        <v>3.35</v>
      </c>
      <c r="Y2496" s="27">
        <v>2.81</v>
      </c>
      <c r="Z2496" s="28">
        <v>1000</v>
      </c>
      <c r="AA2496" s="28">
        <v>1000</v>
      </c>
      <c r="AB2496" s="1" t="s">
        <v>13</v>
      </c>
    </row>
    <row r="2497" spans="1:28">
      <c r="A2497" t="s">
        <v>1157</v>
      </c>
      <c r="B2497" s="2" t="s">
        <v>1259</v>
      </c>
      <c r="C2497" t="s">
        <v>1259</v>
      </c>
      <c r="D2497" s="1">
        <v>405</v>
      </c>
      <c r="E2497" t="s">
        <v>1260</v>
      </c>
      <c r="F2497" s="3" t="s">
        <v>3640</v>
      </c>
      <c r="G2497" s="1">
        <v>64.099999999999994</v>
      </c>
      <c r="H2497" t="s">
        <v>3641</v>
      </c>
      <c r="I2497" t="s">
        <v>3645</v>
      </c>
      <c r="J2497" s="1">
        <v>2</v>
      </c>
      <c r="K2497" s="1">
        <v>839.42079999999999</v>
      </c>
      <c r="L2497" s="1" t="str">
        <f>HYPERLINK("http://ms.phosphosite.org:5080/cgi-bin/plot-msms.cgi?MassType=1&amp;NumAxis=1&amp;Mod11=170&amp;Pep=GSYLGGYSAGRGIYSR&amp;Dta=/var/www/html/dta/yong/23612.9260.2.dta&amp;Global_Mod=CS57.0215", "9260")</f>
        <v>9260</v>
      </c>
      <c r="M2497" s="1" t="str">
        <f>HYPERLINK("http://ms.phosphosite.org:5080/cgi-bin/plot-msms.cgi?MassType=1&amp;NumAxis=1&amp;Mod11=170&amp;Pep=GSYLGGYSAGRGIYSR&amp;Dta=/var/www/html/dta/yong/23613.9321.2.dta&amp;Global_Mod=CS57.0215", "9321")</f>
        <v>9321</v>
      </c>
      <c r="N2497" s="27">
        <v>41.41</v>
      </c>
      <c r="O2497" s="27">
        <v>41.48</v>
      </c>
      <c r="P2497" s="27">
        <v>3.1880000000000002</v>
      </c>
      <c r="Q2497" s="27">
        <v>3.121</v>
      </c>
      <c r="R2497" s="27">
        <v>0.91990000000000005</v>
      </c>
      <c r="S2497" s="27">
        <v>1.0207999999999999</v>
      </c>
      <c r="T2497" s="27">
        <v>0.33460000000000001</v>
      </c>
      <c r="U2497" s="27">
        <v>0.32490000000000002</v>
      </c>
      <c r="V2497" s="1">
        <v>1</v>
      </c>
      <c r="W2497" s="1">
        <v>23</v>
      </c>
      <c r="X2497" s="27">
        <v>2.13</v>
      </c>
      <c r="Y2497" s="27">
        <v>2.02</v>
      </c>
      <c r="Z2497" s="28">
        <v>1000</v>
      </c>
      <c r="AA2497" s="28">
        <v>1000</v>
      </c>
      <c r="AB2497" s="1" t="s">
        <v>13</v>
      </c>
    </row>
    <row r="2498" spans="1:28">
      <c r="A2498" t="s">
        <v>1157</v>
      </c>
      <c r="B2498" s="2" t="s">
        <v>1259</v>
      </c>
      <c r="C2498" t="s">
        <v>1259</v>
      </c>
      <c r="D2498" s="1">
        <v>405</v>
      </c>
      <c r="E2498" t="s">
        <v>1260</v>
      </c>
      <c r="F2498" s="3" t="s">
        <v>3640</v>
      </c>
      <c r="G2498" s="1">
        <v>64.099999999999994</v>
      </c>
      <c r="H2498" t="s">
        <v>3641</v>
      </c>
      <c r="I2498" t="s">
        <v>3645</v>
      </c>
      <c r="J2498" s="1">
        <v>3</v>
      </c>
      <c r="K2498" s="1">
        <v>559.94960000000003</v>
      </c>
      <c r="L2498" s="1" t="str">
        <f>HYPERLINK("http://ms.phosphosite.org:5080/cgi-bin/plot-msms.cgi?MassType=1&amp;NumAxis=1&amp;Mod11=170&amp;Pep=GSYLGGYSAGRGIYSR&amp;Dta=/var/www/html/dta/yong/23612.9232.3.dta&amp;Global_Mod=CS57.0215", "9232")</f>
        <v>9232</v>
      </c>
      <c r="M2498" s="1" t="str">
        <f>HYPERLINK("http://ms.phosphosite.org:5080/cgi-bin/plot-msms.cgi?MassType=1&amp;NumAxis=1&amp;Mod11=170&amp;Pep=GSYLGGYSAGRGIYSR&amp;Dta=/var/www/html/dta/yong/23613.9291.3.dta&amp;Global_Mod=CS57.0215", "9291")</f>
        <v>9291</v>
      </c>
      <c r="N2498" s="27">
        <v>41.31</v>
      </c>
      <c r="O2498" s="27">
        <v>41.39</v>
      </c>
      <c r="P2498" s="27">
        <v>1.9930000000000001</v>
      </c>
      <c r="Q2498" s="27">
        <v>2.6549999999999998</v>
      </c>
      <c r="R2498" s="27">
        <v>-7.6399999999999996E-2</v>
      </c>
      <c r="S2498" s="27">
        <v>0.1106</v>
      </c>
      <c r="T2498" s="27">
        <v>0.22470000000000001</v>
      </c>
      <c r="U2498" s="27">
        <v>0.29620000000000002</v>
      </c>
      <c r="V2498" s="1">
        <v>1</v>
      </c>
      <c r="W2498" s="1">
        <v>1</v>
      </c>
      <c r="X2498" s="27">
        <v>1.41</v>
      </c>
      <c r="Y2498" s="27">
        <v>1.86</v>
      </c>
      <c r="Z2498" s="28">
        <v>1000</v>
      </c>
      <c r="AA2498" s="28">
        <v>1000</v>
      </c>
      <c r="AB2498" s="1" t="s">
        <v>13</v>
      </c>
    </row>
    <row r="2499" spans="1:28">
      <c r="A2499" t="s">
        <v>1157</v>
      </c>
      <c r="B2499" s="2" t="s">
        <v>1259</v>
      </c>
      <c r="C2499" t="s">
        <v>1259</v>
      </c>
      <c r="D2499" s="1" t="s">
        <v>1519</v>
      </c>
      <c r="E2499" t="s">
        <v>1260</v>
      </c>
      <c r="F2499" s="3" t="s">
        <v>3640</v>
      </c>
      <c r="G2499" s="1">
        <v>64.099999999999994</v>
      </c>
      <c r="H2499" t="s">
        <v>1264</v>
      </c>
      <c r="I2499" t="s">
        <v>3646</v>
      </c>
      <c r="J2499" s="1">
        <v>2</v>
      </c>
      <c r="K2499" s="1">
        <v>713.36530000000005</v>
      </c>
      <c r="L2499" s="1"/>
      <c r="M2499" s="1" t="str">
        <f>HYPERLINK("http://ms.phosphosite.org:5080/cgi-bin/plot-msms.cgi?MassType=1&amp;NumAxis=1&amp;Mod3=170&amp;Mod14=170&amp;Pep=GPRGSYLGGYSAGR&amp;Dta=/var/www/html/dta/yong/23613.6517.2.dta&amp;Global_Mod=CS57.0215", "6517")</f>
        <v>6517</v>
      </c>
      <c r="N2499" s="27"/>
      <c r="O2499" s="27">
        <v>31.28</v>
      </c>
      <c r="P2499" s="27"/>
      <c r="Q2499" s="27">
        <v>2.387</v>
      </c>
      <c r="R2499" s="27"/>
      <c r="S2499" s="27">
        <v>0.82920000000000005</v>
      </c>
      <c r="T2499" s="27"/>
      <c r="U2499" s="27">
        <v>0.2752</v>
      </c>
      <c r="V2499" s="1"/>
      <c r="W2499" s="1">
        <v>1</v>
      </c>
      <c r="X2499" s="27"/>
      <c r="Y2499" s="27">
        <v>1.68</v>
      </c>
      <c r="Z2499" s="28"/>
      <c r="AA2499" s="28" t="s">
        <v>1306</v>
      </c>
      <c r="AB2499" s="1" t="s">
        <v>13</v>
      </c>
    </row>
    <row r="2500" spans="1:28">
      <c r="A2500" t="s">
        <v>1157</v>
      </c>
      <c r="B2500" s="2" t="s">
        <v>1259</v>
      </c>
      <c r="C2500" t="s">
        <v>1259</v>
      </c>
      <c r="D2500" s="1" t="s">
        <v>1519</v>
      </c>
      <c r="E2500" t="s">
        <v>1260</v>
      </c>
      <c r="F2500" s="3" t="s">
        <v>3640</v>
      </c>
      <c r="G2500" s="1">
        <v>64.099999999999994</v>
      </c>
      <c r="H2500" t="s">
        <v>1264</v>
      </c>
      <c r="I2500" t="s">
        <v>3646</v>
      </c>
      <c r="J2500" s="1">
        <v>3</v>
      </c>
      <c r="K2500" s="1">
        <v>475.9126</v>
      </c>
      <c r="L2500" s="1" t="str">
        <f>HYPERLINK("http://ms.phosphosite.org:5080/cgi-bin/plot-msms.cgi?MassType=1&amp;NumAxis=1&amp;Mod3=170&amp;Mod14=170&amp;Pep=GPRGSYLGGYSAGR&amp;Dta=/var/www/html/dta/yong/23612.6445.3.dta&amp;Global_Mod=CS57.0215", "6445")</f>
        <v>6445</v>
      </c>
      <c r="M2500" s="1" t="str">
        <f>HYPERLINK("http://ms.phosphosite.org:5080/cgi-bin/plot-msms.cgi?MassType=1&amp;NumAxis=1&amp;Mod3=170&amp;Mod14=170&amp;Pep=GPRGSYLGGYSAGR&amp;Dta=/var/www/html/dta/yong/23613.6482.3.dta&amp;Global_Mod=CS57.0215", "6482")</f>
        <v>6482</v>
      </c>
      <c r="N2500" s="27">
        <v>31.21</v>
      </c>
      <c r="O2500" s="27">
        <v>31.16</v>
      </c>
      <c r="P2500" s="27">
        <v>3.0659999999999998</v>
      </c>
      <c r="Q2500" s="27">
        <v>3.069</v>
      </c>
      <c r="R2500" s="27">
        <v>-0.32129999999999997</v>
      </c>
      <c r="S2500" s="27">
        <v>-3.9300000000000002E-2</v>
      </c>
      <c r="T2500" s="27">
        <v>7.7200000000000005E-2</v>
      </c>
      <c r="U2500" s="27">
        <v>0.1447</v>
      </c>
      <c r="V2500" s="1">
        <v>1</v>
      </c>
      <c r="W2500" s="1">
        <v>5</v>
      </c>
      <c r="X2500" s="27">
        <v>0.9</v>
      </c>
      <c r="Y2500" s="27">
        <v>1.21</v>
      </c>
      <c r="Z2500" s="28" t="s">
        <v>1306</v>
      </c>
      <c r="AA2500" s="28" t="s">
        <v>1306</v>
      </c>
      <c r="AB2500" s="1" t="s">
        <v>13</v>
      </c>
    </row>
    <row r="2501" spans="1:28">
      <c r="A2501" t="s">
        <v>1157</v>
      </c>
      <c r="B2501" s="29" t="s">
        <v>3647</v>
      </c>
      <c r="C2501" s="26" t="s">
        <v>3647</v>
      </c>
      <c r="D2501" s="1">
        <v>332</v>
      </c>
      <c r="E2501" t="s">
        <v>1260</v>
      </c>
      <c r="F2501" s="3" t="s">
        <v>3640</v>
      </c>
      <c r="G2501" s="1">
        <v>64.099999999999994</v>
      </c>
      <c r="H2501" t="s">
        <v>3648</v>
      </c>
      <c r="I2501" t="s">
        <v>3649</v>
      </c>
      <c r="J2501" s="1">
        <v>3</v>
      </c>
      <c r="K2501" s="1">
        <v>801.69389999999999</v>
      </c>
      <c r="L2501" s="1" t="str">
        <f>HYPERLINK("http://ms.phosphosite.org:5080/cgi-bin/plot-msms.cgi?MassType=1&amp;NumAxis=1&amp;Mod3=170&amp;Pep=AARGGGAAEAAQQPSYVYSCDPY&amp;Dta=/var/www/html/dta/yong/23612.10131.3.dta&amp;Global_Mod=CS57.0215", "10131")</f>
        <v>10131</v>
      </c>
      <c r="M2501" s="1"/>
      <c r="N2501" s="27">
        <v>44.43</v>
      </c>
      <c r="O2501" s="27"/>
      <c r="P2501" s="27">
        <v>3.0179999999999998</v>
      </c>
      <c r="Q2501" s="27"/>
      <c r="R2501" s="27">
        <v>2.3359000000000001</v>
      </c>
      <c r="S2501" s="27"/>
      <c r="T2501" s="27">
        <v>0.27939999999999998</v>
      </c>
      <c r="U2501" s="27"/>
      <c r="V2501" s="1">
        <v>1</v>
      </c>
      <c r="W2501" s="1"/>
      <c r="X2501" s="27">
        <v>1.73</v>
      </c>
      <c r="Y2501" s="27"/>
      <c r="Z2501" s="28">
        <v>1000</v>
      </c>
      <c r="AA2501" s="28"/>
      <c r="AB2501" s="1" t="s">
        <v>13</v>
      </c>
    </row>
    <row r="2502" spans="1:28">
      <c r="A2502" t="s">
        <v>1157</v>
      </c>
      <c r="B2502" s="29" t="s">
        <v>3647</v>
      </c>
      <c r="C2502" s="26" t="s">
        <v>3647</v>
      </c>
      <c r="D2502" s="1">
        <v>332</v>
      </c>
      <c r="E2502" t="s">
        <v>1260</v>
      </c>
      <c r="F2502" s="3" t="s">
        <v>3640</v>
      </c>
      <c r="G2502" s="1">
        <v>64.099999999999994</v>
      </c>
      <c r="H2502" t="s">
        <v>3648</v>
      </c>
      <c r="I2502" t="s">
        <v>3650</v>
      </c>
      <c r="J2502" s="1">
        <v>3</v>
      </c>
      <c r="K2502" s="1">
        <v>896.75009999999997</v>
      </c>
      <c r="L2502" s="1" t="str">
        <f>HYPERLINK("http://ms.phosphosite.org:5080/cgi-bin/plot-msms.cgi?MassType=1&amp;NumAxis=1&amp;Mod3=170&amp;Pep=AARGGGAAEAAQQPSYVYSCDPYTLA&amp;Dta=/var/www/html/dta/yong/23612.13028.3.dta&amp;Global_Mod=CS57.0215", "13028")</f>
        <v>13028</v>
      </c>
      <c r="M2502" s="1" t="str">
        <f>HYPERLINK("http://ms.phosphosite.org:5080/cgi-bin/plot-msms.cgi?MassType=1&amp;NumAxis=1&amp;Mod3=170&amp;Pep=AARGGGAAEAAQQPSYVYSCDPYTLA&amp;Dta=/var/www/html/dta/yong/23613.13140.3.dta&amp;Global_Mod=CS57.0215", "13140")</f>
        <v>13140</v>
      </c>
      <c r="N2502" s="27">
        <v>54.36</v>
      </c>
      <c r="O2502" s="27">
        <v>54.41</v>
      </c>
      <c r="P2502" s="27">
        <v>2.7320000000000002</v>
      </c>
      <c r="Q2502" s="27">
        <v>2.782</v>
      </c>
      <c r="R2502" s="27">
        <v>1.6521999999999999</v>
      </c>
      <c r="S2502" s="27">
        <v>-0.1487</v>
      </c>
      <c r="T2502" s="27">
        <v>0.19370000000000001</v>
      </c>
      <c r="U2502" s="27">
        <v>0.23080000000000001</v>
      </c>
      <c r="V2502" s="1">
        <v>2</v>
      </c>
      <c r="W2502" s="1">
        <v>1</v>
      </c>
      <c r="X2502" s="27">
        <v>1.25</v>
      </c>
      <c r="Y2502" s="27">
        <v>1.42</v>
      </c>
      <c r="Z2502" s="28">
        <v>1000</v>
      </c>
      <c r="AA2502" s="28">
        <v>1000</v>
      </c>
      <c r="AB2502" s="1" t="s">
        <v>13</v>
      </c>
    </row>
    <row r="2503" spans="1:28">
      <c r="A2503" t="s">
        <v>1157</v>
      </c>
      <c r="B2503" s="29" t="s">
        <v>3647</v>
      </c>
      <c r="C2503" s="26" t="s">
        <v>3647</v>
      </c>
      <c r="D2503" s="1">
        <v>332</v>
      </c>
      <c r="E2503" t="s">
        <v>1260</v>
      </c>
      <c r="F2503" s="3" t="s">
        <v>3640</v>
      </c>
      <c r="G2503" s="1">
        <v>64.099999999999994</v>
      </c>
      <c r="H2503" t="s">
        <v>3648</v>
      </c>
      <c r="I2503" t="s">
        <v>3651</v>
      </c>
      <c r="J2503" s="1">
        <v>3</v>
      </c>
      <c r="K2503" s="1">
        <v>1444.0147999999999</v>
      </c>
      <c r="L2503" s="1" t="str">
        <f>HYPERLINK("http://ms.phosphosite.org:5080/cgi-bin/plot-msms.cgi?MassType=1&amp;NumAxis=1&amp;Mod3=170&amp;Pep=AARGGGAAEAAQQPSYVYSCDPYTLAYYGYPYNALIGPNR&amp;Dta=/var/www/html/dta/yong/23612.17973.3.dta&amp;Global_Mod=CS57.0215", "17973")</f>
        <v>17973</v>
      </c>
      <c r="M2503" s="1"/>
      <c r="N2503" s="27">
        <v>74.06</v>
      </c>
      <c r="O2503" s="27"/>
      <c r="P2503" s="27">
        <v>5.8490000000000002</v>
      </c>
      <c r="Q2503" s="27"/>
      <c r="R2503" s="27">
        <v>2.3130999999999999</v>
      </c>
      <c r="S2503" s="27"/>
      <c r="T2503" s="27">
        <v>0.43609999999999999</v>
      </c>
      <c r="U2503" s="27"/>
      <c r="V2503" s="1">
        <v>1</v>
      </c>
      <c r="W2503" s="1"/>
      <c r="X2503" s="27">
        <v>2.86</v>
      </c>
      <c r="Y2503" s="27"/>
      <c r="Z2503" s="28">
        <v>1000</v>
      </c>
      <c r="AA2503" s="28"/>
      <c r="AB2503" s="1" t="s">
        <v>13</v>
      </c>
    </row>
    <row r="2504" spans="1:28">
      <c r="A2504" t="s">
        <v>1157</v>
      </c>
      <c r="B2504" s="29" t="s">
        <v>3647</v>
      </c>
      <c r="C2504" s="26" t="s">
        <v>3647</v>
      </c>
      <c r="D2504" s="1">
        <v>332</v>
      </c>
      <c r="E2504" t="s">
        <v>1260</v>
      </c>
      <c r="F2504" s="3" t="s">
        <v>3640</v>
      </c>
      <c r="G2504" s="1">
        <v>64.099999999999994</v>
      </c>
      <c r="H2504" t="s">
        <v>3648</v>
      </c>
      <c r="I2504" t="s">
        <v>3651</v>
      </c>
      <c r="J2504" s="1">
        <v>3</v>
      </c>
      <c r="K2504" s="1">
        <v>1444.0147999999999</v>
      </c>
      <c r="L2504" s="1" t="str">
        <f>HYPERLINK("http://ms.phosphosite.org:5080/cgi-bin/plot-msms.cgi?MassType=1&amp;NumAxis=1&amp;Mod3=170&amp;Pep=AARGGGAAEAAQQPSYVYSCDPYTLAYYGYPYNALIGPNR&amp;Dta=/var/www/html/dta/yong/23612.17924.3.dta&amp;Global_Mod=CS57.0215", "17924")</f>
        <v>17924</v>
      </c>
      <c r="M2504" s="1"/>
      <c r="N2504" s="27">
        <v>73.84</v>
      </c>
      <c r="O2504" s="27"/>
      <c r="P2504" s="27">
        <v>5.4829999999999997</v>
      </c>
      <c r="Q2504" s="27"/>
      <c r="R2504" s="27">
        <v>2.3130999999999999</v>
      </c>
      <c r="S2504" s="27"/>
      <c r="T2504" s="27">
        <v>0.48980000000000001</v>
      </c>
      <c r="U2504" s="27"/>
      <c r="V2504" s="1">
        <v>1</v>
      </c>
      <c r="W2504" s="1"/>
      <c r="X2504" s="27">
        <v>3.05</v>
      </c>
      <c r="Y2504" s="27"/>
      <c r="Z2504" s="28">
        <v>1000</v>
      </c>
      <c r="AA2504" s="28"/>
      <c r="AB2504" s="1" t="s">
        <v>13</v>
      </c>
    </row>
    <row r="2505" spans="1:28">
      <c r="A2505" t="s">
        <v>1157</v>
      </c>
      <c r="B2505" s="29" t="s">
        <v>3647</v>
      </c>
      <c r="C2505" s="26" t="s">
        <v>3647</v>
      </c>
      <c r="D2505" s="1">
        <v>332</v>
      </c>
      <c r="E2505" t="s">
        <v>1260</v>
      </c>
      <c r="F2505" s="3" t="s">
        <v>3640</v>
      </c>
      <c r="G2505" s="1">
        <v>64.099999999999994</v>
      </c>
      <c r="H2505" t="s">
        <v>3648</v>
      </c>
      <c r="I2505" t="s">
        <v>3651</v>
      </c>
      <c r="J2505" s="1">
        <v>4</v>
      </c>
      <c r="K2505" s="1">
        <v>1083.2628999999999</v>
      </c>
      <c r="L2505" s="1" t="str">
        <f>HYPERLINK("http://ms.phosphosite.org:5080/cgi-bin/plot-msms.cgi?MassType=1&amp;NumAxis=1&amp;Mod3=170&amp;Pep=AARGGGAAEAAQQPSYVYSCDPYTLAYYGYPYNALIGPNR&amp;Dta=/var/www/html/dta/yong/23612.17915.4.dta&amp;Global_Mod=CS57.0215", "17915")</f>
        <v>17915</v>
      </c>
      <c r="M2505" s="1" t="str">
        <f>HYPERLINK("http://ms.phosphosite.org:5080/cgi-bin/plot-msms.cgi?MassType=1&amp;NumAxis=1&amp;Mod3=170&amp;Pep=AARGGGAAEAAQQPSYVYSCDPYTLAYYGYPYNALIGPNR&amp;Dta=/var/www/html/dta/yong/23613.18063.4.dta&amp;Global_Mod=CS57.0215", "18063")</f>
        <v>18063</v>
      </c>
      <c r="N2505" s="27">
        <v>73.8</v>
      </c>
      <c r="O2505" s="27">
        <v>74.010000000000005</v>
      </c>
      <c r="P2505" s="27">
        <v>4.9870000000000001</v>
      </c>
      <c r="Q2505" s="27">
        <v>3.43</v>
      </c>
      <c r="R2505" s="27">
        <v>1.6022000000000001</v>
      </c>
      <c r="S2505" s="27">
        <v>1.0434000000000001</v>
      </c>
      <c r="T2505" s="27">
        <v>0.48209999999999997</v>
      </c>
      <c r="U2505" s="27">
        <v>0.12470000000000001</v>
      </c>
      <c r="V2505" s="1">
        <v>1</v>
      </c>
      <c r="W2505" s="1">
        <v>14</v>
      </c>
      <c r="X2505" s="27">
        <v>3.02</v>
      </c>
      <c r="Y2505" s="27">
        <v>0.89</v>
      </c>
      <c r="Z2505" s="28">
        <v>1000</v>
      </c>
      <c r="AA2505" s="28">
        <v>1000</v>
      </c>
      <c r="AB2505" s="1" t="s">
        <v>13</v>
      </c>
    </row>
    <row r="2506" spans="1:28">
      <c r="A2506" t="s">
        <v>1157</v>
      </c>
      <c r="B2506" s="29" t="s">
        <v>3647</v>
      </c>
      <c r="C2506" s="26" t="s">
        <v>3647</v>
      </c>
      <c r="D2506" s="1">
        <v>332</v>
      </c>
      <c r="E2506" t="s">
        <v>1260</v>
      </c>
      <c r="F2506" s="3" t="s">
        <v>3640</v>
      </c>
      <c r="G2506" s="1">
        <v>64.099999999999994</v>
      </c>
      <c r="H2506" t="s">
        <v>3648</v>
      </c>
      <c r="I2506" t="s">
        <v>3651</v>
      </c>
      <c r="J2506" s="1">
        <v>4</v>
      </c>
      <c r="K2506" s="1">
        <v>1083.2628999999999</v>
      </c>
      <c r="L2506" s="1" t="str">
        <f>HYPERLINK("http://ms.phosphosite.org:5080/cgi-bin/plot-msms.cgi?MassType=1&amp;NumAxis=1&amp;Mod3=170&amp;Pep=AARGGGAAEAAQQPSYVYSCDPYTLAYYGYPYNALIGPNR&amp;Dta=/var/www/html/dta/yong/23612.17923.4.dta&amp;Global_Mod=CS57.0215", "17923")</f>
        <v>17923</v>
      </c>
      <c r="M2506" s="1" t="str">
        <f>HYPERLINK("http://ms.phosphosite.org:5080/cgi-bin/plot-msms.cgi?MassType=1&amp;NumAxis=1&amp;Mod3=170&amp;Pep=AARGGGAAEAAQQPSYVYSCDPYTLAYYGYPYNALIGPNR&amp;Dta=/var/www/html/dta/yong/23613.18015.4.dta&amp;Global_Mod=CS57.0215", "18015")</f>
        <v>18015</v>
      </c>
      <c r="N2506" s="27">
        <v>73.84</v>
      </c>
      <c r="O2506" s="27">
        <v>73.790000000000006</v>
      </c>
      <c r="P2506" s="27">
        <v>4.9779999999999998</v>
      </c>
      <c r="Q2506" s="27">
        <v>5.2809999999999997</v>
      </c>
      <c r="R2506" s="27">
        <v>1.4757</v>
      </c>
      <c r="S2506" s="27">
        <v>1.0434000000000001</v>
      </c>
      <c r="T2506" s="27">
        <v>0.42949999999999999</v>
      </c>
      <c r="U2506" s="27">
        <v>0.45369999999999999</v>
      </c>
      <c r="V2506" s="1">
        <v>1</v>
      </c>
      <c r="W2506" s="1">
        <v>1</v>
      </c>
      <c r="X2506" s="27">
        <v>2.76</v>
      </c>
      <c r="Y2506" s="27">
        <v>2.9</v>
      </c>
      <c r="Z2506" s="28">
        <v>1000</v>
      </c>
      <c r="AA2506" s="28">
        <v>1000</v>
      </c>
      <c r="AB2506" s="1" t="s">
        <v>13</v>
      </c>
    </row>
    <row r="2507" spans="1:28">
      <c r="A2507" t="s">
        <v>1157</v>
      </c>
      <c r="B2507" s="29" t="s">
        <v>3647</v>
      </c>
      <c r="C2507" s="26" t="s">
        <v>3647</v>
      </c>
      <c r="D2507" s="1">
        <v>332</v>
      </c>
      <c r="E2507" t="s">
        <v>1260</v>
      </c>
      <c r="F2507" s="3" t="s">
        <v>3640</v>
      </c>
      <c r="G2507" s="1">
        <v>64.099999999999994</v>
      </c>
      <c r="H2507" t="s">
        <v>3648</v>
      </c>
      <c r="I2507" t="s">
        <v>3651</v>
      </c>
      <c r="J2507" s="1">
        <v>4</v>
      </c>
      <c r="K2507" s="1">
        <v>1083.2628999999999</v>
      </c>
      <c r="L2507" s="1" t="str">
        <f>HYPERLINK("http://ms.phosphosite.org:5080/cgi-bin/plot-msms.cgi?MassType=1&amp;NumAxis=1&amp;Mod3=170&amp;Pep=AARGGGAAEAAQQPSYVYSCDPYTLAYYGYPYNALIGPNR&amp;Dta=/var/www/html/dta/yong/23612.17969.4.dta&amp;Global_Mod=CS57.0215", "17969")</f>
        <v>17969</v>
      </c>
      <c r="M2507" s="1"/>
      <c r="N2507" s="27">
        <v>74.040000000000006</v>
      </c>
      <c r="O2507" s="27"/>
      <c r="P2507" s="27">
        <v>4.9119999999999999</v>
      </c>
      <c r="Q2507" s="27"/>
      <c r="R2507" s="27">
        <v>1.1976</v>
      </c>
      <c r="S2507" s="27"/>
      <c r="T2507" s="27">
        <v>0.40129999999999999</v>
      </c>
      <c r="U2507" s="27"/>
      <c r="V2507" s="1">
        <v>1</v>
      </c>
      <c r="W2507" s="1"/>
      <c r="X2507" s="27">
        <v>2.62</v>
      </c>
      <c r="Y2507" s="27"/>
      <c r="Z2507" s="28">
        <v>1000</v>
      </c>
      <c r="AA2507" s="28"/>
      <c r="AB2507" s="1" t="s">
        <v>13</v>
      </c>
    </row>
    <row r="2508" spans="1:28">
      <c r="A2508" t="s">
        <v>1157</v>
      </c>
      <c r="B2508" s="29" t="s">
        <v>3652</v>
      </c>
      <c r="C2508" s="26" t="s">
        <v>3652</v>
      </c>
      <c r="D2508" s="1">
        <v>684</v>
      </c>
      <c r="E2508" t="s">
        <v>3653</v>
      </c>
      <c r="F2508" s="3" t="s">
        <v>3654</v>
      </c>
      <c r="G2508" s="1">
        <v>144.6</v>
      </c>
      <c r="H2508" t="s">
        <v>3655</v>
      </c>
      <c r="I2508" t="s">
        <v>3656</v>
      </c>
      <c r="J2508" s="1">
        <v>2</v>
      </c>
      <c r="K2508" s="1">
        <v>614.23839999999996</v>
      </c>
      <c r="L2508" s="1" t="str">
        <f>HYPERLINK("http://ms.phosphosite.org:5080/cgi-bin/plot-msms.cgi?MassType=1&amp;NumAxis=1&amp;Mod9=170&amp;Pep=DNENQCDYR&amp;Dta=/var/www/html/dta/yong/23612.7809.2.dta&amp;Global_Mod=CS57.0215", "7809")</f>
        <v>7809</v>
      </c>
      <c r="M2508" s="1"/>
      <c r="N2508" s="27">
        <v>36.14</v>
      </c>
      <c r="O2508" s="27"/>
      <c r="P2508" s="27">
        <v>1.4239999999999999</v>
      </c>
      <c r="Q2508" s="27"/>
      <c r="R2508" s="27">
        <v>-3.2490999999999999</v>
      </c>
      <c r="S2508" s="27"/>
      <c r="T2508" s="27">
        <v>0.20780000000000001</v>
      </c>
      <c r="U2508" s="27"/>
      <c r="V2508" s="1">
        <v>1</v>
      </c>
      <c r="W2508" s="1"/>
      <c r="X2508" s="27">
        <v>1.1399999999999999</v>
      </c>
      <c r="Y2508" s="27"/>
      <c r="Z2508" s="28">
        <v>1000</v>
      </c>
      <c r="AA2508" s="28"/>
      <c r="AB2508" s="1" t="s">
        <v>13</v>
      </c>
    </row>
    <row r="2509" spans="1:28">
      <c r="A2509" t="s">
        <v>1157</v>
      </c>
      <c r="B2509" s="29" t="s">
        <v>3657</v>
      </c>
      <c r="C2509" s="26" t="s">
        <v>3657</v>
      </c>
      <c r="D2509" s="30" t="s">
        <v>3658</v>
      </c>
      <c r="E2509" t="s">
        <v>3659</v>
      </c>
      <c r="F2509" s="3" t="s">
        <v>3660</v>
      </c>
      <c r="G2509" s="1">
        <v>27.7</v>
      </c>
      <c r="H2509" t="s">
        <v>3661</v>
      </c>
      <c r="I2509" t="s">
        <v>3662</v>
      </c>
      <c r="J2509" s="1">
        <v>2</v>
      </c>
      <c r="K2509" s="1">
        <v>778.39350000000002</v>
      </c>
      <c r="L2509" s="1" t="str">
        <f>HYPERLINK("http://ms.phosphosite.org:5080/cgi-bin/plot-msms.cgi?MassType=1&amp;NumAxis=1&amp;Mod3=170&amp;Mod7=170&amp;Pep=SGRGTGRGGGGGGGGGAPR&amp;Dta=/var/www/html/dta/yong/23612.787.2.dta&amp;Global_Mod=CS57.0215", "787")</f>
        <v>787</v>
      </c>
      <c r="M2509" s="1"/>
      <c r="N2509" s="27">
        <v>9.6999999999999993</v>
      </c>
      <c r="O2509" s="27"/>
      <c r="P2509" s="27">
        <v>2.4910000000000001</v>
      </c>
      <c r="Q2509" s="27"/>
      <c r="R2509" s="27">
        <v>1.1354</v>
      </c>
      <c r="S2509" s="27"/>
      <c r="T2509" s="27">
        <v>0.27829999999999999</v>
      </c>
      <c r="U2509" s="27"/>
      <c r="V2509" s="1">
        <v>4</v>
      </c>
      <c r="W2509" s="1"/>
      <c r="X2509" s="27">
        <v>1.59</v>
      </c>
      <c r="Y2509" s="27"/>
      <c r="Z2509" s="28" t="s">
        <v>1306</v>
      </c>
      <c r="AA2509" s="28"/>
      <c r="AB2509" s="1" t="s">
        <v>13</v>
      </c>
    </row>
    <row r="2510" spans="1:28">
      <c r="A2510" t="s">
        <v>1157</v>
      </c>
      <c r="B2510" s="29" t="s">
        <v>3657</v>
      </c>
      <c r="C2510" s="26" t="s">
        <v>3657</v>
      </c>
      <c r="D2510" s="30" t="s">
        <v>3658</v>
      </c>
      <c r="E2510" t="s">
        <v>3659</v>
      </c>
      <c r="F2510" s="3" t="s">
        <v>3660</v>
      </c>
      <c r="G2510" s="1">
        <v>27.7</v>
      </c>
      <c r="H2510" t="s">
        <v>3661</v>
      </c>
      <c r="I2510" t="s">
        <v>3662</v>
      </c>
      <c r="J2510" s="1">
        <v>3</v>
      </c>
      <c r="K2510" s="1">
        <v>519.26469999999995</v>
      </c>
      <c r="L2510" s="1" t="str">
        <f>HYPERLINK("http://ms.phosphosite.org:5080/cgi-bin/plot-msms.cgi?MassType=1&amp;NumAxis=1&amp;Mod3=170&amp;Mod7=170&amp;Pep=SGRGTGRGGGGGGGGGAPR&amp;Dta=/var/www/html/dta/yong/23612.786.3.dta&amp;Global_Mod=CS57.0215", "786")</f>
        <v>786</v>
      </c>
      <c r="M2510" s="1"/>
      <c r="N2510" s="27">
        <v>9.6999999999999993</v>
      </c>
      <c r="O2510" s="27"/>
      <c r="P2510" s="27">
        <v>2.4969999999999999</v>
      </c>
      <c r="Q2510" s="27"/>
      <c r="R2510" s="27">
        <v>0.25259999999999999</v>
      </c>
      <c r="S2510" s="27"/>
      <c r="T2510" s="27">
        <v>0.1447</v>
      </c>
      <c r="U2510" s="27"/>
      <c r="V2510" s="1">
        <v>9</v>
      </c>
      <c r="W2510" s="1"/>
      <c r="X2510" s="27">
        <v>1.01</v>
      </c>
      <c r="Y2510" s="27"/>
      <c r="Z2510" s="28" t="s">
        <v>1306</v>
      </c>
      <c r="AA2510" s="28"/>
      <c r="AB2510" s="1" t="s">
        <v>13</v>
      </c>
    </row>
    <row r="2511" spans="1:28">
      <c r="A2511" t="s">
        <v>1157</v>
      </c>
      <c r="B2511" s="29" t="s">
        <v>3657</v>
      </c>
      <c r="C2511" s="26" t="s">
        <v>3657</v>
      </c>
      <c r="D2511" s="30" t="s">
        <v>3663</v>
      </c>
      <c r="E2511" t="s">
        <v>3659</v>
      </c>
      <c r="F2511" s="3" t="s">
        <v>3660</v>
      </c>
      <c r="G2511" s="1">
        <v>27.7</v>
      </c>
      <c r="H2511" t="s">
        <v>3664</v>
      </c>
      <c r="I2511" t="s">
        <v>3665</v>
      </c>
      <c r="J2511" s="1">
        <v>2</v>
      </c>
      <c r="K2511" s="1">
        <v>628.31619999999998</v>
      </c>
      <c r="L2511" s="1" t="str">
        <f>HYPERLINK("http://ms.phosphosite.org:5080/cgi-bin/plot-msms.cgi?MassType=1&amp;NumAxis=1&amp;Mod4=170&amp;Mod16=170&amp;Pep=GTGRGGGGGGGGGAPR&amp;Dta=/var/www/html/dta/yong/23612.877.2.dta&amp;Global_Mod=CS57.0215", "877")</f>
        <v>877</v>
      </c>
      <c r="M2511" s="1" t="str">
        <f>HYPERLINK("http://ms.phosphosite.org:5080/cgi-bin/plot-msms.cgi?MassType=1&amp;NumAxis=1&amp;Mod4=170&amp;Mod16=170&amp;Pep=GTGRGGGGGGGGGAPR&amp;Dta=/var/www/html/dta/yong/23613.893.2.dta&amp;Global_Mod=CS57.0215", "893")</f>
        <v>893</v>
      </c>
      <c r="N2511" s="27">
        <v>10.1</v>
      </c>
      <c r="O2511" s="27">
        <v>9.99</v>
      </c>
      <c r="P2511" s="27">
        <v>2.8570000000000002</v>
      </c>
      <c r="Q2511" s="27">
        <v>3.0369999999999999</v>
      </c>
      <c r="R2511" s="27">
        <v>0.60470000000000002</v>
      </c>
      <c r="S2511" s="27">
        <v>1.0357000000000001</v>
      </c>
      <c r="T2511" s="27">
        <v>0.21149999999999999</v>
      </c>
      <c r="U2511" s="27">
        <v>0.23849999999999999</v>
      </c>
      <c r="V2511" s="1">
        <v>1</v>
      </c>
      <c r="W2511" s="1">
        <v>3</v>
      </c>
      <c r="X2511" s="27">
        <v>1.58</v>
      </c>
      <c r="Y2511" s="27">
        <v>1.72</v>
      </c>
      <c r="Z2511" s="28" t="s">
        <v>1306</v>
      </c>
      <c r="AA2511" s="28" t="s">
        <v>1306</v>
      </c>
      <c r="AB2511" s="1" t="s">
        <v>13</v>
      </c>
    </row>
    <row r="2512" spans="1:28">
      <c r="A2512" t="s">
        <v>1157</v>
      </c>
      <c r="B2512" s="29" t="s">
        <v>3657</v>
      </c>
      <c r="C2512" s="26" t="s">
        <v>3657</v>
      </c>
      <c r="D2512" s="1">
        <v>97</v>
      </c>
      <c r="E2512" t="s">
        <v>3659</v>
      </c>
      <c r="F2512" s="3" t="s">
        <v>3660</v>
      </c>
      <c r="G2512" s="1">
        <v>27.7</v>
      </c>
      <c r="H2512" t="s">
        <v>3666</v>
      </c>
      <c r="I2512" t="s">
        <v>3667</v>
      </c>
      <c r="J2512" s="1">
        <v>2</v>
      </c>
      <c r="K2512" s="1">
        <v>621.30830000000003</v>
      </c>
      <c r="L2512" s="1" t="str">
        <f>HYPERLINK("http://ms.phosphosite.org:5080/cgi-bin/plot-msms.cgi?MassType=1&amp;NumAxis=1&amp;Mod4=170&amp;Pep=GTGRGGGGGGGGGAPR&amp;Dta=/var/www/html/dta/yong/23612.560.2.dta&amp;Global_Mod=CS57.0215", "560")</f>
        <v>560</v>
      </c>
      <c r="M2512" s="1" t="str">
        <f>HYPERLINK("http://ms.phosphosite.org:5080/cgi-bin/plot-msms.cgi?MassType=1&amp;NumAxis=1&amp;Mod4=170&amp;Pep=GTGRGGGGGGGGGAPR&amp;Dta=/var/www/html/dta/yong/23613.540.2.dta&amp;Global_Mod=CS57.0215", "540")</f>
        <v>540</v>
      </c>
      <c r="N2512" s="27">
        <v>7.32</v>
      </c>
      <c r="O2512" s="27">
        <v>6.93</v>
      </c>
      <c r="P2512" s="27">
        <v>2.121</v>
      </c>
      <c r="Q2512" s="27">
        <v>2.3980000000000001</v>
      </c>
      <c r="R2512" s="27">
        <v>1.2081</v>
      </c>
      <c r="S2512" s="27">
        <v>0.87239999999999995</v>
      </c>
      <c r="T2512" s="27">
        <v>0.1585</v>
      </c>
      <c r="U2512" s="27">
        <v>0.17460000000000001</v>
      </c>
      <c r="V2512" s="1">
        <v>12</v>
      </c>
      <c r="W2512" s="1">
        <v>1</v>
      </c>
      <c r="X2512" s="27">
        <v>1.1399999999999999</v>
      </c>
      <c r="Y2512" s="27">
        <v>1.28</v>
      </c>
      <c r="Z2512" s="28">
        <v>1000</v>
      </c>
      <c r="AA2512" s="28">
        <v>1000</v>
      </c>
      <c r="AB2512" s="1" t="s">
        <v>13</v>
      </c>
    </row>
    <row r="2513" spans="1:28">
      <c r="A2513" t="s">
        <v>1157</v>
      </c>
      <c r="B2513" s="29" t="s">
        <v>3657</v>
      </c>
      <c r="C2513" s="26" t="s">
        <v>3657</v>
      </c>
      <c r="D2513" s="1">
        <v>97</v>
      </c>
      <c r="E2513" t="s">
        <v>3659</v>
      </c>
      <c r="F2513" s="3" t="s">
        <v>3660</v>
      </c>
      <c r="G2513" s="1">
        <v>27.7</v>
      </c>
      <c r="H2513" t="s">
        <v>3666</v>
      </c>
      <c r="I2513" t="s">
        <v>3667</v>
      </c>
      <c r="J2513" s="1">
        <v>2</v>
      </c>
      <c r="K2513" s="1">
        <v>621.30830000000003</v>
      </c>
      <c r="L2513" s="1" t="str">
        <f>HYPERLINK("http://ms.phosphosite.org:5080/cgi-bin/plot-msms.cgi?MassType=1&amp;NumAxis=1&amp;Mod4=170&amp;Pep=GTGRGGGGGGGGGAPR&amp;Dta=/var/www/html/dta/yong/23612.654.2.dta&amp;Global_Mod=CS57.0215", "654")</f>
        <v>654</v>
      </c>
      <c r="M2513" s="1"/>
      <c r="N2513" s="27">
        <v>8.56</v>
      </c>
      <c r="O2513" s="27"/>
      <c r="P2513" s="27">
        <v>1.7949999999999999</v>
      </c>
      <c r="Q2513" s="27"/>
      <c r="R2513" s="27">
        <v>0.5917</v>
      </c>
      <c r="S2513" s="27"/>
      <c r="T2513" s="27">
        <v>0.17199999999999999</v>
      </c>
      <c r="U2513" s="27"/>
      <c r="V2513" s="1">
        <v>1</v>
      </c>
      <c r="W2513" s="1"/>
      <c r="X2513" s="27">
        <v>1.18</v>
      </c>
      <c r="Y2513" s="27"/>
      <c r="Z2513" s="28">
        <v>1000</v>
      </c>
      <c r="AA2513" s="28"/>
      <c r="AB2513" s="1" t="s">
        <v>13</v>
      </c>
    </row>
    <row r="2514" spans="1:28">
      <c r="A2514" t="s">
        <v>1157</v>
      </c>
      <c r="B2514" s="29" t="s">
        <v>3657</v>
      </c>
      <c r="C2514" s="26" t="s">
        <v>3657</v>
      </c>
      <c r="D2514" s="1">
        <v>97</v>
      </c>
      <c r="E2514" t="s">
        <v>3659</v>
      </c>
      <c r="F2514" s="3" t="s">
        <v>3660</v>
      </c>
      <c r="G2514" s="1">
        <v>27.7</v>
      </c>
      <c r="H2514" t="s">
        <v>3666</v>
      </c>
      <c r="I2514" t="s">
        <v>3667</v>
      </c>
      <c r="J2514" s="1">
        <v>3</v>
      </c>
      <c r="K2514" s="1">
        <v>414.54129999999998</v>
      </c>
      <c r="L2514" s="1" t="str">
        <f>HYPERLINK("http://ms.phosphosite.org:5080/cgi-bin/plot-msms.cgi?MassType=1&amp;NumAxis=1&amp;Mod4=170&amp;Pep=GTGRGGGGGGGGGAPR&amp;Dta=/var/www/html/dta/yong/23612.709.3.dta&amp;Global_Mod=CS57.0215", "709")</f>
        <v>709</v>
      </c>
      <c r="M2514" s="1" t="str">
        <f>HYPERLINK("http://ms.phosphosite.org:5080/cgi-bin/plot-msms.cgi?MassType=1&amp;NumAxis=1&amp;Mod4=170&amp;Pep=GTGRGGGGGGGGGAPR&amp;Dta=/var/www/html/dta/yong/23613.506.3.dta&amp;Global_Mod=CS57.0215", "506")</f>
        <v>506</v>
      </c>
      <c r="N2514" s="27">
        <v>9.1300000000000008</v>
      </c>
      <c r="O2514" s="27">
        <v>6.48</v>
      </c>
      <c r="P2514" s="27">
        <v>4.0419999999999998</v>
      </c>
      <c r="Q2514" s="27">
        <v>3.3170000000000002</v>
      </c>
      <c r="R2514" s="27">
        <v>0.19869999999999999</v>
      </c>
      <c r="S2514" s="27">
        <v>0.2034</v>
      </c>
      <c r="T2514" s="27">
        <v>0.1661</v>
      </c>
      <c r="U2514" s="27">
        <v>0.1118</v>
      </c>
      <c r="V2514" s="1">
        <v>1</v>
      </c>
      <c r="W2514" s="1">
        <v>2</v>
      </c>
      <c r="X2514" s="27">
        <v>1.64</v>
      </c>
      <c r="Y2514" s="27">
        <v>1.21</v>
      </c>
      <c r="Z2514" s="28">
        <v>1000</v>
      </c>
      <c r="AA2514" s="28">
        <v>1000</v>
      </c>
      <c r="AB2514" s="1" t="s">
        <v>13</v>
      </c>
    </row>
    <row r="2515" spans="1:28">
      <c r="A2515" t="s">
        <v>1157</v>
      </c>
      <c r="B2515" s="29" t="s">
        <v>3657</v>
      </c>
      <c r="C2515" s="26" t="s">
        <v>3657</v>
      </c>
      <c r="D2515" s="1">
        <v>97</v>
      </c>
      <c r="E2515" t="s">
        <v>3659</v>
      </c>
      <c r="F2515" s="3" t="s">
        <v>3660</v>
      </c>
      <c r="G2515" s="1">
        <v>27.7</v>
      </c>
      <c r="H2515" t="s">
        <v>3666</v>
      </c>
      <c r="I2515" t="s">
        <v>3667</v>
      </c>
      <c r="J2515" s="1">
        <v>3</v>
      </c>
      <c r="K2515" s="1">
        <v>414.54129999999998</v>
      </c>
      <c r="L2515" s="1" t="str">
        <f>HYPERLINK("http://ms.phosphosite.org:5080/cgi-bin/plot-msms.cgi?MassType=1&amp;NumAxis=1&amp;Mod4=170&amp;Pep=GTGRGGGGGGGGGAPR&amp;Dta=/var/www/html/dta/yong/23612.572.3.dta&amp;Global_Mod=CS57.0215", "572")</f>
        <v>572</v>
      </c>
      <c r="M2515" s="1" t="str">
        <f>HYPERLINK("http://ms.phosphosite.org:5080/cgi-bin/plot-msms.cgi?MassType=1&amp;NumAxis=1&amp;Mod4=170&amp;Pep=GTGRGGGGGGGGGAPR&amp;Dta=/var/www/html/dta/yong/23613.725.3.dta&amp;Global_Mod=CS57.0215", "725")</f>
        <v>725</v>
      </c>
      <c r="N2515" s="27">
        <v>7.49</v>
      </c>
      <c r="O2515" s="27">
        <v>9.06</v>
      </c>
      <c r="P2515" s="27">
        <v>2.9750000000000001</v>
      </c>
      <c r="Q2515" s="27">
        <v>3.214</v>
      </c>
      <c r="R2515" s="27">
        <v>0.20250000000000001</v>
      </c>
      <c r="S2515" s="27">
        <v>0.29289999999999999</v>
      </c>
      <c r="T2515" s="27">
        <v>0.1203</v>
      </c>
      <c r="U2515" s="27">
        <v>8.6699999999999999E-2</v>
      </c>
      <c r="V2515" s="1">
        <v>1</v>
      </c>
      <c r="W2515" s="1">
        <v>1</v>
      </c>
      <c r="X2515" s="27">
        <v>1.21</v>
      </c>
      <c r="Y2515" s="27">
        <v>1.07</v>
      </c>
      <c r="Z2515" s="28">
        <v>1000</v>
      </c>
      <c r="AA2515" s="28">
        <v>1000</v>
      </c>
      <c r="AB2515" s="1" t="s">
        <v>13</v>
      </c>
    </row>
    <row r="2516" spans="1:28">
      <c r="A2516" t="s">
        <v>1157</v>
      </c>
      <c r="B2516" s="29" t="s">
        <v>3657</v>
      </c>
      <c r="C2516" s="26" t="s">
        <v>3657</v>
      </c>
      <c r="D2516" s="1">
        <v>97</v>
      </c>
      <c r="E2516" t="s">
        <v>3659</v>
      </c>
      <c r="F2516" s="3" t="s">
        <v>3660</v>
      </c>
      <c r="G2516" s="1">
        <v>27.7</v>
      </c>
      <c r="H2516" t="s">
        <v>3666</v>
      </c>
      <c r="I2516" t="s">
        <v>3667</v>
      </c>
      <c r="J2516" s="1">
        <v>3</v>
      </c>
      <c r="K2516" s="1">
        <v>414.54129999999998</v>
      </c>
      <c r="L2516" s="1" t="str">
        <f>HYPERLINK("http://ms.phosphosite.org:5080/cgi-bin/plot-msms.cgi?MassType=1&amp;NumAxis=1&amp;Mod4=170&amp;Pep=GTGRGGGGGGGGGAPR&amp;Dta=/var/www/html/dta/yong/23612.635.3.dta&amp;Global_Mod=CS57.0215", "635")</f>
        <v>635</v>
      </c>
      <c r="M2516" s="1" t="str">
        <f>HYPERLINK("http://ms.phosphosite.org:5080/cgi-bin/plot-msms.cgi?MassType=1&amp;NumAxis=1&amp;Mod4=170&amp;Pep=GTGRGGGGGGGGGAPR&amp;Dta=/var/www/html/dta/yong/23613.558.3.dta&amp;Global_Mod=CS57.0215", "558")</f>
        <v>558</v>
      </c>
      <c r="N2516" s="27">
        <v>8.3000000000000007</v>
      </c>
      <c r="O2516" s="27">
        <v>7.15</v>
      </c>
      <c r="P2516" s="27">
        <v>2.9809999999999999</v>
      </c>
      <c r="Q2516" s="27">
        <v>3.8479999999999999</v>
      </c>
      <c r="R2516" s="27">
        <v>0.17660000000000001</v>
      </c>
      <c r="S2516" s="27">
        <v>0.2205</v>
      </c>
      <c r="T2516" s="27">
        <v>0.12989999999999999</v>
      </c>
      <c r="U2516" s="27">
        <v>0.105</v>
      </c>
      <c r="V2516" s="1">
        <v>1</v>
      </c>
      <c r="W2516" s="1">
        <v>6</v>
      </c>
      <c r="X2516" s="27">
        <v>1.26</v>
      </c>
      <c r="Y2516" s="27">
        <v>1.29</v>
      </c>
      <c r="Z2516" s="28">
        <v>1000</v>
      </c>
      <c r="AA2516" s="28">
        <v>1000</v>
      </c>
      <c r="AB2516" s="1" t="s">
        <v>13</v>
      </c>
    </row>
    <row r="2517" spans="1:28">
      <c r="A2517" t="s">
        <v>1157</v>
      </c>
      <c r="B2517" s="29" t="s">
        <v>3668</v>
      </c>
      <c r="C2517" s="26" t="s">
        <v>3669</v>
      </c>
      <c r="D2517" s="1">
        <v>176</v>
      </c>
      <c r="E2517" t="s">
        <v>3670</v>
      </c>
      <c r="F2517" s="3" t="s">
        <v>3671</v>
      </c>
      <c r="G2517" s="1">
        <v>22.5</v>
      </c>
      <c r="H2517" t="s">
        <v>3672</v>
      </c>
      <c r="I2517" t="s">
        <v>3673</v>
      </c>
      <c r="J2517" s="1">
        <v>2</v>
      </c>
      <c r="K2517" s="1">
        <v>529.76689999999996</v>
      </c>
      <c r="L2517" s="1" t="str">
        <f>HYPERLINK("http://ms.phosphosite.org:5080/cgi-bin/plot-msms.cgi?MassType=1&amp;NumAxis=1&amp;Mod9=170&amp;Pep=DVQDPFAPR&amp;Dta=/var/www/html/dta/yong/23612.10219.2.dta&amp;Global_Mod=CS57.0215", "10219")</f>
        <v>10219</v>
      </c>
      <c r="M2517" s="1" t="str">
        <f>HYPERLINK("http://ms.phosphosite.org:5080/cgi-bin/plot-msms.cgi?MassType=1&amp;NumAxis=1&amp;Mod9=170&amp;Pep=DVQDPFAPR&amp;Dta=/var/www/html/dta/yong/23613.10274.2.dta&amp;Global_Mod=CS57.0215", "10274")</f>
        <v>10274</v>
      </c>
      <c r="N2517" s="27">
        <v>44.73</v>
      </c>
      <c r="O2517" s="27">
        <v>44.7</v>
      </c>
      <c r="P2517" s="27">
        <v>2.117</v>
      </c>
      <c r="Q2517" s="27">
        <v>2.0209999999999999</v>
      </c>
      <c r="R2517" s="27">
        <v>0.60009999999999997</v>
      </c>
      <c r="S2517" s="27">
        <v>9.6699999999999994E-2</v>
      </c>
      <c r="T2517" s="27">
        <v>0.1731</v>
      </c>
      <c r="U2517" s="27">
        <v>0.14280000000000001</v>
      </c>
      <c r="V2517" s="1">
        <v>2</v>
      </c>
      <c r="W2517" s="1">
        <v>2</v>
      </c>
      <c r="X2517" s="27">
        <v>1.28</v>
      </c>
      <c r="Y2517" s="27">
        <v>1.0900000000000001</v>
      </c>
      <c r="Z2517" s="28">
        <v>1000</v>
      </c>
      <c r="AA2517" s="28">
        <v>1000</v>
      </c>
      <c r="AB2517" s="1" t="s">
        <v>13</v>
      </c>
    </row>
    <row r="2518" spans="1:28">
      <c r="A2518" t="s">
        <v>1157</v>
      </c>
      <c r="B2518" s="29" t="s">
        <v>3668</v>
      </c>
      <c r="C2518" s="26" t="s">
        <v>3669</v>
      </c>
      <c r="D2518" s="1">
        <v>176</v>
      </c>
      <c r="E2518" t="s">
        <v>3670</v>
      </c>
      <c r="F2518" s="3" t="s">
        <v>3671</v>
      </c>
      <c r="G2518" s="1">
        <v>22.5</v>
      </c>
      <c r="H2518" t="s">
        <v>3672</v>
      </c>
      <c r="I2518" t="s">
        <v>3673</v>
      </c>
      <c r="J2518" s="1">
        <v>2</v>
      </c>
      <c r="K2518" s="1">
        <v>529.76689999999996</v>
      </c>
      <c r="L2518" s="1"/>
      <c r="M2518" s="1" t="str">
        <f>HYPERLINK("http://ms.phosphosite.org:5080/cgi-bin/plot-msms.cgi?MassType=1&amp;NumAxis=1&amp;Mod9=170&amp;Pep=DVQDPFAPR&amp;Dta=/var/www/html/dta/yong/23613.10323.2.dta&amp;Global_Mod=CS57.0215", "10323")</f>
        <v>10323</v>
      </c>
      <c r="N2518" s="27"/>
      <c r="O2518" s="27">
        <v>44.85</v>
      </c>
      <c r="P2518" s="27"/>
      <c r="Q2518" s="27">
        <v>1.9950000000000001</v>
      </c>
      <c r="R2518" s="27"/>
      <c r="S2518" s="27">
        <v>9.6699999999999994E-2</v>
      </c>
      <c r="T2518" s="27"/>
      <c r="U2518" s="27">
        <v>0.13059999999999999</v>
      </c>
      <c r="V2518" s="1"/>
      <c r="W2518" s="1">
        <v>3</v>
      </c>
      <c r="X2518" s="27"/>
      <c r="Y2518" s="27">
        <v>1.03</v>
      </c>
      <c r="Z2518" s="28"/>
      <c r="AA2518" s="28">
        <v>1000</v>
      </c>
      <c r="AB2518" s="1" t="s">
        <v>13</v>
      </c>
    </row>
    <row r="2519" spans="1:28">
      <c r="A2519" t="s">
        <v>1157</v>
      </c>
      <c r="B2519" s="29" t="s">
        <v>3674</v>
      </c>
      <c r="C2519" s="26" t="s">
        <v>3675</v>
      </c>
      <c r="D2519" s="1">
        <v>3519</v>
      </c>
      <c r="E2519" t="s">
        <v>3676</v>
      </c>
      <c r="F2519" s="3" t="s">
        <v>3677</v>
      </c>
      <c r="G2519" s="1">
        <v>422.1</v>
      </c>
      <c r="H2519" t="s">
        <v>3678</v>
      </c>
      <c r="I2519" t="s">
        <v>3679</v>
      </c>
      <c r="J2519" s="1">
        <v>2</v>
      </c>
      <c r="K2519" s="1">
        <v>568.78840000000002</v>
      </c>
      <c r="L2519" s="1" t="str">
        <f>HYPERLINK("http://ms.phosphosite.org:5080/cgi-bin/plot-msms.cgi?MassType=1&amp;NumAxis=1&amp;Mod8=170&amp;Pep=DFGDSLARGGK&amp;Dta=/var/www/html/dta/yong/23612.6404.2.dta&amp;Global_Mod=CS57.0215", "6404")</f>
        <v>6404</v>
      </c>
      <c r="M2519" s="1" t="str">
        <f>HYPERLINK("http://ms.phosphosite.org:5080/cgi-bin/plot-msms.cgi?MassType=1&amp;NumAxis=1&amp;Mod8=170&amp;Pep=DFGDSLARGGK&amp;Dta=/var/www/html/dta/yong/23613.6439.2.dta&amp;Global_Mod=CS57.0215", "6439")</f>
        <v>6439</v>
      </c>
      <c r="N2519" s="27">
        <v>31.04</v>
      </c>
      <c r="O2519" s="27">
        <v>31</v>
      </c>
      <c r="P2519" s="27">
        <v>2.6589999999999998</v>
      </c>
      <c r="Q2519" s="27">
        <v>2.823</v>
      </c>
      <c r="R2519" s="27">
        <v>0.58689999999999998</v>
      </c>
      <c r="S2519" s="27">
        <v>0.81030000000000002</v>
      </c>
      <c r="T2519" s="27">
        <v>0.23810000000000001</v>
      </c>
      <c r="U2519" s="27">
        <v>0.2954</v>
      </c>
      <c r="V2519" s="1">
        <v>1</v>
      </c>
      <c r="W2519" s="1">
        <v>2</v>
      </c>
      <c r="X2519" s="27">
        <v>1.49</v>
      </c>
      <c r="Y2519" s="27">
        <v>1.79</v>
      </c>
      <c r="Z2519" s="28">
        <v>1000</v>
      </c>
      <c r="AA2519" s="28">
        <v>1000</v>
      </c>
      <c r="AB2519" s="1" t="s">
        <v>13</v>
      </c>
    </row>
    <row r="2520" spans="1:28">
      <c r="A2520" t="s">
        <v>1157</v>
      </c>
      <c r="B2520" s="29" t="s">
        <v>3674</v>
      </c>
      <c r="C2520" s="26" t="s">
        <v>3675</v>
      </c>
      <c r="D2520" s="30" t="s">
        <v>3680</v>
      </c>
      <c r="E2520" t="s">
        <v>3676</v>
      </c>
      <c r="F2520" s="3" t="s">
        <v>3677</v>
      </c>
      <c r="G2520" s="1">
        <v>422.1</v>
      </c>
      <c r="H2520" t="s">
        <v>3681</v>
      </c>
      <c r="I2520" t="s">
        <v>3682</v>
      </c>
      <c r="J2520" s="1">
        <v>3</v>
      </c>
      <c r="K2520" s="1">
        <v>504.6037</v>
      </c>
      <c r="L2520" s="1" t="str">
        <f>HYPERLINK("http://ms.phosphosite.org:5080/cgi-bin/plot-msms.cgi?MassType=1&amp;NumAxis=1&amp;Mod8=170&amp;Mod12=170&amp;Pep=IHEDGIIRPYDR&amp;Dta=/var/www/html/dta/yong/23612.2491.3.dta&amp;Global_Mod=CS57.0215", "2491")</f>
        <v>2491</v>
      </c>
      <c r="M2520" s="1"/>
      <c r="N2520" s="27">
        <v>16.25</v>
      </c>
      <c r="O2520" s="27"/>
      <c r="P2520" s="27">
        <v>1.962</v>
      </c>
      <c r="Q2520" s="27"/>
      <c r="R2520" s="27">
        <v>5.2382</v>
      </c>
      <c r="S2520" s="27"/>
      <c r="T2520" s="27">
        <v>0.17119999999999999</v>
      </c>
      <c r="U2520" s="27"/>
      <c r="V2520" s="1">
        <v>483</v>
      </c>
      <c r="W2520" s="1"/>
      <c r="X2520" s="27">
        <v>0.72</v>
      </c>
      <c r="Y2520" s="27"/>
      <c r="Z2520" s="28" t="s">
        <v>1306</v>
      </c>
      <c r="AA2520" s="28"/>
      <c r="AB2520" s="1" t="s">
        <v>13</v>
      </c>
    </row>
    <row r="2521" spans="1:28">
      <c r="A2521" t="s">
        <v>1157</v>
      </c>
      <c r="B2521" s="29" t="s">
        <v>3674</v>
      </c>
      <c r="C2521" s="26" t="s">
        <v>3675</v>
      </c>
      <c r="D2521" s="1">
        <v>3526</v>
      </c>
      <c r="E2521" t="s">
        <v>3676</v>
      </c>
      <c r="F2521" s="3" t="s">
        <v>3677</v>
      </c>
      <c r="G2521" s="1">
        <v>422.1</v>
      </c>
      <c r="H2521" t="s">
        <v>3683</v>
      </c>
      <c r="I2521" t="s">
        <v>3684</v>
      </c>
      <c r="J2521" s="1">
        <v>3</v>
      </c>
      <c r="K2521" s="1">
        <v>723.76329999999996</v>
      </c>
      <c r="L2521" s="1"/>
      <c r="M2521" s="1" t="str">
        <f>HYPERLINK("http://ms.phosphosite.org:5080/cgi-bin/plot-msms.cgi?MassType=1&amp;NumAxis=1&amp;Mod4=170&amp;Pep=GFLRGVVGGVTGIITKPVEGAK&amp;Dta=/var/www/html/dta/yong/23613.15556.3.dta&amp;Global_Mod=CS57.0215", "15556")</f>
        <v>15556</v>
      </c>
      <c r="N2521" s="27"/>
      <c r="O2521" s="27">
        <v>63.43</v>
      </c>
      <c r="P2521" s="27"/>
      <c r="Q2521" s="27">
        <v>3.6960000000000002</v>
      </c>
      <c r="R2521" s="27"/>
      <c r="S2521" s="27">
        <v>0.89180000000000004</v>
      </c>
      <c r="T2521" s="27"/>
      <c r="U2521" s="27">
        <v>0.27700000000000002</v>
      </c>
      <c r="V2521" s="1"/>
      <c r="W2521" s="1">
        <v>1</v>
      </c>
      <c r="X2521" s="27"/>
      <c r="Y2521" s="27">
        <v>1.79</v>
      </c>
      <c r="Z2521" s="28"/>
      <c r="AA2521" s="28">
        <v>1000</v>
      </c>
      <c r="AB2521" s="1" t="s">
        <v>13</v>
      </c>
    </row>
    <row r="2522" spans="1:28">
      <c r="A2522" t="s">
        <v>1157</v>
      </c>
      <c r="B2522" s="29" t="s">
        <v>3685</v>
      </c>
      <c r="C2522" s="26" t="s">
        <v>3685</v>
      </c>
      <c r="D2522" s="1">
        <v>326</v>
      </c>
      <c r="E2522" t="s">
        <v>3686</v>
      </c>
      <c r="F2522" s="3" t="s">
        <v>3687</v>
      </c>
      <c r="G2522" s="1">
        <v>40.1</v>
      </c>
      <c r="H2522" t="s">
        <v>3688</v>
      </c>
      <c r="I2522" t="s">
        <v>3689</v>
      </c>
      <c r="J2522" s="1">
        <v>3</v>
      </c>
      <c r="K2522" s="1">
        <v>897.77049999999997</v>
      </c>
      <c r="L2522" s="1" t="str">
        <f>HYPERLINK("http://ms.phosphosite.org:5080/cgi-bin/plot-msms.cgi?MassType=1&amp;NumAxis=1&amp;Mod26=170&amp;Pep=PAPAVGEAEDKENQQATSGPNQPSVR&amp;Dta=/var/www/html/dta/yong/23612.5767.3.dta&amp;Global_Mod=CS57.0215", "5767")</f>
        <v>5767</v>
      </c>
      <c r="M2522" s="1" t="str">
        <f>HYPERLINK("http://ms.phosphosite.org:5080/cgi-bin/plot-msms.cgi?MassType=1&amp;NumAxis=1&amp;Mod26=170&amp;Pep=PAPAVGEAEDKENQQATSGPNQPSVR&amp;Dta=/var/www/html/dta/yong/23613.5814.3.dta&amp;Global_Mod=CS57.0215", "5814")</f>
        <v>5814</v>
      </c>
      <c r="N2522" s="27">
        <v>28.69</v>
      </c>
      <c r="O2522" s="27">
        <v>28.66</v>
      </c>
      <c r="P2522" s="27">
        <v>5.4930000000000003</v>
      </c>
      <c r="Q2522" s="27">
        <v>4.1909999999999998</v>
      </c>
      <c r="R2522" s="27">
        <v>0.10680000000000001</v>
      </c>
      <c r="S2522" s="27">
        <v>0.49740000000000001</v>
      </c>
      <c r="T2522" s="27">
        <v>0.51929999999999998</v>
      </c>
      <c r="U2522" s="27">
        <v>0.3856</v>
      </c>
      <c r="V2522" s="1">
        <v>1</v>
      </c>
      <c r="W2522" s="1">
        <v>1</v>
      </c>
      <c r="X2522" s="27">
        <v>3.39</v>
      </c>
      <c r="Y2522" s="27">
        <v>2.4700000000000002</v>
      </c>
      <c r="Z2522" s="28">
        <v>1000</v>
      </c>
      <c r="AA2522" s="28">
        <v>1000</v>
      </c>
      <c r="AB2522" s="1" t="s">
        <v>13</v>
      </c>
    </row>
    <row r="2523" spans="1:28">
      <c r="A2523" t="s">
        <v>1157</v>
      </c>
      <c r="B2523" s="29" t="s">
        <v>3685</v>
      </c>
      <c r="C2523" s="26" t="s">
        <v>3685</v>
      </c>
      <c r="D2523" s="1">
        <v>326</v>
      </c>
      <c r="E2523" t="s">
        <v>3686</v>
      </c>
      <c r="F2523" s="3" t="s">
        <v>3687</v>
      </c>
      <c r="G2523" s="1">
        <v>40.1</v>
      </c>
      <c r="H2523" t="s">
        <v>3688</v>
      </c>
      <c r="I2523" t="s">
        <v>3689</v>
      </c>
      <c r="J2523" s="1">
        <v>3</v>
      </c>
      <c r="K2523" s="1">
        <v>897.77049999999997</v>
      </c>
      <c r="L2523" s="1" t="str">
        <f>HYPERLINK("http://ms.phosphosite.org:5080/cgi-bin/plot-msms.cgi?MassType=1&amp;NumAxis=1&amp;Mod26=170&amp;Pep=PAPAVGEAEDKENQQATSGPNQPSVR&amp;Dta=/var/www/html/dta/yong/23612.5775.3.dta&amp;Global_Mod=CS57.0215", "5775")</f>
        <v>5775</v>
      </c>
      <c r="M2523" s="1" t="str">
        <f>HYPERLINK("http://ms.phosphosite.org:5080/cgi-bin/plot-msms.cgi?MassType=1&amp;NumAxis=1&amp;Mod26=170&amp;Pep=PAPAVGEAEDKENQQATSGPNQPSVR&amp;Dta=/var/www/html/dta/yong/23613.5827.3.dta&amp;Global_Mod=CS57.0215", "5827")</f>
        <v>5827</v>
      </c>
      <c r="N2523" s="27">
        <v>28.72</v>
      </c>
      <c r="O2523" s="27">
        <v>28.71</v>
      </c>
      <c r="P2523" s="27">
        <v>4.8</v>
      </c>
      <c r="Q2523" s="27">
        <v>5.0309999999999997</v>
      </c>
      <c r="R2523" s="27">
        <v>0.10680000000000001</v>
      </c>
      <c r="S2523" s="27">
        <v>0.80969999999999998</v>
      </c>
      <c r="T2523" s="27">
        <v>0.38490000000000002</v>
      </c>
      <c r="U2523" s="27">
        <v>0.40529999999999999</v>
      </c>
      <c r="V2523" s="1">
        <v>1</v>
      </c>
      <c r="W2523" s="1">
        <v>1</v>
      </c>
      <c r="X2523" s="27">
        <v>2.59</v>
      </c>
      <c r="Y2523" s="27">
        <v>2.72</v>
      </c>
      <c r="Z2523" s="28">
        <v>1000</v>
      </c>
      <c r="AA2523" s="28">
        <v>1000</v>
      </c>
      <c r="AB2523" s="1" t="s">
        <v>13</v>
      </c>
    </row>
    <row r="2524" spans="1:28">
      <c r="A2524" t="s">
        <v>3690</v>
      </c>
      <c r="B2524" s="29" t="s">
        <v>3691</v>
      </c>
      <c r="C2524" s="26" t="s">
        <v>3691</v>
      </c>
      <c r="D2524" s="1">
        <v>43</v>
      </c>
      <c r="E2524" t="s">
        <v>3692</v>
      </c>
      <c r="F2524" s="3" t="s">
        <v>3693</v>
      </c>
      <c r="G2524" s="1">
        <v>18.8</v>
      </c>
      <c r="H2524" t="s">
        <v>3694</v>
      </c>
      <c r="I2524" t="s">
        <v>3695</v>
      </c>
      <c r="J2524" s="1">
        <v>3</v>
      </c>
      <c r="K2524" s="1">
        <v>1189.9529</v>
      </c>
      <c r="L2524" s="1" t="str">
        <f>HYPERLINK("http://ms.phosphosite.org:5080/cgi-bin/plot-msms.cgi?MassType=1&amp;NumAxis=1&amp;Mod33=170&amp;Pep=LITKPQNLNDAYGPPSNFLEIDVSNPQTVGVGR&amp;Dta=/var/www/html/dta/yong/23612.16672.3.dta&amp;Global_Mod=CS57.0215", "16672")</f>
        <v>16672</v>
      </c>
      <c r="M2524" s="1" t="str">
        <f>HYPERLINK("http://ms.phosphosite.org:5080/cgi-bin/plot-msms.cgi?MassType=1&amp;NumAxis=1&amp;Mod33=170&amp;Pep=LITKPQNLNDAYGPPSNFLEIDVSNPQTVGVGR&amp;Dta=/var/www/html/dta/yong/23613.16779.3.dta&amp;Global_Mod=CS57.0215", "16779")</f>
        <v>16779</v>
      </c>
      <c r="N2524" s="27">
        <v>68.430000000000007</v>
      </c>
      <c r="O2524" s="27">
        <v>68.52</v>
      </c>
      <c r="P2524" s="27">
        <v>5.5179999999999998</v>
      </c>
      <c r="Q2524" s="27">
        <v>4.0670000000000002</v>
      </c>
      <c r="R2524" s="27">
        <v>1.2022999999999999</v>
      </c>
      <c r="S2524" s="27">
        <v>1.3168</v>
      </c>
      <c r="T2524" s="27">
        <v>0.42520000000000002</v>
      </c>
      <c r="U2524" s="27">
        <v>0.23180000000000001</v>
      </c>
      <c r="V2524" s="1">
        <v>1</v>
      </c>
      <c r="W2524" s="1">
        <v>12</v>
      </c>
      <c r="X2524" s="27">
        <v>2.97</v>
      </c>
      <c r="Y2524" s="27">
        <v>1.69</v>
      </c>
      <c r="Z2524" s="28">
        <v>1000</v>
      </c>
      <c r="AA2524" s="28">
        <v>1000</v>
      </c>
      <c r="AB2524" s="1" t="s">
        <v>13</v>
      </c>
    </row>
    <row r="2525" spans="1:28">
      <c r="A2525" t="s">
        <v>3690</v>
      </c>
      <c r="B2525" s="29" t="s">
        <v>3691</v>
      </c>
      <c r="C2525" s="26" t="s">
        <v>3691</v>
      </c>
      <c r="D2525" s="1">
        <v>43</v>
      </c>
      <c r="E2525" t="s">
        <v>3692</v>
      </c>
      <c r="F2525" s="3" t="s">
        <v>3693</v>
      </c>
      <c r="G2525" s="1">
        <v>18.8</v>
      </c>
      <c r="H2525" t="s">
        <v>3694</v>
      </c>
      <c r="I2525" t="s">
        <v>3695</v>
      </c>
      <c r="J2525" s="1">
        <v>3</v>
      </c>
      <c r="K2525" s="1">
        <v>1189.9529</v>
      </c>
      <c r="L2525" s="1" t="str">
        <f>HYPERLINK("http://ms.phosphosite.org:5080/cgi-bin/plot-msms.cgi?MassType=1&amp;NumAxis=1&amp;Mod33=170&amp;Pep=LITKPQNLNDAYGPPSNFLEIDVSNPQTVGVGR&amp;Dta=/var/www/html/dta/yong/23612.16678.3.dta&amp;Global_Mod=CS57.0215", "16678")</f>
        <v>16678</v>
      </c>
      <c r="M2525" s="1" t="str">
        <f>HYPERLINK("http://ms.phosphosite.org:5080/cgi-bin/plot-msms.cgi?MassType=1&amp;NumAxis=1&amp;Mod33=170&amp;Pep=LITKPQNLNDAYGPPSNFLEIDVSNPQTVGVGR&amp;Dta=/var/www/html/dta/yong/23613.16765.3.dta&amp;Global_Mod=CS57.0215", "16765")</f>
        <v>16765</v>
      </c>
      <c r="N2525" s="27">
        <v>68.459999999999994</v>
      </c>
      <c r="O2525" s="27">
        <v>68.459999999999994</v>
      </c>
      <c r="P2525" s="27">
        <v>5.3159999999999998</v>
      </c>
      <c r="Q2525" s="27">
        <v>5.7649999999999997</v>
      </c>
      <c r="R2525" s="27">
        <v>1.2022999999999999</v>
      </c>
      <c r="S2525" s="27">
        <v>1.3168</v>
      </c>
      <c r="T2525" s="27">
        <v>0.4294</v>
      </c>
      <c r="U2525" s="27">
        <v>0.43769999999999998</v>
      </c>
      <c r="V2525" s="1">
        <v>1</v>
      </c>
      <c r="W2525" s="1">
        <v>1</v>
      </c>
      <c r="X2525" s="27">
        <v>2.95</v>
      </c>
      <c r="Y2525" s="27">
        <v>3.06</v>
      </c>
      <c r="Z2525" s="28">
        <v>1000</v>
      </c>
      <c r="AA2525" s="28">
        <v>1000</v>
      </c>
      <c r="AB2525" s="1" t="s">
        <v>13</v>
      </c>
    </row>
    <row r="2526" spans="1:28">
      <c r="A2526" t="s">
        <v>3690</v>
      </c>
      <c r="B2526" s="29" t="s">
        <v>3691</v>
      </c>
      <c r="C2526" s="26" t="s">
        <v>3691</v>
      </c>
      <c r="D2526" s="1">
        <v>43</v>
      </c>
      <c r="E2526" t="s">
        <v>3692</v>
      </c>
      <c r="F2526" s="3" t="s">
        <v>3693</v>
      </c>
      <c r="G2526" s="1">
        <v>18.8</v>
      </c>
      <c r="H2526" t="s">
        <v>3694</v>
      </c>
      <c r="I2526" t="s">
        <v>3695</v>
      </c>
      <c r="J2526" s="1">
        <v>4</v>
      </c>
      <c r="K2526" s="1">
        <v>892.7165</v>
      </c>
      <c r="L2526" s="1" t="str">
        <f>HYPERLINK("http://ms.phosphosite.org:5080/cgi-bin/plot-msms.cgi?MassType=1&amp;NumAxis=1&amp;Mod33=170&amp;Pep=LITKPQNLNDAYGPPSNFLEIDVSNPQTVGVGR&amp;Dta=/var/www/html/dta/yong/23612.16681.4.dta&amp;Global_Mod=CS57.0215", "16681")</f>
        <v>16681</v>
      </c>
      <c r="M2526" s="1" t="str">
        <f>HYPERLINK("http://ms.phosphosite.org:5080/cgi-bin/plot-msms.cgi?MassType=1&amp;NumAxis=1&amp;Mod33=170&amp;Pep=LITKPQNLNDAYGPPSNFLEIDVSNPQTVGVGR&amp;Dta=/var/www/html/dta/yong/23613.16781.4.dta&amp;Global_Mod=CS57.0215", "16781")</f>
        <v>16781</v>
      </c>
      <c r="N2526" s="27">
        <v>68.48</v>
      </c>
      <c r="O2526" s="27">
        <v>68.53</v>
      </c>
      <c r="P2526" s="27">
        <v>2.823</v>
      </c>
      <c r="Q2526" s="27">
        <v>2.8879999999999999</v>
      </c>
      <c r="R2526" s="27">
        <v>-1.4317</v>
      </c>
      <c r="S2526" s="27">
        <v>1.5657000000000001</v>
      </c>
      <c r="T2526" s="27">
        <v>8.6599999999999996E-2</v>
      </c>
      <c r="U2526" s="27">
        <v>0.13519999999999999</v>
      </c>
      <c r="V2526" s="1">
        <v>11</v>
      </c>
      <c r="W2526" s="1">
        <v>22</v>
      </c>
      <c r="X2526" s="27">
        <v>0.77</v>
      </c>
      <c r="Y2526" s="27">
        <v>1</v>
      </c>
      <c r="Z2526" s="28">
        <v>1000</v>
      </c>
      <c r="AA2526" s="28">
        <v>1000</v>
      </c>
      <c r="AB2526" s="1" t="s">
        <v>13</v>
      </c>
    </row>
    <row r="2527" spans="1:28">
      <c r="A2527" t="s">
        <v>3690</v>
      </c>
      <c r="B2527" s="29" t="s">
        <v>3691</v>
      </c>
      <c r="C2527" s="26" t="s">
        <v>3691</v>
      </c>
      <c r="D2527" s="1">
        <v>45</v>
      </c>
      <c r="E2527" t="s">
        <v>3692</v>
      </c>
      <c r="F2527" s="3" t="s">
        <v>3693</v>
      </c>
      <c r="G2527" s="1">
        <v>18.8</v>
      </c>
      <c r="H2527" t="s">
        <v>3694</v>
      </c>
      <c r="I2527" t="s">
        <v>3696</v>
      </c>
      <c r="J2527" s="1">
        <v>4</v>
      </c>
      <c r="K2527" s="1">
        <v>945.99720000000002</v>
      </c>
      <c r="L2527" s="1" t="str">
        <f>HYPERLINK("http://ms.phosphosite.org:5080/cgi-bin/plot-msms.cgi?MassType=1&amp;NumAxis=1&amp;Mod35=170&amp;Pep=LITKPQNLNDAYGPPSNFLEIDVSNPQTVGVGRGR&amp;Dta=/var/www/html/dta/yong/23612.15469.4.dta&amp;Global_Mod=CS57.0215", "15469")</f>
        <v>15469</v>
      </c>
      <c r="M2527" s="1" t="str">
        <f>HYPERLINK("http://ms.phosphosite.org:5080/cgi-bin/plot-msms.cgi?MassType=1&amp;NumAxis=1&amp;Mod35=170&amp;Pep=LITKPQNLNDAYGPPSNFLEIDVSNPQTVGVGRGR&amp;Dta=/var/www/html/dta/yong/23613.15559.4.dta&amp;Global_Mod=CS57.0215", "15559")</f>
        <v>15559</v>
      </c>
      <c r="N2527" s="27">
        <v>63.4</v>
      </c>
      <c r="O2527" s="27">
        <v>63.44</v>
      </c>
      <c r="P2527" s="27">
        <v>3.1110000000000002</v>
      </c>
      <c r="Q2527" s="27">
        <v>2.91</v>
      </c>
      <c r="R2527" s="27">
        <v>1.0767</v>
      </c>
      <c r="S2527" s="27">
        <v>1.4879</v>
      </c>
      <c r="T2527" s="27">
        <v>0.1411</v>
      </c>
      <c r="U2527" s="27">
        <v>0.20200000000000001</v>
      </c>
      <c r="V2527" s="1">
        <v>1</v>
      </c>
      <c r="W2527" s="1">
        <v>1</v>
      </c>
      <c r="X2527" s="27">
        <v>0.95</v>
      </c>
      <c r="Y2527" s="27">
        <v>1.1299999999999999</v>
      </c>
      <c r="Z2527" s="28">
        <v>1000</v>
      </c>
      <c r="AA2527" s="28">
        <v>1000</v>
      </c>
      <c r="AB2527" s="1" t="s">
        <v>13</v>
      </c>
    </row>
    <row r="2528" spans="1:28">
      <c r="A2528" t="s">
        <v>3690</v>
      </c>
      <c r="B2528" s="29" t="s">
        <v>3691</v>
      </c>
      <c r="C2528" s="26" t="s">
        <v>3691</v>
      </c>
      <c r="D2528" s="1">
        <v>45</v>
      </c>
      <c r="E2528" t="s">
        <v>3692</v>
      </c>
      <c r="F2528" s="3" t="s">
        <v>3693</v>
      </c>
      <c r="G2528" s="1">
        <v>18.8</v>
      </c>
      <c r="H2528" t="s">
        <v>3694</v>
      </c>
      <c r="I2528" t="s">
        <v>3696</v>
      </c>
      <c r="J2528" s="1">
        <v>4</v>
      </c>
      <c r="K2528" s="1">
        <v>945.99720000000002</v>
      </c>
      <c r="L2528" s="1"/>
      <c r="M2528" s="1" t="str">
        <f>HYPERLINK("http://ms.phosphosite.org:5080/cgi-bin/plot-msms.cgi?MassType=1&amp;NumAxis=1&amp;Mod35=170&amp;Pep=LITKPQNLNDAYGPPSNFLEIDVSNPQTVGVGRGR&amp;Dta=/var/www/html/dta/yong/23613.15551.4.dta&amp;Global_Mod=CS57.0215", "15551")</f>
        <v>15551</v>
      </c>
      <c r="N2528" s="27"/>
      <c r="O2528" s="27">
        <v>63.41</v>
      </c>
      <c r="P2528" s="27"/>
      <c r="Q2528" s="27">
        <v>3.9609999999999999</v>
      </c>
      <c r="R2528" s="27"/>
      <c r="S2528" s="27">
        <v>1.4879</v>
      </c>
      <c r="T2528" s="27"/>
      <c r="U2528" s="27">
        <v>0.33239999999999997</v>
      </c>
      <c r="V2528" s="1"/>
      <c r="W2528" s="1">
        <v>1</v>
      </c>
      <c r="X2528" s="27"/>
      <c r="Y2528" s="27">
        <v>1.99</v>
      </c>
      <c r="Z2528" s="28"/>
      <c r="AA2528" s="28">
        <v>1000</v>
      </c>
      <c r="AB2528" s="1" t="s">
        <v>13</v>
      </c>
    </row>
  </sheetData>
  <phoneticPr fontId="4" type="noConversion"/>
  <conditionalFormatting sqref="B2529:C1048576 B1:C1167">
    <cfRule type="containsText" dxfId="2" priority="3" operator="containsText" text=";">
      <formula>NOT(ISERROR(SEARCH(";",B1)))</formula>
    </cfRule>
  </conditionalFormatting>
  <conditionalFormatting sqref="D2529:D1048576 D1:D1167">
    <cfRule type="containsText" dxfId="1" priority="2" operator="containsText" text=";">
      <formula>NOT(ISERROR(SEARCH(";",D1)))</formula>
    </cfRule>
  </conditionalFormatting>
  <conditionalFormatting sqref="D1168:D2528">
    <cfRule type="containsText" dxfId="0" priority="1" operator="containsText" text=";">
      <formula>NOT(ISERROR(SEARCH(";",D1168)))</formula>
    </cfRule>
  </conditionalFormatting>
  <hyperlinks>
    <hyperlink ref="C119" r:id="rId1" display="HSPA1;HSPA1 iso 2;HSPA6" xr:uid="{00000000-0004-0000-0000-000000000000}"/>
    <hyperlink ref="C118" r:id="rId2" display="HSPA1;HSPA1 iso 2;HSPA6" xr:uid="{00000000-0004-0000-0000-000001000000}"/>
    <hyperlink ref="C488" r:id="rId3" display="DTX2;DTX2 iso 2" xr:uid="{00000000-0004-0000-0000-000004000000}"/>
    <hyperlink ref="C509" r:id="rId4" display="RIT1;RIT1 iso 2" xr:uid="{00000000-0004-0000-0000-000005000000}"/>
    <hyperlink ref="C513" r:id="rId5" xr:uid="{00000000-0004-0000-0000-000006000000}"/>
    <hyperlink ref="C899" r:id="rId6" display="CRTC2" xr:uid="{00000000-0004-0000-0000-000009000000}"/>
    <hyperlink ref="C932" r:id="rId7" display="HOPA" xr:uid="{00000000-0004-0000-0000-00000A000000}"/>
    <hyperlink ref="C931" r:id="rId8" display="HOPA" xr:uid="{00000000-0004-0000-0000-00000B000000}"/>
    <hyperlink ref="C929" r:id="rId9" display="HOPA" xr:uid="{00000000-0004-0000-0000-00000C000000}"/>
    <hyperlink ref="C930" r:id="rId10" display="HOPA" xr:uid="{00000000-0004-0000-0000-00000D000000}"/>
    <hyperlink ref="C934" r:id="rId11" display="HOPA;HOPA iso 2;HOPA iso 3" xr:uid="{00000000-0004-0000-0000-00000E000000}"/>
    <hyperlink ref="C1048" r:id="rId12" display="ACTR;ACTR iso 2;ACTR iso 3;ACTR iso 4;ACTR iso 5" xr:uid="{00000000-0004-0000-0000-00000F000000}"/>
    <hyperlink ref="C1047" r:id="rId13" display="ACTR;ACTR iso 2;ACTR iso 3;ACTR iso 4;ACTR iso 5" xr:uid="{00000000-0004-0000-0000-000010000000}"/>
    <hyperlink ref="C915" r:id="rId14" display="ACTR;ACTR iso 2;ACTR iso 3;ACTR iso 4;ACTR iso 5" xr:uid="{00000000-0004-0000-0000-000011000000}"/>
    <hyperlink ref="C914" r:id="rId15" display="ACTR;ACTR iso 2;ACTR iso 3;ACTR iso 4;ACTR iso 5" xr:uid="{00000000-0004-0000-0000-000012000000}"/>
    <hyperlink ref="C936" r:id="rId16" display="ACTR;ACTR iso 2;ACTR iso 3;ACTR iso 4;ACTR iso 5" xr:uid="{00000000-0004-0000-0000-000013000000}"/>
    <hyperlink ref="C923" r:id="rId17" display="ACTR;ACTR iso 2;ACTR iso 3;ACTR iso 4;ACTR iso 5" xr:uid="{00000000-0004-0000-0000-000014000000}"/>
    <hyperlink ref="C922" r:id="rId18" display="ACTR;ACTR iso 2;ACTR iso 3;ACTR iso 4;ACTR iso 5" xr:uid="{00000000-0004-0000-0000-000015000000}"/>
    <hyperlink ref="C921" r:id="rId19" display="ACTR;ACTR iso 2;ACTR iso 3;ACTR iso 4;ACTR iso 5" xr:uid="{00000000-0004-0000-0000-000016000000}"/>
    <hyperlink ref="C920" r:id="rId20" display="ACTR;ACTR iso 2;ACTR iso 3;ACTR iso 4;ACTR iso 5" xr:uid="{00000000-0004-0000-0000-000017000000}"/>
    <hyperlink ref="C933" r:id="rId21" display="HOPA" xr:uid="{00000000-0004-0000-0000-000018000000}"/>
    <hyperlink ref="C935" r:id="rId22" display="HOPA;HOPA iso 2;HOPA iso 3" xr:uid="{00000000-0004-0000-0000-000019000000}"/>
    <hyperlink ref="C900" r:id="rId23" display="ACTR;ACTR iso 2;ACTR iso 3;ACTR iso 4;ACTR iso 5" xr:uid="{00000000-0004-0000-0000-00001A000000}"/>
    <hyperlink ref="C918" r:id="rId24" display="ACTR;ACTR iso 2;ACTR iso 3;ACTR iso 4;ACTR iso 5" xr:uid="{00000000-0004-0000-0000-00001B000000}"/>
    <hyperlink ref="C916" r:id="rId25" display="ACTR;ACTR iso 2;ACTR iso 3;ACTR iso 4;ACTR iso 5" xr:uid="{00000000-0004-0000-0000-00001C000000}"/>
    <hyperlink ref="C917" r:id="rId26" display="ACTR;ACTR iso 2;ACTR iso 3;ACTR iso 4;ACTR iso 5" xr:uid="{00000000-0004-0000-0000-00001D000000}"/>
    <hyperlink ref="C919" r:id="rId27" display="ACTR;ACTR iso 2;ACTR iso 3;ACTR iso 4;ACTR iso 5" xr:uid="{00000000-0004-0000-0000-00001E000000}"/>
    <hyperlink ref="C937" r:id="rId28" display="ACTR;ACTR iso 2;ACTR iso 3;ACTR iso 4;ACTR iso 5" xr:uid="{00000000-0004-0000-0000-00001F000000}"/>
    <hyperlink ref="C938" r:id="rId29" display="ACTR;ACTR iso 2;ACTR iso 3;ACTR iso 4;ACTR iso 5" xr:uid="{00000000-0004-0000-0000-000020000000}"/>
    <hyperlink ref="C1036" r:id="rId30" display="ESG1" xr:uid="{00000000-0004-0000-0000-000021000000}"/>
    <hyperlink ref="C1070" r:id="rId31" xr:uid="{00000000-0004-0000-0000-000022000000}"/>
    <hyperlink ref="C478" r:id="rId32" display="JNKK;JNKK iso 2" xr:uid="{00000000-0004-0000-0000-000023000000}"/>
    <hyperlink ref="C484" r:id="rId33" display="NEK7;NEK7 iso 2" xr:uid="{00000000-0004-0000-0000-000024000000}"/>
    <hyperlink ref="C482" r:id="rId34" display="JNKK;JNKK iso 2" xr:uid="{00000000-0004-0000-0000-000025000000}"/>
    <hyperlink ref="B472" r:id="rId35" display="PIK3CA" xr:uid="{00000000-0004-0000-0000-000026000000}"/>
    <hyperlink ref="C472" r:id="rId36" display="PI3K" xr:uid="{00000000-0004-0000-0000-000027000000}"/>
    <hyperlink ref="C361" r:id="rId37" display="DNM1;DNM1 iso 2" xr:uid="{00000000-0004-0000-0000-000028000000}"/>
    <hyperlink ref="C362" r:id="rId38" display="ADAR;ADAR iso 2;ADAR iso 3;ADAR iso 4" xr:uid="{00000000-0004-0000-0000-000029000000}"/>
    <hyperlink ref="C31" r:id="rId39" display="IRS2" xr:uid="{00000000-0004-0000-0000-00002B000000}"/>
    <hyperlink ref="C120" r:id="rId40" xr:uid="{00000000-0004-0000-0000-00002C000000}"/>
    <hyperlink ref="C125" r:id="rId41" display="CK-18" xr:uid="{00000000-0004-0000-0000-00002D000000}"/>
    <hyperlink ref="C121" r:id="rId42" xr:uid="{00000000-0004-0000-0000-00002E000000}"/>
    <hyperlink ref="C136" r:id="rId43" display="CK-8;CK-8 iso 2" xr:uid="{00000000-0004-0000-0000-00002F000000}"/>
    <hyperlink ref="C202" r:id="rId44" display="CHD7;CHD7 iso 2;CHD7 iso 3;CHD7 iso 4" xr:uid="{00000000-0004-0000-0000-000030000000}"/>
    <hyperlink ref="C208" r:id="rId45" display="CHD7;CHD7 iso 2;CHD7 iso 3;CHD7 iso 4" xr:uid="{00000000-0004-0000-0000-000031000000}"/>
    <hyperlink ref="C218" r:id="rId46" display="ALS6;ALS6 iso 2" xr:uid="{00000000-0004-0000-0000-000032000000}"/>
    <hyperlink ref="C220" r:id="rId47" display="ALS6;ALS6 iso 2" xr:uid="{00000000-0004-0000-0000-000033000000}"/>
    <hyperlink ref="C219" r:id="rId48" display="ALS6;ALS6 iso 2" xr:uid="{00000000-0004-0000-0000-000034000000}"/>
    <hyperlink ref="C222" r:id="rId49" display="ALS6;ALS6 iso 2" xr:uid="{00000000-0004-0000-0000-000035000000}"/>
    <hyperlink ref="C223" r:id="rId50" display="ALS6;ALS6 iso 2" xr:uid="{00000000-0004-0000-0000-000036000000}"/>
    <hyperlink ref="C221" r:id="rId51" display="ALS6;ALS6 iso 2" xr:uid="{00000000-0004-0000-0000-000037000000}"/>
    <hyperlink ref="C225" r:id="rId52" display="ALS6;ALS6 iso 2" xr:uid="{00000000-0004-0000-0000-000038000000}"/>
    <hyperlink ref="C226" r:id="rId53" display="ALS6;ALS6 iso 2" xr:uid="{00000000-0004-0000-0000-000039000000}"/>
    <hyperlink ref="C260" r:id="rId54" xr:uid="{00000000-0004-0000-0000-00003A000000}"/>
    <hyperlink ref="C261" r:id="rId55" xr:uid="{00000000-0004-0000-0000-00003B000000}"/>
    <hyperlink ref="C259" r:id="rId56" xr:uid="{00000000-0004-0000-0000-00003C000000}"/>
    <hyperlink ref="C258" r:id="rId57" xr:uid="{00000000-0004-0000-0000-00003D000000}"/>
    <hyperlink ref="C254" r:id="rId58" display="SRG3" xr:uid="{00000000-0004-0000-0000-00003E000000}"/>
    <hyperlink ref="C257" r:id="rId59" display="SRG3" xr:uid="{00000000-0004-0000-0000-00003F000000}"/>
    <hyperlink ref="C256" r:id="rId60" display="SRG3" xr:uid="{00000000-0004-0000-0000-000040000000}"/>
    <hyperlink ref="C252" r:id="rId61" display="SRG3" xr:uid="{00000000-0004-0000-0000-000041000000}"/>
    <hyperlink ref="C253" r:id="rId62" display="SRG3" xr:uid="{00000000-0004-0000-0000-000042000000}"/>
    <hyperlink ref="C255" r:id="rId63" display="SRG3" xr:uid="{00000000-0004-0000-0000-000043000000}"/>
    <hyperlink ref="C209" r:id="rId64" display="CHD7;CHD7 iso 2;CHD7 iso 3;CHD7 iso 4" xr:uid="{00000000-0004-0000-0000-000044000000}"/>
    <hyperlink ref="C211" r:id="rId65" display="CHD7;CHD7 iso 2;CHD7 iso 3;CHD7 iso 4" xr:uid="{00000000-0004-0000-0000-000045000000}"/>
    <hyperlink ref="C210" r:id="rId66" display="CHD7;CHD7 iso 2;CHD7 iso 3;CHD7 iso 4" xr:uid="{00000000-0004-0000-0000-000046000000}"/>
    <hyperlink ref="C224" r:id="rId67" display="ALS6;ALS6 iso 2" xr:uid="{00000000-0004-0000-0000-000047000000}"/>
    <hyperlink ref="C262" r:id="rId68" xr:uid="{00000000-0004-0000-0000-000048000000}"/>
    <hyperlink ref="C533" r:id="rId69" display="EWS;EWS iso 2;EWS iso 3;EWS iso 5;EWS iso 6" xr:uid="{00000000-0004-0000-0000-000049000000}"/>
    <hyperlink ref="C551" r:id="rId70" display="EWS;EWS iso 2;EWS iso 3;EWS iso 5;EWS iso 6" xr:uid="{00000000-0004-0000-0000-00004A000000}"/>
    <hyperlink ref="C538" r:id="rId71" display="EWS;EWS iso 2;EWS iso 3;EWS iso 5;EWS iso 6" xr:uid="{00000000-0004-0000-0000-00004B000000}"/>
    <hyperlink ref="C550" r:id="rId72" display="EWS;EWS iso 2;EWS iso 3;EWS iso 5;EWS iso 6" xr:uid="{00000000-0004-0000-0000-00004C000000}"/>
    <hyperlink ref="C540" r:id="rId73" display="EWS;EWS iso 2;EWS iso 3;EWS iso 5;EWS iso 6" xr:uid="{00000000-0004-0000-0000-00004D000000}"/>
    <hyperlink ref="C549" r:id="rId74" display="EWS;EWS iso 2;EWS iso 3;EWS iso 5;EWS iso 6" xr:uid="{00000000-0004-0000-0000-00004E000000}"/>
    <hyperlink ref="C537" r:id="rId75" display="EWS;EWS iso 2;EWS iso 3;EWS iso 5;EWS iso 6" xr:uid="{00000000-0004-0000-0000-00004F000000}"/>
    <hyperlink ref="C534" r:id="rId76" display="EWS;EWS iso 2;EWS iso 3;EWS iso 5;EWS iso 6" xr:uid="{00000000-0004-0000-0000-000050000000}"/>
    <hyperlink ref="B571" r:id="rId77" display="HNRNPA1;HNRNPA1" xr:uid="{00000000-0004-0000-0000-000051000000}"/>
    <hyperlink ref="C571" r:id="rId78" display="ROA1 iso 2;ROA1" xr:uid="{00000000-0004-0000-0000-000052000000}"/>
    <hyperlink ref="C555" r:id="rId79" display="EWS;EWS iso 2;EWS iso 3;EWS iso 5;EWS iso 6" xr:uid="{00000000-0004-0000-0000-000053000000}"/>
    <hyperlink ref="C126" r:id="rId80" display="ALS6;ALS6 iso 2" xr:uid="{00000000-0004-0000-0000-000054000000}"/>
    <hyperlink ref="C127" r:id="rId81" display="ALS6;ALS6 iso 2" xr:uid="{00000000-0004-0000-0000-000055000000}"/>
    <hyperlink ref="C128" r:id="rId82" display="ALS6;ALS6 iso 2" xr:uid="{00000000-0004-0000-0000-000056000000}"/>
    <hyperlink ref="C129" r:id="rId83" display="ALS6;ALS6 iso 2" xr:uid="{00000000-0004-0000-0000-000057000000}"/>
    <hyperlink ref="C130" r:id="rId84" display="ALS6;ALS6 iso 2" xr:uid="{00000000-0004-0000-0000-000058000000}"/>
    <hyperlink ref="C131" r:id="rId85" display="ALS6;ALS6 iso 2" xr:uid="{00000000-0004-0000-0000-000059000000}"/>
    <hyperlink ref="C132" r:id="rId86" display="ALS6;ALS6 iso 2" xr:uid="{00000000-0004-0000-0000-00005A000000}"/>
    <hyperlink ref="C133" r:id="rId87" display="ALS6;ALS6 iso 2" xr:uid="{00000000-0004-0000-0000-00005B000000}"/>
    <hyperlink ref="C134" r:id="rId88" display="ALS6;ALS6 iso 2" xr:uid="{00000000-0004-0000-0000-00005C000000}"/>
    <hyperlink ref="C135" r:id="rId89" display="ALS6;ALS6 iso 2" xr:uid="{00000000-0004-0000-0000-00005D000000}"/>
    <hyperlink ref="C137" r:id="rId90" display="CHD7;CHD7 iso 2;CHD7 iso 3;CHD7 iso 4" xr:uid="{00000000-0004-0000-0000-00005E000000}"/>
    <hyperlink ref="C138" r:id="rId91" display="CHD7;CHD7 iso 2;CHD7 iso 3;CHD7 iso 4" xr:uid="{00000000-0004-0000-0000-00005F000000}"/>
    <hyperlink ref="C140" r:id="rId92" display="CK-18" xr:uid="{00000000-0004-0000-0000-000060000000}"/>
    <hyperlink ref="C141" r:id="rId93" display="CK-18" xr:uid="{00000000-0004-0000-0000-000061000000}"/>
    <hyperlink ref="C142" r:id="rId94" display="CK-18" xr:uid="{00000000-0004-0000-0000-000062000000}"/>
    <hyperlink ref="C143" r:id="rId95" display="CK-18" xr:uid="{00000000-0004-0000-0000-000063000000}"/>
    <hyperlink ref="C363" r:id="rId96" display="ADAR;ADAR iso 2;ADAR iso 3;ADAR iso 4" xr:uid="{00000000-0004-0000-0000-000064000000}"/>
    <hyperlink ref="C364" r:id="rId97" display="ADAR;ADAR iso 2;ADAR iso 3;ADAR iso 4" xr:uid="{00000000-0004-0000-0000-000065000000}"/>
    <hyperlink ref="C365" r:id="rId98" display="ADAR;ADAR iso 2;ADAR iso 3;ADAR iso 4" xr:uid="{00000000-0004-0000-0000-000066000000}"/>
    <hyperlink ref="C366" r:id="rId99" display="ADAR;ADAR iso 2;ADAR iso 3;ADAR iso 4" xr:uid="{00000000-0004-0000-0000-000067000000}"/>
    <hyperlink ref="C367" r:id="rId100" display="ADAR;ADAR iso 2;ADAR iso 3;ADAR iso 4" xr:uid="{00000000-0004-0000-0000-000068000000}"/>
    <hyperlink ref="C368" r:id="rId101" display="ADAR;ADAR iso 2;ADAR iso 3;ADAR iso 4" xr:uid="{00000000-0004-0000-0000-000069000000}"/>
    <hyperlink ref="C369" r:id="rId102" display="ADAR;ADAR iso 2;ADAR iso 3;ADAR iso 4" xr:uid="{00000000-0004-0000-0000-00006A000000}"/>
    <hyperlink ref="B473" r:id="rId103" display="PIK3CA" xr:uid="{00000000-0004-0000-0000-00006B000000}"/>
    <hyperlink ref="C473" r:id="rId104" display="PI3K" xr:uid="{00000000-0004-0000-0000-00006C000000}"/>
    <hyperlink ref="C479" r:id="rId105" display="NEK7;NEK7 iso 2" xr:uid="{00000000-0004-0000-0000-00006D000000}"/>
    <hyperlink ref="C480" r:id="rId106" display="NEK7;NEK7 iso 2" xr:uid="{00000000-0004-0000-0000-00006E000000}"/>
    <hyperlink ref="C481" r:id="rId107" display="NEK7;NEK7 iso 2" xr:uid="{00000000-0004-0000-0000-00006F000000}"/>
    <hyperlink ref="C541" r:id="rId108" display="EWS;EWS iso 2;EWS iso 3;EWS iso 5;EWS iso 6" xr:uid="{00000000-0004-0000-0000-000070000000}"/>
    <hyperlink ref="C552" r:id="rId109" display="HNRNPA0" xr:uid="{00000000-0004-0000-0000-000071000000}"/>
    <hyperlink ref="C553" r:id="rId110" display="HNRNPA0" xr:uid="{00000000-0004-0000-0000-000072000000}"/>
    <hyperlink ref="C554" r:id="rId111" display="HNRNPA0" xr:uid="{00000000-0004-0000-0000-000073000000}"/>
    <hyperlink ref="C561" r:id="rId112" display="ALS6;ALS6 iso 2" xr:uid="{00000000-0004-0000-0000-000074000000}"/>
    <hyperlink ref="C562" r:id="rId113" display="ALS6;ALS6 iso 2" xr:uid="{00000000-0004-0000-0000-000075000000}"/>
    <hyperlink ref="C563" r:id="rId114" display="ALS6;ALS6 iso 2" xr:uid="{00000000-0004-0000-0000-000076000000}"/>
    <hyperlink ref="C564" r:id="rId115" display="ALS6;ALS6 iso 2" xr:uid="{00000000-0004-0000-0000-000077000000}"/>
    <hyperlink ref="C565" r:id="rId116" display="ALS6;ALS6 iso 2" xr:uid="{00000000-0004-0000-0000-000078000000}"/>
    <hyperlink ref="C566" r:id="rId117" display="ALS6;ALS6 iso 2" xr:uid="{00000000-0004-0000-0000-000079000000}"/>
    <hyperlink ref="C567" r:id="rId118" display="ALS6;ALS6 iso 2" xr:uid="{00000000-0004-0000-0000-00007A000000}"/>
    <hyperlink ref="C568" r:id="rId119" display="ALS6;ALS6 iso 2" xr:uid="{00000000-0004-0000-0000-00007B000000}"/>
    <hyperlink ref="C569" r:id="rId120" display="ALS6;ALS6 iso 2" xr:uid="{00000000-0004-0000-0000-00007C000000}"/>
    <hyperlink ref="B573" r:id="rId121" display="ALS6;ALS6 iso 2" xr:uid="{00000000-0004-0000-0000-00007D000000}"/>
    <hyperlink ref="B574" r:id="rId122" display="ALS6;ALS6 iso 2" xr:uid="{00000000-0004-0000-0000-00007E000000}"/>
    <hyperlink ref="B575" r:id="rId123" display="ALS6;ALS6 iso 2" xr:uid="{00000000-0004-0000-0000-00007F000000}"/>
    <hyperlink ref="B576" r:id="rId124" display="ALS6;ALS6 iso 2" xr:uid="{00000000-0004-0000-0000-000080000000}"/>
    <hyperlink ref="B577" r:id="rId125" display="ALS6;ALS6 iso 2" xr:uid="{00000000-0004-0000-0000-000081000000}"/>
    <hyperlink ref="B578" r:id="rId126" display="ALS6;ALS6 iso 2" xr:uid="{00000000-0004-0000-0000-000082000000}"/>
    <hyperlink ref="B579" r:id="rId127" display="ALS6;ALS6 iso 2" xr:uid="{00000000-0004-0000-0000-000083000000}"/>
    <hyperlink ref="C573" r:id="rId128" display="ALS6;ALS6 iso 2" xr:uid="{00000000-0004-0000-0000-000084000000}"/>
    <hyperlink ref="C574" r:id="rId129" display="ALS6;ALS6 iso 2" xr:uid="{00000000-0004-0000-0000-000085000000}"/>
    <hyperlink ref="C575" r:id="rId130" display="ALS6;ALS6 iso 2" xr:uid="{00000000-0004-0000-0000-000086000000}"/>
    <hyperlink ref="C576" r:id="rId131" display="ALS6;ALS6 iso 2" xr:uid="{00000000-0004-0000-0000-000087000000}"/>
    <hyperlink ref="C577" r:id="rId132" display="ALS6;ALS6 iso 2" xr:uid="{00000000-0004-0000-0000-000088000000}"/>
    <hyperlink ref="C578" r:id="rId133" display="ALS6;ALS6 iso 2" xr:uid="{00000000-0004-0000-0000-000089000000}"/>
    <hyperlink ref="C579" r:id="rId134" display="ALS6;ALS6 iso 2" xr:uid="{00000000-0004-0000-0000-00008A000000}"/>
    <hyperlink ref="F1168" r:id="rId135" display="AHNK_HUMAN|Q09666" xr:uid="{59414D4F-2A18-407A-AA8C-0003FB421303}"/>
    <hyperlink ref="F1170" r:id="rId136" display="NEBL_HUMAN|O76041-2" xr:uid="{55349A66-D27E-4C4C-9305-065F195D5B21}"/>
    <hyperlink ref="F1172" r:id="rId137" display="SVIL_HUMAN|O95425;SVIL_HUMAN|O95425-2;SVIL_HUMAN|O95425-3;SVIL_HUMAN|O95425-4" xr:uid="{53E354E1-DAA7-4118-818F-1BB1DB49B02C}"/>
    <hyperlink ref="F1173" r:id="rId138" display="SVIL_HUMAN|O95425;SVIL_HUMAN|O95425-2;SVIL_HUMAN|O95425-3;SVIL_HUMAN|O95425-4" xr:uid="{564C9FC7-6051-4BC8-B51D-5F1327E7858F}"/>
    <hyperlink ref="F1174" r:id="rId139" display="TAGL_HUMAN|Q01995" xr:uid="{FF5D7656-DC72-45E8-A74C-4ECD8987F374}"/>
    <hyperlink ref="F1175" r:id="rId140" display="TAGL_HUMAN|Q01995" xr:uid="{401DF003-C9D2-4C13-96C9-10930C263C83}"/>
    <hyperlink ref="F1179" r:id="rId141" display="AKAP8_HUMAN|O43823" xr:uid="{EB113850-140E-4737-96BD-C64F96BDB2D0}"/>
    <hyperlink ref="F1180" r:id="rId142" display="AKAP8_HUMAN|O43823" xr:uid="{2C18E162-83F0-4C60-BD94-37E2DB513B8B}"/>
    <hyperlink ref="F1182" r:id="rId143" display="AKAP8_HUMAN|O43823" xr:uid="{4083A18C-24C9-4A80-80C8-2FE546620068}"/>
    <hyperlink ref="F1184" r:id="rId144" display="AKAP8_HUMAN|O43823" xr:uid="{3AF99980-3445-4D0D-BBC9-A384DD697169}"/>
    <hyperlink ref="F1186" r:id="rId145" display="AKAP8_HUMAN|O43823" xr:uid="{22C24D2A-E179-403E-B06D-AAF623C2BFA6}"/>
    <hyperlink ref="F1187" r:id="rId146" display="AKAP8_HUMAN|O43823" xr:uid="{2D742654-9310-4A9D-B01E-0F44568495CF}"/>
    <hyperlink ref="F1188" r:id="rId147" display="AKAP8_HUMAN|O43823" xr:uid="{493E73F2-A861-4776-B2C0-92160165009A}"/>
    <hyperlink ref="F1189" r:id="rId148" display="AKAP8_HUMAN|O43823" xr:uid="{126FD015-EA7F-464A-AF78-CB3FAA650F76}"/>
    <hyperlink ref="F1190" r:id="rId149" display="AKAP8_HUMAN|O43823" xr:uid="{AE2BE409-0B00-4794-8BD0-E5BB00055B0F}"/>
    <hyperlink ref="F1191" r:id="rId150" display="AKAP8_HUMAN|O43823" xr:uid="{9D066FB7-2D58-4B20-89A7-029A1C8D4F7D}"/>
    <hyperlink ref="F1192" r:id="rId151" display="AKAP8_HUMAN|O43823" xr:uid="{8479F340-3C6B-4E7D-8601-3E020967FF66}"/>
    <hyperlink ref="F1193" r:id="rId152" display="AKAP8_HUMAN|O43823" xr:uid="{F29A641E-8A46-47B8-819D-18235811F877}"/>
    <hyperlink ref="F1195" r:id="rId153" display="AKAP8_HUMAN|O43823" xr:uid="{86FE3B79-6678-4D92-86C4-88290FABB28C}"/>
    <hyperlink ref="F1196" r:id="rId154" display="AKP8L_HUMAN|Q9ULX6;AKP8L_HUMAN|Q9ULX6-2" xr:uid="{729FDDF9-873B-43EF-9EF2-CB8102B66316}"/>
    <hyperlink ref="F1197" r:id="rId155" display="AKP8L_HUMAN|Q9ULX6;AKP8L_HUMAN|Q9ULX6-2" xr:uid="{1CEC8A2D-71E2-4744-8A26-C67397085517}"/>
    <hyperlink ref="F1198" r:id="rId156" display="AKP8L_HUMAN|Q9ULX6;AKP8L_HUMAN|Q9ULX6-2" xr:uid="{CA1B7A1B-2253-45C9-8C48-61ACA18E585C}"/>
    <hyperlink ref="F1201" r:id="rId157" display="G3BP1_HUMAN|Q13283" xr:uid="{75F1EA2D-C1CE-4BFB-8143-234685DF1818}"/>
    <hyperlink ref="F1202" r:id="rId158" display="G3BP1_HUMAN|Q13283" xr:uid="{B6B8A0EA-F34E-4422-8650-823EDA3288D8}"/>
    <hyperlink ref="F1203" r:id="rId159" display="G3BP1_HUMAN|Q13283" xr:uid="{679A3859-B332-4523-B2DC-2367014FC613}"/>
    <hyperlink ref="F1204" r:id="rId160" display="G3BP1_HUMAN|Q13283" xr:uid="{F73D030B-E8D9-473D-9131-95F07DD98535}"/>
    <hyperlink ref="F1205" r:id="rId161" display="G3BP1_HUMAN|Q13283" xr:uid="{CB89FDE0-0D0E-4EC8-9732-18DFDCB448E9}"/>
    <hyperlink ref="F1206" r:id="rId162" display="G3BP1_HUMAN|Q13283" xr:uid="{BF521404-9690-4EC0-99EB-BD4D07719E61}"/>
    <hyperlink ref="F1207" r:id="rId163" display="G3BP1_HUMAN|Q13283" xr:uid="{67B9C701-0554-4F5F-87D5-64A7CCE590A9}"/>
    <hyperlink ref="F1208" r:id="rId164" display="G3BP1_HUMAN|Q13283" xr:uid="{BF53BEA6-2C2D-4E3E-BFB3-37F8551EEF1F}"/>
    <hyperlink ref="F1209" r:id="rId165" display="G3BP1_HUMAN|Q13283" xr:uid="{08D2439B-384C-4A5A-B395-D3C0413DC4C1}"/>
    <hyperlink ref="F1210" r:id="rId166" display="G3BP1_HUMAN|Q13283" xr:uid="{5D659609-312A-418E-B96E-F3B79BEEA8BB}"/>
    <hyperlink ref="F1211" r:id="rId167" display="G3BP1_HUMAN|Q13283" xr:uid="{D45CEEC8-7638-47D3-83B0-7A8DBD244261}"/>
    <hyperlink ref="F1212" r:id="rId168" display="G3BP1_HUMAN|Q13283" xr:uid="{F518B18B-3906-40E5-A1E2-B725C53B789D}"/>
    <hyperlink ref="F1213" r:id="rId169" display="G3BP1_HUMAN|Q13283" xr:uid="{DA9E166D-E857-462B-905F-33980F4F86A0}"/>
    <hyperlink ref="F1214" r:id="rId170" display="G3BP2_HUMAN|Q9UN86;G3BP2_HUMAN|Q9UN86-2" xr:uid="{B5402835-BC5D-4DC4-82A9-31D2A7954F02}"/>
    <hyperlink ref="F1215" r:id="rId171" display="G3BP2_HUMAN|Q9UN86;G3BP2_HUMAN|Q9UN86-2" xr:uid="{F4329159-A446-40D5-AEF5-44537987BC5F}"/>
    <hyperlink ref="F1216" r:id="rId172" display="LMO7_HUMAN|Q8WWI1;LMO7_HUMAN|Q8WWI1-2;LMO7_HUMAN|Q8WWI1-3;LMO7_HUMAN|Q8WWI1-4" xr:uid="{A771B4A1-1C03-4D36-A1B5-E0A7457B74A2}"/>
    <hyperlink ref="F1218" r:id="rId173" display="SPKAP_HUMAN|Q2M3C7;SPKAP_HUMAN|Q2M3C7-2" xr:uid="{3DC0AD73-0F6F-4F37-8EDF-9E09079F9A15}"/>
    <hyperlink ref="F1219" r:id="rId174" display="TFG_HUMAN|Q92734;TFG_HUMAN|Q92734-2" xr:uid="{ED2A5010-330A-442C-A71C-89CD2165FD57}"/>
    <hyperlink ref="F1220" r:id="rId175" display="TFG_HUMAN|Q92734;TFG_HUMAN|Q92734-2" xr:uid="{D181C3FF-70A5-4E6F-A58F-8EA12EF8EE1D}"/>
    <hyperlink ref="F1221" r:id="rId176" display="TFG_HUMAN|Q92734;TFG_HUMAN|Q92734-2" xr:uid="{2B0DA18C-B319-4293-822A-22CC012F01F4}"/>
    <hyperlink ref="F1222" r:id="rId177" display="TFG_HUMAN|Q92734;TFG_HUMAN|Q92734-2" xr:uid="{329E3F0B-9AC1-47F0-B2C5-99486EA6D145}"/>
    <hyperlink ref="F1223" r:id="rId178" display="TRIP6_HUMAN|Q15654" xr:uid="{9EEEBD0B-9740-4673-8C28-21C99D6417CB}"/>
    <hyperlink ref="F1224" r:id="rId179" display="TRIP6_HUMAN|Q15654" xr:uid="{DAF85121-06FC-42FF-90BD-446F167E2536}"/>
    <hyperlink ref="F1225" r:id="rId180" display="TRIP6_HUMAN|Q15654" xr:uid="{13E8CB70-99E0-47DD-BB84-90814D5A96BC}"/>
    <hyperlink ref="F1226" r:id="rId181" display="TRIP6_HUMAN|Q15654" xr:uid="{C59E7E5D-3637-4C93-A550-47BDD1F774B3}"/>
    <hyperlink ref="F1227" r:id="rId182" display="TRIP6_HUMAN|Q15654" xr:uid="{75C3449A-1279-420C-961E-04F3AF784EFD}"/>
    <hyperlink ref="F1228" r:id="rId183" display="TRIP6_HUMAN|Q15654" xr:uid="{DBFC8F66-4AB6-49B7-B75F-AEDE0B9AACC7}"/>
    <hyperlink ref="F1229" r:id="rId184" display="TRIP6_HUMAN|Q15654" xr:uid="{710B641E-F3C0-43D3-B4A9-A4FE44F647B7}"/>
    <hyperlink ref="C1230" r:id="rId185" xr:uid="{72FB86F6-82F8-4542-BAE1-8D42CA4DAE2D}"/>
    <hyperlink ref="F1230" r:id="rId186" display="UBC12_HUMAN|P61081" xr:uid="{3A066D98-62EF-4039-9F1A-486EDCDF7238}"/>
    <hyperlink ref="C1231" r:id="rId187" xr:uid="{ED5F079D-C668-4528-B12A-4C90476B6BC7}"/>
    <hyperlink ref="F1231" r:id="rId188" display="UBC12_HUMAN|P61081" xr:uid="{51DA7987-F38B-46B9-B5DC-2E2F1127BC1F}"/>
    <hyperlink ref="C1232" r:id="rId189" xr:uid="{7EDA170F-8B60-4330-92A4-28855509C0DE}"/>
    <hyperlink ref="F1232" r:id="rId190" display="WASP_HUMAN|P42768" xr:uid="{B97EB389-D966-4E63-BBED-53D47D638585}"/>
    <hyperlink ref="C1233" r:id="rId191" xr:uid="{A112F54A-509E-4FE0-88FA-4CA7BB9A5612}"/>
    <hyperlink ref="F1233" r:id="rId192" display="WASP_HUMAN|P42768" xr:uid="{54885066-CAA4-4399-A681-1A972FA78DC5}"/>
    <hyperlink ref="C1234" r:id="rId193" xr:uid="{FDFB63B4-8EBB-4682-BAC9-0BDEF79DF07E}"/>
    <hyperlink ref="F1234" r:id="rId194" display="WASP_HUMAN|P42768" xr:uid="{2424051F-4C55-41D3-94E6-B1B3CF917375}"/>
    <hyperlink ref="C1235" r:id="rId195" xr:uid="{539BC6C7-B7DB-422B-8C27-4E5D6FD4FE1C}"/>
    <hyperlink ref="F1235" r:id="rId196" display="WASP_HUMAN|P42768" xr:uid="{EDD92318-8446-4520-BDED-F858D033B9DF}"/>
    <hyperlink ref="F1236" r:id="rId197" display="WDR33_HUMAN|Q9C0J8" xr:uid="{8278C14A-86C4-421E-9CA2-603E962FC185}"/>
    <hyperlink ref="F1237" r:id="rId198" display="WDR33_HUMAN|Q9C0J8" xr:uid="{1A37A9CD-A1E5-4D66-BA23-F7625373C539}"/>
    <hyperlink ref="F1238" r:id="rId199" display="PKP2_HUMAN|Q99959;PKP2_HUMAN|Q99959-2" xr:uid="{5B4C3762-D659-4404-AD60-8DEB0D2D1B68}"/>
    <hyperlink ref="C1240" r:id="rId200" display="AKT1S1;AKT1S1 iso 3" xr:uid="{98C84E1E-85C5-47BA-8D8A-0B9CB50EDA18}"/>
    <hyperlink ref="F1240" r:id="rId201" display="AKTS1_HUMAN|Q96B36;AKTS1_HUMAN|Q96B36-3" xr:uid="{EFC63FD0-7735-4AF1-912C-1014D9C86222}"/>
    <hyperlink ref="F1241" r:id="rId202" display="API5_HUMAN|Q9BZZ5;API5_HUMAN|Q9BZZ5-6" xr:uid="{C0761DC9-BADF-4D56-8D3C-A32214008804}"/>
    <hyperlink ref="F1243" r:id="rId203" display="BAG4_HUMAN|O95429;BAG4_HUMAN|O95429-2" xr:uid="{10C91CEA-F15B-46CB-8CAD-FC19516D1C4D}"/>
    <hyperlink ref="F1246" r:id="rId204" display="IASPP_HUMAN|Q8WUF5" xr:uid="{0B88B5FA-AF8D-43F0-B0C9-B6701E1CB7FB}"/>
    <hyperlink ref="F1247" r:id="rId205" display="IASPP_HUMAN|Q8WUF5" xr:uid="{238AE1E8-86C6-41B0-A7E2-CBA7FF64C759}"/>
    <hyperlink ref="F1249" r:id="rId206" display="ZBT10_HUMAN|Q96DT7;ZBT10_HUMAN|Q96DT7-2" xr:uid="{F9652483-7148-47FF-BD88-52D9C6E6D3F4}"/>
    <hyperlink ref="F1251" r:id="rId207" display="ZN703_HUMAN|Q9H7S9" xr:uid="{633A611C-CEB4-4FB4-8870-C7C65316D1F2}"/>
    <hyperlink ref="C1253" r:id="rId208" xr:uid="{E1F77393-FE82-4A5C-96B4-01CFB700F907}"/>
    <hyperlink ref="F1253" r:id="rId209" display="CUL1_HUMAN|Q13616" xr:uid="{09AE44C9-1915-47B7-90D7-B6747E24539D}"/>
    <hyperlink ref="C1255" r:id="rId210" display="DDX3;DDX3 iso 2" xr:uid="{E89CDF46-9B43-4F60-A9FF-4A526A8CD4C3}"/>
    <hyperlink ref="F1255" r:id="rId211" display="DDX3X_HUMAN|O00571;DDX3X_HUMAN|O00571-2" xr:uid="{A26342E8-A662-4194-AB05-0722A163435C}"/>
    <hyperlink ref="F1257" r:id="rId212" display="DDX3X_HUMAN|O00571;DDX3X_HUMAN|O00571-2" xr:uid="{C31652C7-10CD-487C-810E-FCED56C1B72F}"/>
    <hyperlink ref="F1258" r:id="rId213" display="PERQ2_HUMAN|Q6Y7W6;PERQ2_HUMAN|Q6Y7W6-3;PERQ2_HUMAN|Q6Y7W6-4;PERQ2_HUMAN|Q6Y7W6-5" xr:uid="{B6B2BD9D-2FCD-45E4-9631-17C4AA29C4F5}"/>
    <hyperlink ref="F1259" r:id="rId214" display="PERQ2_HUMAN|Q6Y7W6;PERQ2_HUMAN|Q6Y7W6-3;PERQ2_HUMAN|Q6Y7W6-4;PERQ2_HUMAN|Q6Y7W6-5" xr:uid="{D77936C6-AF60-4853-9067-53426EBDE83F}"/>
    <hyperlink ref="F1260" r:id="rId215" display="PERQ2_HUMAN|Q6Y7W6;PERQ2_HUMAN|Q6Y7W6-3;PERQ2_HUMAN|Q6Y7W6-4;PERQ2_HUMAN|Q6Y7W6-5" xr:uid="{53BB44F9-B1C2-42EA-954D-14081FFF0C1C}"/>
    <hyperlink ref="F1261" r:id="rId216" display="PERQ2_HUMAN|Q6Y7W6;PERQ2_HUMAN|Q6Y7W6-3;PERQ2_HUMAN|Q6Y7W6-4;PERQ2_HUMAN|Q6Y7W6-5" xr:uid="{9A865FEB-D7E9-4479-8182-2E0F2F446083}"/>
    <hyperlink ref="F1262" r:id="rId217" display="LCHN_HUMAN|A4D1U4" xr:uid="{797B0B02-58E3-42BA-B602-15C357014A3B}"/>
    <hyperlink ref="F1263" r:id="rId218" display="CAPR1_HUMAN|Q14444;CAPR1_HUMAN|Q14444-2" xr:uid="{A51363AC-B8A8-4F83-97D7-5CD7B969D0F2}"/>
    <hyperlink ref="F1266" r:id="rId219" display="CAPR1_HUMAN|Q14444;CAPR1_HUMAN|Q14444-2" xr:uid="{EF568928-642C-4D23-AFEE-19F7272869C4}"/>
    <hyperlink ref="F1268" r:id="rId220" display="CAPR1_HUMAN|Q14444;CAPR1_HUMAN|Q14444-2" xr:uid="{A9DEA813-595E-4EC0-BC1A-95AF0DA75924}"/>
    <hyperlink ref="F1272" r:id="rId221" display="CAPR1_HUMAN|Q14444;CAPR1_HUMAN|Q14444-2" xr:uid="{4986B981-8D63-4E96-ABF6-5FEFB38505CC}"/>
    <hyperlink ref="F1273" r:id="rId222" display="CAPR1_HUMAN|Q14444;CAPR1_HUMAN|Q14444-2" xr:uid="{952F6DEF-DBB8-4CC1-887D-50AC59B1F27C}"/>
    <hyperlink ref="F1275" r:id="rId223" display="TCPH_HUMAN|Q99832;TCPH_HUMAN|Q99832-3;TCPH_HUMAN|Q99832-2;TCPH_HUMAN|Q99832-4" xr:uid="{E2D9FE11-D28E-437C-9E35-ED6E6F1D151C}"/>
    <hyperlink ref="F1276" r:id="rId224" display="HSP71_HUMAN|P08107;HSP76_HUMAN|P17066;HSP71_HUMAN|P08107-2" xr:uid="{B9F18C12-84E2-4FC6-AAE0-9E5E1B76DA98}"/>
    <hyperlink ref="F1277" r:id="rId225" display="HSP71_HUMAN|P08107;HSP76_HUMAN|P17066;HSP71_HUMAN|P08107-2" xr:uid="{7DB01550-3848-4FB4-AD2F-17C89251BD0D}"/>
    <hyperlink ref="F1278" r:id="rId226" display="HSP71_HUMAN|P08107;HSP76_HUMAN|P17066;HSP71_HUMAN|P08107-2" xr:uid="{E59A40EB-B4E6-4E51-BBEB-0956C829AFBB}"/>
    <hyperlink ref="F1279" r:id="rId227" display="HSP71_HUMAN|P08107;HSP76_HUMAN|P17066;HSP71_HUMAN|P08107-2" xr:uid="{B27696A9-1001-404C-BE54-4F213A455B2E}"/>
    <hyperlink ref="F1280" r:id="rId228" display="HSP71_HUMAN|P08107;HSP76_HUMAN|P17066;HSP71_HUMAN|P08107-2" xr:uid="{F7DB3140-47BA-457F-94DA-1203DEA729B2}"/>
    <hyperlink ref="F1281" r:id="rId229" display="HSP71_HUMAN|P08107;HSP76_HUMAN|P17066;HSP71_HUMAN|P08107-2" xr:uid="{09BBED9E-D66D-4E26-B256-234DAA2474F2}"/>
    <hyperlink ref="F1282" r:id="rId230" display="HSP71_HUMAN|P08107;HSP76_HUMAN|P17066;HSP71_HUMAN|P08107-2" xr:uid="{554399AB-55BE-437F-BFEC-56BE45330935}"/>
    <hyperlink ref="C1283" r:id="rId231" xr:uid="{EBB77A5F-7D25-4F7A-95F8-3D0E0DE88BD7}"/>
    <hyperlink ref="F1283" r:id="rId232" display="HSP7C_HUMAN|P11142" xr:uid="{09571C3D-1830-4BA4-960F-A9A495462BC1}"/>
    <hyperlink ref="C1284" r:id="rId233" xr:uid="{F4E0AFE7-532B-4EAE-93BB-3C23996E32FB}"/>
    <hyperlink ref="F1284" r:id="rId234" display="HSP7C_HUMAN|P11142" xr:uid="{92855E66-C968-43E3-BC8C-59FD9395786A}"/>
    <hyperlink ref="C1285" r:id="rId235" xr:uid="{0F79B1E9-7404-490A-AC81-BB885E6EFA42}"/>
    <hyperlink ref="F1285" r:id="rId236" display="HSP7C_HUMAN|P11142" xr:uid="{3D1C911F-746C-4151-B623-608D7F30F4D2}"/>
    <hyperlink ref="C1286" r:id="rId237" xr:uid="{CA4916C9-0C9D-4F86-B4AD-C303384D4807}"/>
    <hyperlink ref="F1286" r:id="rId238" display="HSP7C_HUMAN|P11142" xr:uid="{9D37EB43-257C-4BBB-8BF6-A03AB7098D93}"/>
    <hyperlink ref="C1287" r:id="rId239" xr:uid="{A25B751E-7B44-461C-8972-97A515FEF283}"/>
    <hyperlink ref="F1287" r:id="rId240" display="HSP7C_HUMAN|P11142" xr:uid="{070B2BC1-B48A-4FC5-BE19-44CD66142A63}"/>
    <hyperlink ref="C1288" r:id="rId241" xr:uid="{1C14AA2E-CEB8-4A6A-B6FF-A5B909C4AA18}"/>
    <hyperlink ref="F1288" r:id="rId242" display="HSP7C_HUMAN|P11142" xr:uid="{92FD5FB3-2A46-41D7-8521-D1C115481164}"/>
    <hyperlink ref="C1289" r:id="rId243" xr:uid="{E8D2A5D6-DA16-4260-8E91-FD8351328888}"/>
    <hyperlink ref="F1289" r:id="rId244" display="HSP7C_HUMAN|P11142" xr:uid="{AB36FB35-8DA5-4B79-A498-C83580B1A635}"/>
    <hyperlink ref="B1292" r:id="rId245" xr:uid="{B9BD2905-A81B-417D-B604-58F7A8D40988}"/>
    <hyperlink ref="C1292" r:id="rId246" xr:uid="{5A0AF027-EFAB-4FF7-B6C5-4C97851EDCDB}"/>
    <hyperlink ref="F1292" r:id="rId247" display="HSPB1_HUMAN|P04792" xr:uid="{00A672AB-921B-4994-8058-1F9327FD4DDB}"/>
    <hyperlink ref="B1293" r:id="rId248" xr:uid="{42D6285D-68BB-4375-BED2-5538DD7AB79F}"/>
    <hyperlink ref="C1293" r:id="rId249" xr:uid="{50DE1B73-D558-4493-A48E-FBFB868E73E4}"/>
    <hyperlink ref="F1293" r:id="rId250" display="HSPB1_HUMAN|P04792" xr:uid="{1EED404C-D86A-4CC1-887A-B0B7338C87F0}"/>
    <hyperlink ref="F1294" r:id="rId251" display="JPH2_HUMAN|Q9BR39" xr:uid="{7F135571-4F6F-4318-BDEB-B1808B73A650}"/>
    <hyperlink ref="F1295" r:id="rId252" display="CLAP2_HUMAN|O75122-3" xr:uid="{78B348C8-32E9-473B-ABA9-36489988EBAF}"/>
    <hyperlink ref="C1296" r:id="rId253" xr:uid="{3DFBDB6F-7B39-4FD1-9474-03B78DCA5705}"/>
    <hyperlink ref="F1296" r:id="rId254" display="DESM_HUMAN|P17661" xr:uid="{9A78645E-538E-4613-9D40-1F0045CFE517}"/>
    <hyperlink ref="C1297" r:id="rId255" xr:uid="{59292FF2-C94C-4FA2-88CE-363E4BFD7D55}"/>
    <hyperlink ref="F1297" r:id="rId256" display="DESM_HUMAN|P17661" xr:uid="{86A83FD9-8568-4792-9E6D-A342FB0F27B7}"/>
    <hyperlink ref="C1298" r:id="rId257" xr:uid="{7BE6FCCD-2847-4190-8BD7-86177AC418C1}"/>
    <hyperlink ref="F1298" r:id="rId258" display="DESM_HUMAN|P17661" xr:uid="{8BF52C19-4DAE-47CA-8EE7-C83A25B77958}"/>
    <hyperlink ref="C1299" r:id="rId259" xr:uid="{AB7A116E-58E9-4522-B10F-AA6CE240FEB7}"/>
    <hyperlink ref="F1299" r:id="rId260" display="DESM_HUMAN|P17661" xr:uid="{3A97F293-7E74-41A5-94FA-F096221F6F97}"/>
    <hyperlink ref="C1300" r:id="rId261" xr:uid="{EF504F3C-B256-4E1D-94AF-81298D2441EF}"/>
    <hyperlink ref="C1301" r:id="rId262" xr:uid="{B96A3767-107A-4780-9B6F-2E1800DDC52B}"/>
    <hyperlink ref="C1302" r:id="rId263" xr:uid="{78A2C440-6A03-4BC9-B9F6-72D66AB3E93C}"/>
    <hyperlink ref="C1304" r:id="rId264" xr:uid="{24B4C899-B507-452B-B0F9-04AE10094419}"/>
    <hyperlink ref="C1306" r:id="rId265" xr:uid="{CBDD0577-5EE3-4E3C-A002-F6B6E4BC0223}"/>
    <hyperlink ref="C1307" r:id="rId266" xr:uid="{61CB8682-9C7C-4E47-BD25-053AF8AAAD8E}"/>
    <hyperlink ref="C1308" r:id="rId267" xr:uid="{123A563C-9DE5-4CA6-AE6B-F408BD4C41EE}"/>
    <hyperlink ref="C1309" r:id="rId268" xr:uid="{4EF558DE-8CF9-4A6D-9430-078A711AC8F2}"/>
    <hyperlink ref="C1310" r:id="rId269" xr:uid="{9A1C34A0-EB01-45D2-B942-7BA658D1FDE1}"/>
    <hyperlink ref="C1311" r:id="rId270" xr:uid="{5F3E6D3E-D0BA-4E57-87A4-FDF79AB84E13}"/>
    <hyperlink ref="C1312" r:id="rId271" xr:uid="{A53FF8F8-C267-4B2C-A51F-162C9557B29F}"/>
    <hyperlink ref="C1314" r:id="rId272" xr:uid="{B611FB94-4E88-4E49-8F50-233662BB7281}"/>
    <hyperlink ref="C1315" r:id="rId273" xr:uid="{1E9E13A1-8442-4766-AF32-AACA44C80096}"/>
    <hyperlink ref="C1316" r:id="rId274" xr:uid="{FC3B76B5-3432-433B-8BC5-7DD276B4D7DA}"/>
    <hyperlink ref="C1317" r:id="rId275" xr:uid="{AA54400F-43B3-4AF2-9C7F-BE0324171381}"/>
    <hyperlink ref="C1318" r:id="rId276" xr:uid="{1E49C951-426B-4912-941A-CE968D45DC72}"/>
    <hyperlink ref="C1319" r:id="rId277" xr:uid="{EE39C176-185E-4B2B-B515-D513D4F8B9A1}"/>
    <hyperlink ref="C1320" r:id="rId278" xr:uid="{8FB0A56D-CE33-4BB0-BE56-9AA493E08BE3}"/>
    <hyperlink ref="C1321" r:id="rId279" xr:uid="{2763D56C-0423-4246-B4C2-5D0D74F5A152}"/>
    <hyperlink ref="C1322" r:id="rId280" xr:uid="{53D5D7B4-6632-4760-BF92-01B83FEEF815}"/>
    <hyperlink ref="C1323" r:id="rId281" xr:uid="{A67554AA-01E8-4B64-91C0-C9DAC1BD1797}"/>
    <hyperlink ref="C1324" r:id="rId282" xr:uid="{ABED7F7D-792E-4FA2-9545-1FF0D14BD638}"/>
    <hyperlink ref="C1325" r:id="rId283" xr:uid="{EF8C8F0B-8E17-478E-82A5-CD40434DDB55}"/>
    <hyperlink ref="C1326" r:id="rId284" xr:uid="{4DDB70AD-5FDC-4E24-A655-777619E2C853}"/>
    <hyperlink ref="C1327" r:id="rId285" xr:uid="{098741C9-3EB4-44B8-817F-BF2A7EB8F9BD}"/>
    <hyperlink ref="C1328" r:id="rId286" xr:uid="{DBC843F4-7EBE-46F4-A18A-5BFCF993625B}"/>
    <hyperlink ref="C1329" r:id="rId287" xr:uid="{8B14324A-9FC9-4295-AD98-7E920DAC20C5}"/>
    <hyperlink ref="C1330" r:id="rId288" xr:uid="{1E03CB05-A9ED-4745-98FF-2D25AE328E2D}"/>
    <hyperlink ref="C1331" r:id="rId289" xr:uid="{E213F3CB-78A6-4253-9668-297618048742}"/>
    <hyperlink ref="C1332" r:id="rId290" xr:uid="{321FBF2E-6B32-4A35-B57F-9B4E37409C80}"/>
    <hyperlink ref="C1333" r:id="rId291" xr:uid="{CECC4DD2-F014-4682-B471-6F829AEB514A}"/>
    <hyperlink ref="C1334" r:id="rId292" xr:uid="{E9E43A25-26CB-4DA6-A7FA-4B9F4DD325CC}"/>
    <hyperlink ref="C1335" r:id="rId293" xr:uid="{3AC9D746-4FFE-4273-BCB6-AFED2F5F5F5A}"/>
    <hyperlink ref="C1336" r:id="rId294" xr:uid="{C5876C2A-673E-4111-85FE-44064DE089B1}"/>
    <hyperlink ref="C1337" r:id="rId295" xr:uid="{4F91E6A1-8048-416D-B585-AF2DC1E98379}"/>
    <hyperlink ref="C1338" r:id="rId296" xr:uid="{1C4DE3F3-5BD4-497A-811B-D7DA11A66DFA}"/>
    <hyperlink ref="C1339" r:id="rId297" xr:uid="{AC95FFE7-D303-4CEE-B049-E2471F94CA57}"/>
    <hyperlink ref="C1340" r:id="rId298" xr:uid="{21DF81F1-3DCF-4FDE-8C16-88EC566EDA07}"/>
    <hyperlink ref="C1341" r:id="rId299" xr:uid="{0CBC6C87-4D66-478E-B5DC-69F0E8E443CE}"/>
    <hyperlink ref="C1342" r:id="rId300" xr:uid="{A67E9CEB-BC63-48F7-BA85-7BC6DD092A2B}"/>
    <hyperlink ref="C1343" r:id="rId301" xr:uid="{E0B0FE16-BFAC-4BFA-ABD0-069B94A69D36}"/>
    <hyperlink ref="C1344" r:id="rId302" xr:uid="{5781F0DE-09B9-416D-8268-E0482AA29ED8}"/>
    <hyperlink ref="C1345" r:id="rId303" xr:uid="{3F500A2D-695B-4ACF-AD14-D365808B4B93}"/>
    <hyperlink ref="C1346" r:id="rId304" xr:uid="{20CE78E2-7D29-4B6E-A415-131F535DF745}"/>
    <hyperlink ref="C1347" r:id="rId305" xr:uid="{3EFA7496-37A6-456F-ACE8-40F42A944946}"/>
    <hyperlink ref="C1348" r:id="rId306" xr:uid="{1C207DB7-677E-49B0-B6C6-1C015DF2837C}"/>
    <hyperlink ref="C1349" r:id="rId307" xr:uid="{365B1C2D-E4A5-471C-967B-AD76FE5C4C19}"/>
    <hyperlink ref="C1350" r:id="rId308" xr:uid="{501D1033-D713-47FE-AD8A-68F5F44688DD}"/>
    <hyperlink ref="C1351" r:id="rId309" xr:uid="{22657822-E113-4EFF-B2A7-AC5ECACF8E50}"/>
    <hyperlink ref="C1352" r:id="rId310" xr:uid="{58CE97A1-1D5A-4BFE-9026-B8F87A742D74}"/>
    <hyperlink ref="C1353" r:id="rId311" xr:uid="{ED48D27B-39B7-4C4F-8E21-0C074A893098}"/>
    <hyperlink ref="C1354" r:id="rId312" xr:uid="{C894FE1F-124B-49D2-B0AC-7BA9F59D9CB8}"/>
    <hyperlink ref="C1355" r:id="rId313" xr:uid="{9E673EAF-3AEF-4096-989D-5F133C18F1D1}"/>
    <hyperlink ref="C1356" r:id="rId314" xr:uid="{739B68B3-1B0C-4F86-97FA-74F85DCDFEE1}"/>
    <hyperlink ref="C1357" r:id="rId315" xr:uid="{B6582548-9662-4561-B568-8E86D69C621F}"/>
    <hyperlink ref="C1358" r:id="rId316" xr:uid="{5057A8DD-01D9-4CF6-BDAD-EFB3BCC94691}"/>
    <hyperlink ref="C1359" r:id="rId317" xr:uid="{5B59BACE-35EB-4B96-929F-D4C74025448C}"/>
    <hyperlink ref="C1360" r:id="rId318" xr:uid="{5794EB5C-7E6F-4AF9-BCD5-B919CAB6EA9D}"/>
    <hyperlink ref="C1361" r:id="rId319" xr:uid="{6E54759C-9B36-48F6-BB99-3ADA915933BE}"/>
    <hyperlink ref="C1362" r:id="rId320" xr:uid="{CB674AEF-D267-43FC-89AC-8264B75316EA}"/>
    <hyperlink ref="C1363" r:id="rId321" xr:uid="{6A1F4011-08F2-44EE-A974-6BB57093A857}"/>
    <hyperlink ref="C1364" r:id="rId322" xr:uid="{9B482296-9B02-4018-A91B-0359D3DA9B0F}"/>
    <hyperlink ref="C1365" r:id="rId323" xr:uid="{A623CC2F-869E-4729-8616-2D4C43682408}"/>
    <hyperlink ref="C1366" r:id="rId324" xr:uid="{5BD0C7AB-DDAF-4119-B18B-224013945CC3}"/>
    <hyperlink ref="C1367" r:id="rId325" xr:uid="{00C41097-54EE-4E86-9FF3-BA439B1170C9}"/>
    <hyperlink ref="C1369" r:id="rId326" xr:uid="{71B8D93F-1D9B-4896-B20A-CCBF66CA24BD}"/>
    <hyperlink ref="C1370" r:id="rId327" xr:uid="{25495D88-FB34-4FEA-947D-E5F1D7502685}"/>
    <hyperlink ref="C1371" r:id="rId328" xr:uid="{65D8DCDA-53FC-4830-BF44-A5379B06AB17}"/>
    <hyperlink ref="C1372" r:id="rId329" xr:uid="{4C52DD77-2CC8-4775-A367-98E3980A12FC}"/>
    <hyperlink ref="C1373" r:id="rId330" xr:uid="{0FFF8CEC-3BCD-4990-9AA5-7297365ADB03}"/>
    <hyperlink ref="C1374" r:id="rId331" xr:uid="{E14B87EF-66B9-4E19-80C3-93D34BD73380}"/>
    <hyperlink ref="C1375" r:id="rId332" xr:uid="{B03683C9-B69F-4626-A382-0FBE024E7402}"/>
    <hyperlink ref="C1376" r:id="rId333" xr:uid="{CE056B71-6F5C-43A3-AEB5-6465EADC2C1F}"/>
    <hyperlink ref="C1378" r:id="rId334" xr:uid="{17F4FD9C-C190-4F48-99BD-F1D99DCE5AA7}"/>
    <hyperlink ref="C1379" r:id="rId335" xr:uid="{FEAF8678-557C-4FFA-B920-F1A3FCCE3993}"/>
    <hyperlink ref="C1380" r:id="rId336" xr:uid="{16FB4DF9-FF77-47ED-A77E-46FF6F27E56B}"/>
    <hyperlink ref="C1381" r:id="rId337" xr:uid="{E985F2EA-1EB8-49F9-8F55-D0ED4872A48A}"/>
    <hyperlink ref="C1382" r:id="rId338" xr:uid="{A2DEE7EB-6585-4414-B53C-A0DB6A540BC4}"/>
    <hyperlink ref="C1384" r:id="rId339" xr:uid="{BAC1EC7B-BDFA-4BFC-B09B-121768C8E1E1}"/>
    <hyperlink ref="C1385" r:id="rId340" xr:uid="{2C95DACB-E8DB-4EEA-902E-79CCD505784F}"/>
    <hyperlink ref="C1386" r:id="rId341" xr:uid="{2DADB80D-84E7-4B77-836D-080309509622}"/>
    <hyperlink ref="C1388" r:id="rId342" xr:uid="{749A2ADB-9AE1-4DD6-AB4F-D8ACB852C6DF}"/>
    <hyperlink ref="C1389" r:id="rId343" xr:uid="{265913E0-E7C4-46F1-860F-089EE36C4BA6}"/>
    <hyperlink ref="C1390" r:id="rId344" xr:uid="{63D81E72-55F5-4445-85C6-370B09DF934E}"/>
    <hyperlink ref="C1391" r:id="rId345" xr:uid="{E6C6F180-4D33-425B-A9A7-B0E44C6EE36D}"/>
    <hyperlink ref="C1392" r:id="rId346" xr:uid="{143EF338-E7CB-449A-93FB-DB03ABC7E6B7}"/>
    <hyperlink ref="C1394" r:id="rId347" xr:uid="{B10B0028-3F7B-4B49-A6C0-0E486CBF8F70}"/>
    <hyperlink ref="C1395" r:id="rId348" xr:uid="{6C755597-1BEF-4E88-B8A8-74CA2FDB4421}"/>
    <hyperlink ref="C1396" r:id="rId349" xr:uid="{E8721839-CA45-4210-9514-935DD247BE47}"/>
    <hyperlink ref="C1397" r:id="rId350" xr:uid="{2518D5FF-09DC-4BF6-B3FC-219F7C55A641}"/>
    <hyperlink ref="F1634" r:id="rId351" display="K1C19_HUMAN|P08727" xr:uid="{BD27AC67-B09E-4A45-97CF-96A59328290E}"/>
    <hyperlink ref="C1398" r:id="rId352" xr:uid="{8388A323-0982-4333-BDED-8F0A4B98BA23}"/>
    <hyperlink ref="F1635" r:id="rId353" display="K1C19_HUMAN|P08727" xr:uid="{4FC8127B-5B0C-472F-B461-A5A7B8533CDC}"/>
    <hyperlink ref="C1399" r:id="rId354" xr:uid="{DD610F15-218E-43CD-9219-D6BE93EA3C3A}"/>
    <hyperlink ref="F1636" r:id="rId355" display="K1C19_HUMAN|P08727" xr:uid="{5C7EEF21-3147-4FA1-B169-3F716786CF52}"/>
    <hyperlink ref="C1400" r:id="rId356" xr:uid="{537548B7-A9F0-4522-AA95-3AC15A8B008A}"/>
    <hyperlink ref="F1637" r:id="rId357" display="K1C19_HUMAN|P08727" xr:uid="{D79876A8-DF10-455E-91D1-91149161527C}"/>
    <hyperlink ref="C1401" r:id="rId358" xr:uid="{54883E71-6756-4460-A880-41ABB3694541}"/>
    <hyperlink ref="F1638" r:id="rId359" display="K1C19_HUMAN|P08727" xr:uid="{2FAE719A-303E-444B-AB4D-05D5F4183D0D}"/>
    <hyperlink ref="C1402" r:id="rId360" xr:uid="{74F511C7-9677-49AC-B257-B7370E294987}"/>
    <hyperlink ref="F1639" r:id="rId361" display="K1C19_HUMAN|P08727" xr:uid="{43884B12-4419-4EFE-A545-A8F32A6B3562}"/>
    <hyperlink ref="C1404" r:id="rId362" xr:uid="{2EB874D1-21C3-4AEA-A697-E28164F5200A}"/>
    <hyperlink ref="F1641" r:id="rId363" display="K1C19_HUMAN|P08727" xr:uid="{884B6563-FB57-4744-968E-1E4DD16AB483}"/>
    <hyperlink ref="C1405" r:id="rId364" xr:uid="{36F9BDAD-64DA-4B19-AF08-E03FDA469409}"/>
    <hyperlink ref="F1647" r:id="rId365" display="K1C19_HUMAN|P08727" xr:uid="{BA71B851-41FB-4BF4-BCE3-7B67DCC82DF2}"/>
    <hyperlink ref="C1406" r:id="rId366" xr:uid="{947BF9C7-A8DE-4E2D-BD61-B94E83921A91}"/>
    <hyperlink ref="F1648" r:id="rId367" display="K1C19_HUMAN|P08727" xr:uid="{BAFFA982-B0A0-49B9-AE07-53968D411B4B}"/>
    <hyperlink ref="C1408" r:id="rId368" xr:uid="{F9A261A5-228D-466C-985E-8D4E603C3CD9}"/>
    <hyperlink ref="F1650" r:id="rId369" display="K1C19_HUMAN|P08727" xr:uid="{295440E3-0DB4-445C-B458-EEAA72160811}"/>
    <hyperlink ref="C1409" r:id="rId370" xr:uid="{3830ADA0-DF3D-42A6-98BB-CC1801BFDD58}"/>
    <hyperlink ref="F1651" r:id="rId371" display="K1C19_HUMAN|P08727" xr:uid="{DD5D7BD9-2D6F-451B-9EBA-FA6ECD67CFF4}"/>
    <hyperlink ref="C1410" r:id="rId372" xr:uid="{9024676D-90EE-4847-A2F5-6D025911656A}"/>
    <hyperlink ref="F1652" r:id="rId373" display="K1C19_HUMAN|P08727" xr:uid="{CCE87D72-D26E-48A8-9DC7-CB7B51E0C61B}"/>
    <hyperlink ref="C1411" r:id="rId374" xr:uid="{962D52B1-5A6A-4530-BD63-3BE62E071936}"/>
    <hyperlink ref="F1653" r:id="rId375" display="K1C19_HUMAN|P08727" xr:uid="{75852341-3FA4-4181-815E-55D8C9C66CA2}"/>
    <hyperlink ref="C1412" r:id="rId376" xr:uid="{11814495-51D1-47C7-A081-60B485DD8245}"/>
    <hyperlink ref="F1654" r:id="rId377" display="K1C19_HUMAN|P08727" xr:uid="{2EBB0193-C445-470B-80D3-D16FB254BE45}"/>
    <hyperlink ref="C1413" r:id="rId378" xr:uid="{597571A6-9055-49FA-8E80-5660DF3B90F2}"/>
    <hyperlink ref="F1655" r:id="rId379" display="K1C19_HUMAN|P08727" xr:uid="{E13EAA3B-B99B-4AFE-BE0D-5B958F01BD73}"/>
    <hyperlink ref="C1414" r:id="rId380" xr:uid="{B30E9B69-7FD7-4A4B-A15C-157C00F2C851}"/>
    <hyperlink ref="F1656" r:id="rId381" display="K1C19_HUMAN|P08727" xr:uid="{BF9B2B5D-421D-4460-AAC9-F096D6EE7266}"/>
    <hyperlink ref="C1415" r:id="rId382" xr:uid="{EE302E5D-57D1-4B18-8883-78F561278579}"/>
    <hyperlink ref="F1657" r:id="rId383" display="K1C19_HUMAN|P08727" xr:uid="{032C8CF3-B724-4B31-97D4-7FA84D9DBBFC}"/>
    <hyperlink ref="C1416" r:id="rId384" xr:uid="{06E54F41-10F2-4C4E-B830-978C7919345C}"/>
    <hyperlink ref="F1658" r:id="rId385" display="K1C19_HUMAN|P08727" xr:uid="{FDBB9FED-6E53-4527-A4CC-FC21B20F9E2B}"/>
    <hyperlink ref="C1417" r:id="rId386" xr:uid="{77206A07-A93E-4941-8118-B1D47BE068EA}"/>
    <hyperlink ref="F1659" r:id="rId387" display="K1C19_HUMAN|P08727" xr:uid="{FB9233A9-25B9-4328-B22C-F13DC270F807}"/>
    <hyperlink ref="C1418" r:id="rId388" xr:uid="{F54291C1-6AFC-49BA-82C6-ADCD579C0895}"/>
    <hyperlink ref="F1660" r:id="rId389" display="K1C19_HUMAN|P08727" xr:uid="{3E91F010-CE55-4AAC-AEAA-FAE52C62CF6E}"/>
    <hyperlink ref="C1419" r:id="rId390" xr:uid="{BDC2CDA1-09E4-4D8E-8F3F-7FD98C594C9D}"/>
    <hyperlink ref="F1661" r:id="rId391" display="K1C19_HUMAN|P08727" xr:uid="{999EFEA9-B3CB-4509-8266-9CB0B4FE7B2F}"/>
    <hyperlink ref="C1421" r:id="rId392" xr:uid="{EFC0E1C7-08AB-4480-B392-ED73F6189E5B}"/>
    <hyperlink ref="F1665" r:id="rId393" display="K1C19_HUMAN|P08727" xr:uid="{76341996-835E-42AA-9D7E-CBE1AFAD0D54}"/>
    <hyperlink ref="F1666" r:id="rId394" display="K1C20_HUMAN|P35900" xr:uid="{41D6B653-CFC2-4F54-B111-4018A7BDDDA9}"/>
    <hyperlink ref="F1667" r:id="rId395" display="K1C20_HUMAN|P35900" xr:uid="{FE6C80C7-2336-4D03-816A-3D2EADBBABFC}"/>
    <hyperlink ref="F1670" r:id="rId396" display="K2C8_HUMAN|P05787;K2C8_HUMAN|P05787-2" xr:uid="{1CF92892-D63E-4BB3-82FF-3F0AB3F955DB}"/>
    <hyperlink ref="F1671" r:id="rId397" display="K2C8_HUMAN|P05787;K2C8_HUMAN|P05787-2" xr:uid="{D141CA91-EE59-42A6-B109-BE47A8E4CFC4}"/>
    <hyperlink ref="F1672" r:id="rId398" display="K2C8_HUMAN|P05787;K2C8_HUMAN|P05787-2" xr:uid="{F932ECA7-6EC9-4D03-B7BE-367C948971E9}"/>
    <hyperlink ref="F1673" r:id="rId399" display="K2C8_HUMAN|P05787;K2C8_HUMAN|P05787-2" xr:uid="{2CD80827-B735-47C9-B8B7-64E434C67533}"/>
    <hyperlink ref="F1674" r:id="rId400" display="K2C8_HUMAN|P05787;K2C8_HUMAN|P05787-2" xr:uid="{298A7BD4-B09A-4467-924D-E4CB458857E3}"/>
    <hyperlink ref="F1675" r:id="rId401" display="K2C8_HUMAN|P05787;K2C8_HUMAN|P05787-2" xr:uid="{BB211E51-0CFB-4E89-9377-4DC3CFB63E69}"/>
    <hyperlink ref="F1679" r:id="rId402" display="K2C8_HUMAN|P05787;K2C8_HUMAN|P05787-2" xr:uid="{DC7B1CFE-9FAE-4CE5-AB59-273CCDF79776}"/>
    <hyperlink ref="F1681" r:id="rId403" display="K2C8_HUMAN|P05787;K2C8_HUMAN|P05787-2" xr:uid="{9FD15AFB-BB72-466D-981B-4942202374DE}"/>
    <hyperlink ref="F1683" r:id="rId404" display="K2C8_HUMAN|P05787;K2C8_HUMAN|P05787-2" xr:uid="{E5B21C14-3824-47D3-8E31-C6F541E2495B}"/>
    <hyperlink ref="F1684" r:id="rId405" display="K2C8_HUMAN|P05787;K2C8_HUMAN|P05787-2" xr:uid="{3220FD16-8771-4852-A461-9690CB6ABB8B}"/>
    <hyperlink ref="F1685" r:id="rId406" display="K2C8_HUMAN|P05787;K2C8_HUMAN|P05787-2" xr:uid="{4700FE34-5001-4E3B-A80D-2319C7ECD522}"/>
    <hyperlink ref="F1688" r:id="rId407" display="K2C8_HUMAN|P05787;K2C8_HUMAN|P05787-2" xr:uid="{98D476DE-B228-4A5A-A2DD-513EDAD39392}"/>
    <hyperlink ref="F1689" r:id="rId408" display="K2C8_HUMAN|P05787;K2C8_HUMAN|P05787-2" xr:uid="{23CE9F44-B342-4664-90E1-B8225B942D0A}"/>
    <hyperlink ref="F1690" r:id="rId409" display="K2C8_HUMAN|P05787;K2C8_HUMAN|P05787-2" xr:uid="{79219FB2-F4E5-4CA7-93F7-E25990C440CC}"/>
    <hyperlink ref="F1691" r:id="rId410" display="K2C8_HUMAN|P05787;K2C8_HUMAN|P05787-2" xr:uid="{9722B387-A632-4BDA-AE7B-B4FE91E3D96B}"/>
    <hyperlink ref="F1692" r:id="rId411" display="K2C8_HUMAN|P05787;K2C8_HUMAN|P05787-2" xr:uid="{5FC5F6CC-1152-46D5-AEC7-98C6C1747599}"/>
    <hyperlink ref="F1693" r:id="rId412" display="K2C8_HUMAN|P05787;K2C8_HUMAN|P05787-2" xr:uid="{B6CAC784-5C29-43A5-9740-C110B5EBE4F9}"/>
    <hyperlink ref="F1694" r:id="rId413" display="K2C8_HUMAN|P05787;K2C8_HUMAN|P05787-2" xr:uid="{389B6F11-A8D6-4DFD-8E2E-51DACDCDB801}"/>
    <hyperlink ref="F1695" r:id="rId414" display="K2C8_HUMAN|P05787;K2C8_HUMAN|P05787-2" xr:uid="{91790FF6-028A-4BFF-839A-D771677783D2}"/>
    <hyperlink ref="F1696" r:id="rId415" display="K2C8_HUMAN|P05787;K2C8_HUMAN|P05787-2" xr:uid="{7C876EFE-DFD8-4E01-96E1-2CC1287F0509}"/>
    <hyperlink ref="F1698" r:id="rId416" display="K2C8_HUMAN|P05787;K2C8_HUMAN|P05787-2" xr:uid="{BA28C71B-7A46-40FD-9DBD-96D07DC36381}"/>
    <hyperlink ref="F1700" r:id="rId417" display="K2C8_HUMAN|P05787;K2C8_HUMAN|P05787-2" xr:uid="{08B4B359-DA0C-4271-8C67-0FF77110F8C2}"/>
    <hyperlink ref="F1701" r:id="rId418" display="K2C8_HUMAN|P05787;K2C8_HUMAN|P05787-2" xr:uid="{160E03A9-0763-46E0-B977-25C2C842709F}"/>
    <hyperlink ref="F1702" r:id="rId419" display="K2C8_HUMAN|P05787;K2C8_HUMAN|P05787-2" xr:uid="{C5BF43F7-34E1-46DF-A5C4-70CD9899BDC3}"/>
    <hyperlink ref="F1703" r:id="rId420" display="K2C8_HUMAN|P05787;K2C8_HUMAN|P05787-2" xr:uid="{95B0DD30-BF5B-4B92-AD87-98F25F19F978}"/>
    <hyperlink ref="F1704" r:id="rId421" display="K2C8_HUMAN|P05787;K2C8_HUMAN|P05787-2" xr:uid="{E8BD4C9C-E081-45FD-9657-7F14EF2A4E9B}"/>
    <hyperlink ref="F1705" r:id="rId422" display="K2C8_HUMAN|P05787;K2C8_HUMAN|P05787-2" xr:uid="{3043121C-7927-4E69-B942-DC18A32EE5E4}"/>
    <hyperlink ref="F1710" r:id="rId423" display="K2C8_HUMAN|P05787;K2C8_HUMAN|P05787-2" xr:uid="{3B72D7B3-6E73-495A-99D9-B4626F60C896}"/>
    <hyperlink ref="F1712" r:id="rId424" display="K2C8_HUMAN|P05787;K2C8_HUMAN|P05787-2" xr:uid="{01F43285-72BB-4457-B6C7-80C2D55121FC}"/>
    <hyperlink ref="F1713" r:id="rId425" display="K2C8_HUMAN|P05787;K2C8_HUMAN|P05787-2" xr:uid="{633B8593-A647-48E2-9F23-8EEEC321B301}"/>
    <hyperlink ref="F1714" r:id="rId426" display="K2C8_HUMAN|P05787;K2C8_HUMAN|P05787-2" xr:uid="{3DB30A64-0A92-4A8C-A2BC-474B421E172A}"/>
    <hyperlink ref="F1715" r:id="rId427" display="K2C8_HUMAN|P05787;K2C8_HUMAN|P05787-2" xr:uid="{E3320E9F-646E-4884-95A4-6A80C9EF704D}"/>
    <hyperlink ref="F1716" r:id="rId428" display="K2C8_HUMAN|P05787;K2C8_HUMAN|P05787-2" xr:uid="{E28CBF63-AE0F-4A5A-A4AA-4AD39A6B1E29}"/>
    <hyperlink ref="F1717" r:id="rId429" display="K2C8_HUMAN|P05787;K2C8_HUMAN|P05787-2" xr:uid="{47E95446-9808-4948-B283-E8795166FA45}"/>
    <hyperlink ref="F1718" r:id="rId430" display="K2C8_HUMAN|P05787;K2C8_HUMAN|P05787-2" xr:uid="{6BCF0A16-65EC-4B5B-A35B-8399B2AF36F3}"/>
    <hyperlink ref="F1719" r:id="rId431" display="K2C8_HUMAN|P05787;K2C8_HUMAN|P05787-2" xr:uid="{80794A36-C90D-47CE-B23C-D3520C63CA60}"/>
    <hyperlink ref="F1720" r:id="rId432" display="K2C8_HUMAN|P05787;K2C8_HUMAN|P05787-2" xr:uid="{05EBA63F-8D31-44A1-A332-DB552AFCFC69}"/>
    <hyperlink ref="F1721" r:id="rId433" display="K2C8_HUMAN|P05787;K2C8_HUMAN|P05787-2" xr:uid="{E0FF2702-A74E-4B5D-B775-65E52711E7E1}"/>
    <hyperlink ref="F1722" r:id="rId434" display="K2C8_HUMAN|P05787;K2C8_HUMAN|P05787-2" xr:uid="{5E6F13F9-82A9-4E6A-B032-45B9A3558185}"/>
    <hyperlink ref="F1723" r:id="rId435" display="K2C8_HUMAN|P05787;K2C8_HUMAN|P05787-2" xr:uid="{2F5ED843-9E9C-4CE2-84E3-D6352E8D43BE}"/>
    <hyperlink ref="F1724" r:id="rId436" display="K2C8_HUMAN|P05787;K2C8_HUMAN|P05787-2" xr:uid="{B8107578-3432-49C9-8077-8FCFC17183D8}"/>
    <hyperlink ref="F1725" r:id="rId437" display="K2C8_HUMAN|P05787;K2C8_HUMAN|P05787-2" xr:uid="{323D34C2-26C8-45B5-895F-F0BABD8DB3A6}"/>
    <hyperlink ref="F1727" r:id="rId438" display="K2C8_HUMAN|P05787;K2C8_HUMAN|P05787-2" xr:uid="{BEFD9763-0C87-4B39-A518-FE6C24114292}"/>
    <hyperlink ref="F1728" r:id="rId439" display="K2C8_HUMAN|P05787;K2C8_HUMAN|P05787-2" xr:uid="{8AF7AEA7-4816-4B71-9FE2-F20E3182CD7B}"/>
    <hyperlink ref="F1731" r:id="rId440" display="K2C8_HUMAN|P05787;K2C8_HUMAN|P05787-2" xr:uid="{2C8EBE93-1856-4DA4-B959-D0A8A7888125}"/>
    <hyperlink ref="F1732" r:id="rId441" display="K2C8_HUMAN|P05787;K2C8_HUMAN|P05787-2" xr:uid="{F159669D-C857-4D69-8D4F-6B7522C9E7E4}"/>
    <hyperlink ref="F1735" r:id="rId442" display="K2C8_HUMAN|P05787;K2C8_HUMAN|P05787-2" xr:uid="{074EF37C-1FE8-4864-81D9-E4EF6C76E6F6}"/>
    <hyperlink ref="F1737" r:id="rId443" display="K2C8_HUMAN|P05787;K2C8_HUMAN|P05787-2" xr:uid="{7722BF70-CE26-41C8-9D2A-0D61D1935E83}"/>
    <hyperlink ref="F1699" r:id="rId444" display="K2C8_HUMAN|P05787;K2C8_HUMAN|P05787-2" xr:uid="{34333DFB-537A-4B80-9624-397FDFF592FD}"/>
    <hyperlink ref="F1738" r:id="rId445" display="K2C8_HUMAN|P05787;K2C8_HUMAN|P05787-2" xr:uid="{7B4C8CA9-C938-4C95-A010-58A51BDF0B81}"/>
    <hyperlink ref="F1740" r:id="rId446" display="K2C8_HUMAN|P05787;K2C8_HUMAN|P05787-2" xr:uid="{19179A8E-32C4-4D46-B749-C9DAD5D7C3E7}"/>
    <hyperlink ref="F1742" r:id="rId447" display="K2C8_HUMAN|P05787;K2C8_HUMAN|P05787-2" xr:uid="{C20CC572-8E8D-4A0A-A69E-9947E4C2371D}"/>
    <hyperlink ref="F1745" r:id="rId448" display="K2C8_HUMAN|P05787;K2C8_HUMAN|P05787-2" xr:uid="{E00C5D89-B985-4837-BE71-590C07182AAC}"/>
    <hyperlink ref="F1747" r:id="rId449" display="K2C8_HUMAN|P05787;K2C8_HUMAN|P05787-2" xr:uid="{55370F66-29C3-4F09-9256-F118F025D0CA}"/>
    <hyperlink ref="F1751" r:id="rId450" display="K2C8_HUMAN|P05787;K2C8_HUMAN|P05787-2" xr:uid="{8053115A-0B88-4EF2-944F-4A9578355806}"/>
    <hyperlink ref="F1752" r:id="rId451" display="K2C8_HUMAN|P05787;K2C8_HUMAN|P05787-2" xr:uid="{93CC0BF6-5912-4173-84E6-F5A958D4E041}"/>
    <hyperlink ref="F1754" r:id="rId452" display="K2C8_HUMAN|P05787;K2C8_HUMAN|P05787-2" xr:uid="{4E7C1FFC-014F-423D-B5E6-83FC9981B48A}"/>
    <hyperlink ref="F1755" r:id="rId453" display="K2C8_HUMAN|P05787;K2C8_HUMAN|P05787-2" xr:uid="{243E9131-770E-476E-8C6F-D5D2F2BFAB0C}"/>
    <hyperlink ref="F1758" r:id="rId454" display="K2C8_HUMAN|P05787;K2C8_HUMAN|P05787-2" xr:uid="{D52E8059-4E95-45B2-91D0-A210665E39AF}"/>
    <hyperlink ref="F1760" r:id="rId455" display="K2C8_HUMAN|P05787;K2C8_HUMAN|P05787-2" xr:uid="{1B537A0A-B4B9-47FD-8B45-20FB9883D013}"/>
    <hyperlink ref="F1762" r:id="rId456" display="K2C8_HUMAN|P05787;K2C8_HUMAN|P05787-2" xr:uid="{DA324831-15BB-4BDE-A283-B2E40407A40C}"/>
    <hyperlink ref="F1764" r:id="rId457" display="K2C8_HUMAN|P05787;K2C8_HUMAN|P05787-2" xr:uid="{927D500A-F136-48BD-B8F1-87147608C768}"/>
    <hyperlink ref="F1765" r:id="rId458" display="K2C8_HUMAN|P05787;K2C8_HUMAN|P05787-2" xr:uid="{A70C3690-5F0A-4959-997B-33800DC3131D}"/>
    <hyperlink ref="F1767" r:id="rId459" display="K2C8_HUMAN|P05787;K2C8_HUMAN|P05787-2" xr:uid="{8F9475A6-472E-4477-A42E-6BE6483BCB90}"/>
    <hyperlink ref="F1768" r:id="rId460" display="K2C8_HUMAN|P05787;K2C8_HUMAN|P05787-2" xr:uid="{078A248D-5E72-48C6-96BC-23907E019793}"/>
    <hyperlink ref="F1769" r:id="rId461" display="K2C8_HUMAN|P05787;K2C8_HUMAN|P05787-2" xr:uid="{5229C922-D12D-45DD-8C05-999E15E3C8D1}"/>
    <hyperlink ref="F1771" r:id="rId462" display="K2C8_HUMAN|P05787;K2C8_HUMAN|P05787-2" xr:uid="{8234746F-D615-44FE-9F8C-CC3AE6FBB1BF}"/>
    <hyperlink ref="F1772" r:id="rId463" display="K2C8_HUMAN|P05787;K2C8_HUMAN|P05787-2" xr:uid="{1C17B735-030F-4E4E-B3E7-5D4C9965AF59}"/>
    <hyperlink ref="F1773" r:id="rId464" display="K2C8_HUMAN|P05787;K2C8_HUMAN|P05787-2" xr:uid="{DE57421C-AAD1-4BA8-8763-232E56458742}"/>
    <hyperlink ref="F1774" r:id="rId465" display="K2C8_HUMAN|P05787;K2C8_HUMAN|P05787-2" xr:uid="{CFCCEF14-90BB-42D6-987E-E4FE56214BEF}"/>
    <hyperlink ref="F1775" r:id="rId466" display="K2C8_HUMAN|P05787;K2C8_HUMAN|P05787-2" xr:uid="{2EA7AF1D-55C1-436F-908E-B5311687DEBD}"/>
    <hyperlink ref="F1776" r:id="rId467" display="K2C8_HUMAN|P05787;K2C8_HUMAN|P05787-2" xr:uid="{0AF426D5-4AC9-4093-B97E-C4E5FAB5A498}"/>
    <hyperlink ref="F1777" r:id="rId468" display="K2C8_HUMAN|P05787;K2C8_HUMAN|P05787-2" xr:uid="{BAF2FDAE-38C1-443B-AA6B-5E287FF8BA18}"/>
    <hyperlink ref="F1778" r:id="rId469" display="K2C8_HUMAN|P05787;K2C8_HUMAN|P05787-2" xr:uid="{D7A7B771-2E60-43C4-B4FD-CC03619122D4}"/>
    <hyperlink ref="F1780" r:id="rId470" display="K2C8_HUMAN|P05787;K2C8_HUMAN|P05787-2" xr:uid="{7F7ACD4C-3A78-48BD-BC69-FFAA04C548CA}"/>
    <hyperlink ref="F1781" r:id="rId471" display="K2C8_HUMAN|P05787;K2C8_HUMAN|P05787-2" xr:uid="{8181400F-570C-466A-B89D-C9719CA98737}"/>
    <hyperlink ref="F1782" r:id="rId472" display="K2C8_HUMAN|P05787;K2C8_HUMAN|P05787-2" xr:uid="{0B85F0CD-96B7-440C-A187-D0924DD4CF01}"/>
    <hyperlink ref="F1783" r:id="rId473" display="K2C8_HUMAN|P05787;K2C8_HUMAN|P05787-2" xr:uid="{3249DA8F-6ABD-4D6B-BBA7-973C599F034C}"/>
    <hyperlink ref="F1784" r:id="rId474" display="K2C8_HUMAN|P05787;K2C8_HUMAN|P05787-2" xr:uid="{E536B484-34EF-4E4B-9C99-C4D6C3134DB8}"/>
    <hyperlink ref="F1785" r:id="rId475" display="K2C8_HUMAN|P05787;K2C8_HUMAN|P05787-2" xr:uid="{CFC22603-F095-4D94-AFF3-1C1AF57488D9}"/>
    <hyperlink ref="F1806" r:id="rId476" display="K2C8_HUMAN|P05787;K2C8_HUMAN|P05787-2" xr:uid="{27C20D71-1968-40D8-B66C-EB12A9C7655D}"/>
    <hyperlink ref="F1807" r:id="rId477" display="K2C8_HUMAN|P05787;K2C8_HUMAN|P05787-2" xr:uid="{A00AF975-06C4-4CF0-9237-8251A6AB12BA}"/>
    <hyperlink ref="F1811" r:id="rId478" display="K2C8_HUMAN|P05787;K2C8_HUMAN|P05787-2" xr:uid="{F71CDD4B-6673-458F-AFCE-0C0C96BA8AD6}"/>
    <hyperlink ref="F1812" r:id="rId479" display="K2C8_HUMAN|P05787;K2C8_HUMAN|P05787-2" xr:uid="{320B53DF-51B4-4055-B759-1D6C654E4E8C}"/>
    <hyperlink ref="F1813" r:id="rId480" display="K2C8_HUMAN|P05787;K2C8_HUMAN|P05787-2" xr:uid="{5179561C-A711-429C-B07F-621649434E7D}"/>
    <hyperlink ref="F1816" r:id="rId481" display="K2C8_HUMAN|P05787;K2C8_HUMAN|P05787-2" xr:uid="{913B2613-3481-45D9-90EC-84DC6AEA7F2A}"/>
    <hyperlink ref="F1818" r:id="rId482" display="K2C8_HUMAN|P05787;K2C8_HUMAN|P05787-2" xr:uid="{44F29B25-475C-44D9-A00A-8F79B75D7A22}"/>
    <hyperlink ref="F1820" r:id="rId483" display="K2C8_HUMAN|P05787;K2C8_HUMAN|P05787-2" xr:uid="{5E271D3F-0005-4E8C-91D2-1368457EB7E4}"/>
    <hyperlink ref="F1821" r:id="rId484" display="K2C8_HUMAN|P05787;K2C8_HUMAN|P05787-2" xr:uid="{6E608DD0-2F94-4985-93AA-8F2D7EE7580B}"/>
    <hyperlink ref="F1822" r:id="rId485" display="K2C8_HUMAN|P05787;K2C8_HUMAN|P05787-2" xr:uid="{993283E5-8488-42B6-A54B-5F501DC00CB1}"/>
    <hyperlink ref="F1823" r:id="rId486" display="K2C8_HUMAN|P05787;K2C8_HUMAN|P05787-2" xr:uid="{4E8D30D9-9D67-4F8B-AE0C-DD1E0136690C}"/>
    <hyperlink ref="F1824" r:id="rId487" display="K2C8_HUMAN|P05787;K2C8_HUMAN|P05787-2" xr:uid="{290B2837-3DA0-4DCE-8640-DB7F03B4E1FC}"/>
    <hyperlink ref="F1825" r:id="rId488" display="K2C8_HUMAN|P05787;K2C8_HUMAN|P05787-2" xr:uid="{E66C157B-A96D-4BF0-B4B5-38F4FBC1804C}"/>
    <hyperlink ref="F1826" r:id="rId489" display="K2C8_HUMAN|P05787;K2C8_HUMAN|P05787-2" xr:uid="{65FE1142-4AFA-4CFD-96F5-B0D7BCFA8B75}"/>
    <hyperlink ref="F1827" r:id="rId490" display="K2C8_HUMAN|P05787;K2C8_HUMAN|P05787-2" xr:uid="{77E78617-A1BD-4421-B278-61FAA32CCE26}"/>
    <hyperlink ref="F1828" r:id="rId491" display="K2C8_HUMAN|P05787;K2C8_HUMAN|P05787-2" xr:uid="{CA421190-ECD1-4B95-8817-6DC37301BA4B}"/>
    <hyperlink ref="F1829" r:id="rId492" display="K2C8_HUMAN|P05787;K2C8_HUMAN|P05787-2" xr:uid="{60DBB617-3AFC-4115-A051-E17757E600AC}"/>
    <hyperlink ref="F1830" r:id="rId493" display="K2C8_HUMAN|P05787;K2C8_HUMAN|P05787-2" xr:uid="{F440DAB3-437E-478F-9BDC-EE2996012315}"/>
    <hyperlink ref="F1831" r:id="rId494" display="K2C8_HUMAN|P05787;K2C8_HUMAN|P05787-2" xr:uid="{ED344459-622F-4D09-9CB0-1659ED71EB22}"/>
    <hyperlink ref="F1834" r:id="rId495" display="K2C8_HUMAN|P05787;K2C8_HUMAN|P05787-2" xr:uid="{2E520969-CC90-4042-A722-FA7B0E327029}"/>
    <hyperlink ref="F1835" r:id="rId496" display="K2C8_HUMAN|P05787;K2C8_HUMAN|P05787-2" xr:uid="{7DBB146B-F414-40E7-8E87-978667B8CA42}"/>
    <hyperlink ref="F1836" r:id="rId497" display="K2C8_HUMAN|P05787;K2C8_HUMAN|P05787-2" xr:uid="{606B7FD1-B836-4286-8091-692EFA1DC6A1}"/>
    <hyperlink ref="F1839" r:id="rId498" display="K2C8_HUMAN|P05787;K2C8_HUMAN|P05787-2" xr:uid="{22D56248-8C8E-4E82-B417-833FFC8A9BE5}"/>
    <hyperlink ref="F1840" r:id="rId499" display="K2C8_HUMAN|P05787;K2C8_HUMAN|P05787-2" xr:uid="{19B61B88-93FF-4202-8D93-2D99F4C52A30}"/>
    <hyperlink ref="C1616" r:id="rId500" xr:uid="{DF92343D-C319-449E-8156-709038B053C9}"/>
    <hyperlink ref="F1842" r:id="rId501" display="LMNB1_HUMAN|P20700" xr:uid="{098B098B-A238-48F5-AAE1-4EF336B58F2A}"/>
    <hyperlink ref="F1843" r:id="rId502" display="NEBU_HUMAN|P20929;NEBU_HUMAN|P20929-2;NEBU_HUMAN|P20929-3;NEBU_HUMAN|P20929-4" xr:uid="{95B3CFBA-D35F-489B-A396-027E1152B51F}"/>
    <hyperlink ref="F1844" r:id="rId503" display="PDLI3_HUMAN|Q53GG5-2;PDLI3_HUMAN|Q53GG5-3" xr:uid="{2D74CF35-07A5-4EE4-995F-E6A5C1B8376E}"/>
    <hyperlink ref="F1845" r:id="rId504" display="TAGL2_HUMAN|P37802;TAGL2_HUMAN|P37802-2" xr:uid="{C4F9264B-0119-4449-9593-791E23C0078B}"/>
    <hyperlink ref="F1848" r:id="rId505" display="TAGL2_HUMAN|P37802;TAGL2_HUMAN|P37802-2;TAGL3_HUMAN|Q9UI15" xr:uid="{2934A860-D003-4F03-BFCC-3FEEB5E8AD23}"/>
    <hyperlink ref="F1849" r:id="rId506" display="TAGL2_HUMAN|P37802;TAGL2_HUMAN|P37802-2;TAGL3_HUMAN|Q9UI15" xr:uid="{6E7A1CE7-038D-4E90-A808-433B935CE32E}"/>
    <hyperlink ref="F1850" r:id="rId507" display="TAGL2_HUMAN|P37802;TAGL2_HUMAN|P37802-2;TAGL3_HUMAN|Q9UI15" xr:uid="{68F294C8-05C9-4B5F-B125-4785E9772D2E}"/>
    <hyperlink ref="F1851" r:id="rId508" display="TRIM3_HUMAN|O75382;TRIM3_HUMAN|O75382-2;TRIM3_HUMAN|O75382-3;TRIM3_HUMAN|O75382-4" xr:uid="{4B977BC9-D7CD-4364-8751-8DCB1B159C92}"/>
    <hyperlink ref="C1626" r:id="rId509" xr:uid="{7DFF9684-6765-47B6-8011-EA4246059C8B}"/>
    <hyperlink ref="F1852" r:id="rId510" display="VIME_HUMAN|P08670" xr:uid="{8E62DFD3-F533-481E-B5FE-064702F7B7C3}"/>
    <hyperlink ref="C1627" r:id="rId511" xr:uid="{8CEEA0D9-CF0C-499B-A5B8-8CD51A3F7B1E}"/>
    <hyperlink ref="F1853" r:id="rId512" display="VIME_HUMAN|P08670" xr:uid="{C618D546-7EE0-4D8C-88C5-E75E2576428B}"/>
    <hyperlink ref="C1628" r:id="rId513" xr:uid="{2EBF7F8A-6D38-4D01-88FC-F13FFCC46BFA}"/>
    <hyperlink ref="F1854" r:id="rId514" display="VIME_HUMAN|P08670" xr:uid="{27EA7262-C93E-4710-8E53-8346FDA6B18C}"/>
    <hyperlink ref="F1856" r:id="rId515" display="BPTF_HUMAN|Q12830;BPTF_HUMAN|Q12830-2;BPTF_HUMAN|Q12830-4" xr:uid="{70B8F384-BAC6-4FBB-871F-63A7D6E3A35B}"/>
    <hyperlink ref="F1857" r:id="rId516" display="CHD1L_HUMAN|Q86WJ1;CHD1L_HUMAN|Q86WJ1-2;CHD1L_HUMAN|Q86WJ1-3" xr:uid="{90209ACB-6E08-4175-A1FB-08721A04CD2A}"/>
    <hyperlink ref="F1858" r:id="rId517" display="CIC_HUMAN|Q96RK0" xr:uid="{34917FEC-6F55-4336-B8D6-CBB1306A30AD}"/>
    <hyperlink ref="F1859" r:id="rId518" display="CNBP_HUMAN|P62633-2;CNBP_HUMAN|P62633-5;CNBP_HUMAN|P62633-8" xr:uid="{DDEC6905-23D7-4EFF-B42A-C2BE5FCDDC05}"/>
    <hyperlink ref="F1860" r:id="rId519" display="CNBP_HUMAN|P62633-2;CNBP_HUMAN|P62633-5;CNBP_HUMAN|P62633-8" xr:uid="{6FC2C3D5-E7A7-422F-BDED-65C0B812F7B0}"/>
    <hyperlink ref="F1861" r:id="rId520" display="CNBP_HUMAN|P62633;CNBP_HUMAN|P62633-2;CNBP_HUMAN|P62633-3;CNBP_HUMAN|P62633-7" xr:uid="{9A171C0E-CD06-4FE1-9A40-77CCD780548D}"/>
    <hyperlink ref="F1863" r:id="rId521" display="CRIP1_HUMAN|P50238" xr:uid="{ACD9411E-9F8D-4EBC-8823-BB170B80E506}"/>
    <hyperlink ref="F1864" r:id="rId522" display="CRIP1_HUMAN|P50238" xr:uid="{A932D4B8-437A-41EB-B542-8731174357B3}"/>
    <hyperlink ref="F1869" r:id="rId523" display="CRIP1_HUMAN|P50238" xr:uid="{11C726E5-412B-4758-899A-1F7911B1AE8A}"/>
    <hyperlink ref="F1870" r:id="rId524" display="CRIP1_HUMAN|P50238" xr:uid="{C2808C8F-E177-47F4-B4BA-42650A34AB87}"/>
    <hyperlink ref="F1871" r:id="rId525" display="CRIP1_HUMAN|P50238" xr:uid="{B1F5A2C4-60B3-4DC0-A1BF-EC10E6058040}"/>
    <hyperlink ref="F1872" r:id="rId526" display="CRIP1_HUMAN|P50238" xr:uid="{58EBE587-0EC3-496F-977E-24FD13B04DF1}"/>
    <hyperlink ref="F1873" r:id="rId527" display="CRIP1_HUMAN|P50238" xr:uid="{7954F49F-0CDC-4275-B932-A45AE88DE187}"/>
    <hyperlink ref="F1874" r:id="rId528" display="FUBP1_HUMAN|Q96AE4;FUBP1_HUMAN|Q96AE4-2" xr:uid="{490808FA-1557-4B48-BD7D-3E9DFDD23A31}"/>
    <hyperlink ref="F1875" r:id="rId529" display="FUBP1_HUMAN|Q96AE4;FUBP1_HUMAN|Q96AE4-2" xr:uid="{1871F248-B6E7-4F85-A949-D2BD9CE9AEDF}"/>
    <hyperlink ref="F1876" r:id="rId530" display="FUBP1_HUMAN|Q96AE4;FUBP1_HUMAN|Q96AE4-2" xr:uid="{9817DA30-00DA-4A37-883D-DA2232644445}"/>
    <hyperlink ref="F1877" r:id="rId531" display="FUS_HUMAN|P35637;FUS_HUMAN|P35637-2" xr:uid="{6CAB7A21-FB23-4D37-8D0B-7FAB4F8E62D0}"/>
    <hyperlink ref="F1878" r:id="rId532" display="FUS_HUMAN|P35637;FUS_HUMAN|P35637-2" xr:uid="{2608C57B-DC62-41D4-AF3F-2233C61A23F7}"/>
    <hyperlink ref="F1879" r:id="rId533" display="FUS_HUMAN|P35637;FUS_HUMAN|P35637-2" xr:uid="{83C38752-96D2-4B8A-A369-4DDCD36B04C6}"/>
    <hyperlink ref="F1881" r:id="rId534" display="FUS_HUMAN|P35637;FUS_HUMAN|P35637-2" xr:uid="{513B9CE8-3929-4459-B126-C8B3CCAF5559}"/>
    <hyperlink ref="F1882" r:id="rId535" display="FUS_HUMAN|P35637;FUS_HUMAN|P35637-2" xr:uid="{E454E0CB-FFA1-4128-B9D7-071072FA8B1F}"/>
    <hyperlink ref="F1883" r:id="rId536" display="FUS_HUMAN|P35637;FUS_HUMAN|P35637-2" xr:uid="{FF12F50A-31B6-4B1E-A9C7-4277ABA9540D}"/>
    <hyperlink ref="F1884" r:id="rId537" display="FUS_HUMAN|P35637;FUS_HUMAN|P35637-2" xr:uid="{A747523C-BE6D-4209-9BC2-D10996CE587A}"/>
    <hyperlink ref="F1885" r:id="rId538" display="HNRPU_HUMAN|Q00839;HNRPU_HUMAN|Q00839-2" xr:uid="{42C9AAB5-1A0A-46B5-92C1-9B90AC046E03}"/>
    <hyperlink ref="F1887" r:id="rId539" display="HNRPU_HUMAN|Q00839;HNRPU_HUMAN|Q00839-2" xr:uid="{B4ACAADF-7AA4-4658-A984-90A9BEFB1FEA}"/>
    <hyperlink ref="F1888" r:id="rId540" display="ILF3_HUMAN|Q12906;ILF3_HUMAN|Q12906-2;ILF3_HUMAN|Q12906-3;ILF3_HUMAN|Q12906-4;ILF3_HUMAN|Q12906-5;ILF3_HUMAN|Q12906-6;ILF3_HUMAN|Q12906-7" xr:uid="{DF1196E7-8435-454B-B7A6-E3E4681735B6}"/>
    <hyperlink ref="F1889" r:id="rId541" display="ILF3_HUMAN|Q12906;ILF3_HUMAN|Q12906-2;ILF3_HUMAN|Q12906-3;ILF3_HUMAN|Q12906-4;ILF3_HUMAN|Q12906-5;ILF3_HUMAN|Q12906-6;ILF3_HUMAN|Q12906-7" xr:uid="{25D41F88-422F-4AD4-AAF4-8AA88670CBAE}"/>
    <hyperlink ref="C1663" r:id="rId542" display="LEF1;LEF1 iso 2;LEF1 iso 5;LEF1 iso 6;LEF1 iso 7" xr:uid="{3DDBD762-3204-4044-A90C-B3F4D28FA35A}"/>
    <hyperlink ref="F1890" r:id="rId543" display="LEF1_HUMAN|Q9UJU2;LEF1_HUMAN|Q9UJU2-2;LEF1_HUMAN|Q9UJU2-5;LEF1_HUMAN|Q9UJU2-6;LEF1_HUMAN|Q9UJU2-7" xr:uid="{66E2AC74-A2DB-405F-9DDE-2F36405D9AFB}"/>
    <hyperlink ref="C1664" r:id="rId544" display="LEF1;LEF1 iso 2;LEF1 iso 5;LEF1 iso 6;LEF1 iso 7" xr:uid="{42CF393D-A4B0-4694-B2DD-DF21578A385A}"/>
    <hyperlink ref="F1891" r:id="rId545" display="LEF1_HUMAN|Q9UJU2;LEF1_HUMAN|Q9UJU2-2;LEF1_HUMAN|Q9UJU2-5;LEF1_HUMAN|Q9UJU2-6;LEF1_HUMAN|Q9UJU2-7" xr:uid="{C2B4DA51-3C5E-4739-B030-1E4F631D525F}"/>
    <hyperlink ref="F1893" r:id="rId546" display="PURB_HUMAN|Q96QR8" xr:uid="{DA7A2A56-1F50-4F03-9268-B97B8C2B17D9}"/>
    <hyperlink ref="F1895" r:id="rId547" display="PURB_HUMAN|Q96QR8" xr:uid="{01C3C582-9BE9-4FD0-AA15-FB3128EDBA2B}"/>
    <hyperlink ref="F1896" r:id="rId548" display="RFX5_HUMAN|P48382;RFX5_HUMAN|P48382-2" xr:uid="{FEE256DB-8D3B-46EF-A9E3-FC7F98E3EE50}"/>
    <hyperlink ref="F1898" r:id="rId549" display="SAFB1_HUMAN|Q15424;SAFB1_HUMAN|Q15424-2;SAFB1_HUMAN|Q15424-3;SAFB1_HUMAN|Q15424-4" xr:uid="{CBF7B4A1-1F28-4807-B4EF-61F89498672E}"/>
    <hyperlink ref="F1899" r:id="rId550" display="ZN451_HUMAN|Q9Y4E5;ZN451_HUMAN|Q9Y4E5-2" xr:uid="{5F146BDA-1D98-481B-9C5E-7F9271ED5B8E}"/>
    <hyperlink ref="F1901" r:id="rId551" display="ZN451_HUMAN|Q9Y4E5;ZN451_HUMAN|Q9Y4E5-2" xr:uid="{335B7C05-47B4-4B77-B6CF-BF89C80C5A9D}"/>
    <hyperlink ref="F1905" r:id="rId552" display="CTF8A_HUMAN|P0CG12" xr:uid="{F3AB56FA-2E6D-44F5-8E93-FA37C3EF2481}"/>
    <hyperlink ref="F1906" r:id="rId553" display="CTF8A_HUMAN|P0CG12" xr:uid="{C8EC1B59-9E3F-45EA-9D72-93D66FA16E7F}"/>
    <hyperlink ref="F1907" r:id="rId554" display="CTF8A_HUMAN|P0CG12" xr:uid="{A274ED5D-EBD5-4152-BE68-F71B2A327A05}"/>
    <hyperlink ref="F1908" r:id="rId555" display="CTF8A_HUMAN|P0CG12" xr:uid="{413084EA-03C7-4F2F-AD8E-FC542E2E8DB2}"/>
    <hyperlink ref="F1910" r:id="rId556" display="CTF8A_HUMAN|P0CG12" xr:uid="{2710D4A9-A061-4298-845B-48BBAE37ECCB}"/>
    <hyperlink ref="F1911" r:id="rId557" display="CTF8A_HUMAN|P0CG12" xr:uid="{25CE8697-A243-4D78-8D18-64DE7B629B62}"/>
    <hyperlink ref="F1912" r:id="rId558" display="CTF8A_HUMAN|P0CG12" xr:uid="{ACC9FC04-BC44-4AE3-81F4-9A949F2AF949}"/>
    <hyperlink ref="F1913" r:id="rId559" display="CTF8A_HUMAN|P0CG12" xr:uid="{17E883C3-15D8-453B-9AB0-367EAF8CB297}"/>
    <hyperlink ref="F1915" r:id="rId560" display="TENX_HUMAN|P22105;TENX_HUMAN|P22105-3" xr:uid="{AB2EDA7A-7518-4E10-BC3C-87D2B53C47AF}"/>
    <hyperlink ref="F1943" r:id="rId561" display="BORG5_HUMAN|Q00587;BORG5_HUMAN|Q00587-2" xr:uid="{99A0EBBC-A62F-4374-B60C-D68D3C5B1DF2}"/>
    <hyperlink ref="F1944" r:id="rId562" display="BORG5_HUMAN|Q00587;BORG5_HUMAN|Q00587-2" xr:uid="{2B590529-D675-437F-A745-4773FC7DD4E5}"/>
    <hyperlink ref="F1945" r:id="rId563" display="BORG5_HUMAN|Q00587;BORG5_HUMAN|Q00587-2" xr:uid="{5868A1C8-B85D-419E-9FC1-8D95EFD5D457}"/>
    <hyperlink ref="F1947" r:id="rId564" display="PKHG6_HUMAN|Q3KR16;PKHG6_HUMAN|Q3KR16-2" xr:uid="{779ECE68-258B-40F6-9978-50F835CDE013}"/>
    <hyperlink ref="F1949" r:id="rId565" display="DDX42_HUMAN|Q86XP3" xr:uid="{42117497-1D2A-4E71-BBED-EB660EC87EA3}"/>
    <hyperlink ref="F1951" r:id="rId566" display="DHX33_HUMAN|Q9H6R0" xr:uid="{C30920C7-7E16-4743-885E-D7ED44DA6886}"/>
    <hyperlink ref="F1953" r:id="rId567" display="DPYL3_HUMAN|Q14195-2" xr:uid="{B58CCCC7-E35F-4221-9930-1B45509EF2B7}"/>
    <hyperlink ref="F1954" r:id="rId568" display="DPOD1_HUMAN|P28340" xr:uid="{780345B8-1FC1-4625-9330-80D5418140E1}"/>
    <hyperlink ref="C1701" r:id="rId569" display="M3K14" xr:uid="{5AC47C35-DEA7-4594-9700-B8057E7FFC10}"/>
    <hyperlink ref="C1702" r:id="rId570" display="RIP1;RIP1 iso 2" xr:uid="{C923BD34-6B26-43E4-942E-F032F859083E}"/>
    <hyperlink ref="F1968" r:id="rId571" display="SH3R2_HUMAN|Q8TEC5" xr:uid="{CDD1AC51-392D-412F-9C93-EC49C47A44A3}"/>
    <hyperlink ref="F1983" r:id="rId572" display="TBC9B_HUMAN|Q66K14;TBC9B_HUMAN|Q66K14-2" xr:uid="{36AE7CCD-380C-463B-8453-907D0E3FD640}"/>
    <hyperlink ref="F1986" r:id="rId573" display="TM214_HUMAN|Q6NUQ4;TM214_HUMAN|Q6NUQ4-2" xr:uid="{707E1D51-D73C-461F-99E0-BBFDAF50C009}"/>
    <hyperlink ref="F1988" r:id="rId574" display="TM214_HUMAN|Q6NUQ4;TM214_HUMAN|Q6NUQ4-2" xr:uid="{297C1CA4-C1AE-4C08-A423-AB14D413DB85}"/>
    <hyperlink ref="F1995" r:id="rId575" display="MTCH1_HUMAN|Q9NZJ7;MTCH1_HUMAN|Q9NZJ7-2" xr:uid="{573CCD26-7F51-459E-BFE3-8CD2591EEFEE}"/>
    <hyperlink ref="F1996" r:id="rId576" display="MTCH1_HUMAN|Q9NZJ7;MTCH1_HUMAN|Q9NZJ7-2;RRP36_HUMAN|Q96EU6;RRP36_HUMAN|Q96EU6-2" xr:uid="{AD949553-B6B5-477A-ABA4-FCDB2F910A52}"/>
    <hyperlink ref="F2001" r:id="rId577" display="TPR_HUMAN|P12270" xr:uid="{11674C15-83F6-46B4-B875-F54E545BC7DA}"/>
    <hyperlink ref="F2002" r:id="rId578" display="TPR_HUMAN|P12270" xr:uid="{B89B09F0-667C-435C-955B-A39D99C64E5B}"/>
    <hyperlink ref="F2004" r:id="rId579" display="DHE3_HUMAN|P00367" xr:uid="{0E423B52-D3B5-48EB-AFE9-BA38844BBD79}"/>
    <hyperlink ref="F2005" r:id="rId580" display="SODE_HUMAN|P08294" xr:uid="{EF1D2A1A-2715-4EFB-B7ED-997431BA7829}"/>
    <hyperlink ref="F2006" r:id="rId581" display="SQRD_HUMAN|Q9Y6N5" xr:uid="{C5239B0E-61D0-4ED4-93B0-4EF7CEAFFEED}"/>
    <hyperlink ref="F2007" r:id="rId582" display="SRXN1_HUMAN|Q9BYN0" xr:uid="{C1DA2B1D-0844-4E2D-BE7C-D101E6EC0580}"/>
    <hyperlink ref="F2009" r:id="rId583" display="MTMRE_HUMAN|Q8NCE2;MTMRE_HUMAN|Q8NCE2-2;MTMRE_HUMAN|Q8NCE2-3" xr:uid="{A2A8FD06-1F07-43FC-B3FE-46A34D9571F9}"/>
    <hyperlink ref="F2014" r:id="rId584" display="PP1RA_HUMAN|Q96QC0" xr:uid="{A6B45D1E-91D0-4BC8-B4D6-24762113F4E9}"/>
    <hyperlink ref="F2016" r:id="rId585" display="PTN23_HUMAN|Q9H3S7" xr:uid="{CFC05BF8-A815-4D4A-985A-CC4F6DE791D3}"/>
    <hyperlink ref="F2017" r:id="rId586" display="PTN23_HUMAN|Q9H3S7" xr:uid="{74EC67F6-1292-4CDB-94D1-6E2634FD4990}"/>
    <hyperlink ref="F2020" r:id="rId587" display="A1CF_HUMAN|Q9NQ94;A1CF_HUMAN|Q9NQ94-2;A1CF_HUMAN|Q9NQ94-3;A1CF_HUMAN|Q9NQ94-4;A1CF_HUMAN|Q9NQ94-5;A1CF_HUMAN|Q9NQ94-6" xr:uid="{1B704EE0-201F-4211-A895-D00C8EAEDF9C}"/>
    <hyperlink ref="F2021" r:id="rId588" display="A1CF_HUMAN|Q9NQ94;A1CF_HUMAN|Q9NQ94-2;A1CF_HUMAN|Q9NQ94-3;A1CF_HUMAN|Q9NQ94-4;A1CF_HUMAN|Q9NQ94-5;A1CF_HUMAN|Q9NQ94-6" xr:uid="{A012D243-930D-4EFB-A45D-FE43E5D68EFD}"/>
    <hyperlink ref="F2022" r:id="rId589" display="CASC3_HUMAN|O15234" xr:uid="{CE0D177C-10FD-42BE-BE41-19A9D3C51DFF}"/>
    <hyperlink ref="F2023" r:id="rId590" display="CSTF2_HUMAN|P33240;CSTF2_HUMAN|P33240-2" xr:uid="{948C70E4-127C-4436-93FA-A49EB37117F1}"/>
    <hyperlink ref="F2024" r:id="rId591" display="DAZP1_HUMAN|Q96EP5" xr:uid="{C65E492B-159A-4906-B081-61F6693AA3CF}"/>
    <hyperlink ref="F2025" r:id="rId592" display="DAZP1_HUMAN|Q96EP5;DAZP1_HUMAN|Q96EP5-2" xr:uid="{5201F999-C03C-47F3-9EC1-C009A5CC4BAA}"/>
    <hyperlink ref="F2026" r:id="rId593" display="DAZP1_HUMAN|Q96EP5;DAZP1_HUMAN|Q96EP5-2" xr:uid="{2FF9CDF9-B75F-4A24-81A2-4E576F344795}"/>
    <hyperlink ref="F2027" r:id="rId594" display="DAZP1_HUMAN|Q96EP5;DAZP1_HUMAN|Q96EP5-2" xr:uid="{66482029-E236-431C-8B96-6F94EC52B579}"/>
    <hyperlink ref="F2028" r:id="rId595" display="DAZP1_HUMAN|Q96EP5;DAZP1_HUMAN|Q96EP5-2" xr:uid="{229A167C-FD3E-4A0C-B51D-E7AACDE86B12}"/>
    <hyperlink ref="F2029" r:id="rId596" display="DAZP1_HUMAN|Q96EP5;DAZP1_HUMAN|Q96EP5-2" xr:uid="{72441833-BA0C-45DB-9699-0C6145942A16}"/>
    <hyperlink ref="F2030" r:id="rId597" display="DAZP1_HUMAN|Q96EP5;DAZP1_HUMAN|Q96EP5-2" xr:uid="{58D97CFA-1E6B-4FA6-9243-E2281B7B92FE}"/>
    <hyperlink ref="F2031" r:id="rId598" display="DAZP1_HUMAN|Q96EP5;DAZP1_HUMAN|Q96EP5-2" xr:uid="{24C3DCD6-3FC2-48E1-9819-F514F4B396A0}"/>
    <hyperlink ref="F2032" r:id="rId599" display="DAZP1_HUMAN|Q96EP5;DAZP1_HUMAN|Q96EP5-2" xr:uid="{2FF75926-B15D-4A8E-B239-B0A01F5076FF}"/>
    <hyperlink ref="F2033" r:id="rId600" display="DAZP1_HUMAN|Q96EP5;DAZP1_HUMAN|Q96EP5-2" xr:uid="{7378FEDB-AD13-4E41-8606-B81939C68437}"/>
    <hyperlink ref="F2034" r:id="rId601" display="DAZP1_HUMAN|Q96EP5;DAZP1_HUMAN|Q96EP5-2" xr:uid="{80E944BA-DE37-4E69-8269-FF9E1A11A80C}"/>
    <hyperlink ref="F2035" r:id="rId602" display="DAZP1_HUMAN|Q96EP5;DAZP1_HUMAN|Q96EP5-2" xr:uid="{0B1DF91F-4C1D-4BE1-B581-529F9B8C32CE}"/>
    <hyperlink ref="F2036" r:id="rId603" display="DDX3Y_HUMAN|O15523;DDX3Y_HUMAN|O15523-2" xr:uid="{0166CBEB-1B61-4B3A-86E4-3E80DFF3C299}"/>
    <hyperlink ref="F2037" r:id="rId604" display="DDX3Y_HUMAN|O15523;DDX3Y_HUMAN|O15523-2" xr:uid="{4616071B-361E-40BF-9CA9-F81CFB79F188}"/>
    <hyperlink ref="F2038" r:id="rId605" display="DDX5_HUMAN|P17844;DDX5_HUMAN|P17844-2" xr:uid="{76D49E44-62F4-4444-9DEE-EA61A5073EA7}"/>
    <hyperlink ref="F2039" r:id="rId606" display="DHX9_HUMAN|Q08211;DHX9_HUMAN|Q08211-2" xr:uid="{644C46FB-EB5F-414D-A816-9B674D324800}"/>
    <hyperlink ref="F2040" r:id="rId607" display="DHX9_HUMAN|Q08211;DHX9_HUMAN|Q08211-2" xr:uid="{496211FD-048E-4846-80C2-0D3375451BF4}"/>
    <hyperlink ref="F2042" r:id="rId608" display="ELAV1_HUMAN|Q15717;ELAV1_HUMAN|Q15717-2" xr:uid="{25C2B9F0-A323-40B8-B641-901F727AF7AF}"/>
    <hyperlink ref="F2043" r:id="rId609" display="EWS_HUMAN|Q01844;EWS_HUMAN|Q01844-2;EWS_HUMAN|Q01844-3;EWS_HUMAN|Q01844-5;EWS_HUMAN|Q01844-6" xr:uid="{71D408B0-ECD4-49D3-BEFC-3E11C35A1AF6}"/>
    <hyperlink ref="C1767" r:id="rId610" display="EWS;EWS iso 2;EWS iso 3;EWS iso 5;EWS iso 6" xr:uid="{9B5C6BAE-F03E-4268-B559-CB1BC2885A71}"/>
    <hyperlink ref="F2044" r:id="rId611" display="EWS_HUMAN|Q01844;EWS_HUMAN|Q01844-2;EWS_HUMAN|Q01844-3;EWS_HUMAN|Q01844-5;EWS_HUMAN|Q01844-6" xr:uid="{FC183162-9E06-41C9-A23B-5B0DF7DD24EC}"/>
    <hyperlink ref="C1768" r:id="rId612" display="EWS;EWS iso 2;EWS iso 3;EWS iso 5;EWS iso 6" xr:uid="{A51A8766-5C87-4729-A37C-46454A898549}"/>
    <hyperlink ref="F2045" r:id="rId613" display="EWS_HUMAN|Q01844;EWS_HUMAN|Q01844-2;EWS_HUMAN|Q01844-3;EWS_HUMAN|Q01844-5;EWS_HUMAN|Q01844-6" xr:uid="{7646947E-E4B1-418B-B82B-EEEEF0E894C4}"/>
    <hyperlink ref="F2046" r:id="rId614" display="EWS_HUMAN|Q01844;EWS_HUMAN|Q01844-2;EWS_HUMAN|Q01844-3;EWS_HUMAN|Q01844-5;EWS_HUMAN|Q01844-6" xr:uid="{FC5C2E33-E9A4-4C0D-8AB8-5B877BCB0D91}"/>
    <hyperlink ref="F2047" r:id="rId615" display="EWS_HUMAN|Q01844;EWS_HUMAN|Q01844-2;EWS_HUMAN|Q01844-3;EWS_HUMAN|Q01844-5;EWS_HUMAN|Q01844-6" xr:uid="{5276CBFE-32BB-45C6-8C87-AD296DCC2157}"/>
    <hyperlink ref="F2048" r:id="rId616" display="EWS_HUMAN|Q01844;EWS_HUMAN|Q01844-2;EWS_HUMAN|Q01844-3;EWS_HUMAN|Q01844-5;EWS_HUMAN|Q01844-6" xr:uid="{C3525B11-0F7C-466B-A9FE-6A4968817710}"/>
    <hyperlink ref="F2049" r:id="rId617" display="EWS_HUMAN|Q01844;EWS_HUMAN|Q01844-2;EWS_HUMAN|Q01844-3;EWS_HUMAN|Q01844-5;EWS_HUMAN|Q01844-6" xr:uid="{34ECF1A0-8F81-4393-9689-3A7B5E452F47}"/>
    <hyperlink ref="F2050" r:id="rId618" display="EWS_HUMAN|Q01844;EWS_HUMAN|Q01844-2;EWS_HUMAN|Q01844-3;EWS_HUMAN|Q01844-5;EWS_HUMAN|Q01844-6" xr:uid="{5AEA79E7-E4C4-41E2-8988-A549961FE333}"/>
    <hyperlink ref="F2052" r:id="rId619" display="EWS_HUMAN|Q01844;EWS_HUMAN|Q01844-2;EWS_HUMAN|Q01844-3;EWS_HUMAN|Q01844-5;EWS_HUMAN|Q01844-6" xr:uid="{32913847-3586-4996-B65C-3D319296EF59}"/>
    <hyperlink ref="F2053" r:id="rId620" display="EWS_HUMAN|Q01844;EWS_HUMAN|Q01844-2;EWS_HUMAN|Q01844-3;EWS_HUMAN|Q01844-5;EWS_HUMAN|Q01844-6" xr:uid="{86FC5004-E547-4009-AA53-420E87556D3C}"/>
    <hyperlink ref="F2055" r:id="rId621" display="EWS_HUMAN|Q01844;EWS_HUMAN|Q01844-2;EWS_HUMAN|Q01844-3;EWS_HUMAN|Q01844-5;EWS_HUMAN|Q01844-6" xr:uid="{4B63DF53-115A-4BF0-AA8E-E3D9D3DC8625}"/>
    <hyperlink ref="F2057" r:id="rId622" display="F120A_HUMAN|Q9NZB2;F120A_HUMAN|Q9NZB2-4;F120A_HUMAN|Q9NZB2-6" xr:uid="{B132BAE9-6D1D-4F27-83B0-F6831908B2E2}"/>
    <hyperlink ref="F2058" r:id="rId623" display="F120A_HUMAN|Q9NZB2;F120A_HUMAN|Q9NZB2-4;F120A_HUMAN|Q9NZB2-6" xr:uid="{8C7EF6A0-A2D7-496E-88D8-C8A63BC21634}"/>
    <hyperlink ref="F2059" r:id="rId624" display="ROA0_HUMAN|Q13151" xr:uid="{7D220EF7-E0DE-426A-801E-BB9ACDADFFBA}"/>
    <hyperlink ref="F2060" r:id="rId625" display="ROA0_HUMAN|Q13151" xr:uid="{BA4B2260-5D5A-45D7-B427-325AFFF0AD0C}"/>
    <hyperlink ref="F2061" r:id="rId626" display="ROA1_HUMAN|P09651" xr:uid="{4D474985-2EBA-4C8E-8BED-FC3385097879}"/>
    <hyperlink ref="B1789" r:id="rId627" xr:uid="{2DD1F92F-CBB0-4F28-B078-FDF92881CEBD}"/>
    <hyperlink ref="C1789" r:id="rId628" xr:uid="{DFF573FE-3D71-4C15-A6E9-F3869DC3DFC6}"/>
    <hyperlink ref="F2066" r:id="rId629" display="ROA1_HUMAN|P09651-2" xr:uid="{0B4EC184-38BB-4AE4-AC61-F91DBB6E3EA5}"/>
    <hyperlink ref="B1792" r:id="rId630" xr:uid="{88168AB6-AB62-4F0A-88DF-C813C916486A}"/>
    <hyperlink ref="C1792" r:id="rId631" xr:uid="{D18EE2C5-57BD-445B-91CB-6CEB4504675A}"/>
    <hyperlink ref="F2069" r:id="rId632" display="ROA1_HUMAN|P09651-2" xr:uid="{F151AD11-99F8-4024-806B-227270551EAF}"/>
    <hyperlink ref="B1793" r:id="rId633" xr:uid="{CE8E912B-C40B-4ADA-A011-1B30BFEBA3A7}"/>
    <hyperlink ref="C1793" r:id="rId634" xr:uid="{82EAC148-A8BA-4517-BB35-F603EA1D79BA}"/>
    <hyperlink ref="F2070" r:id="rId635" display="ROA1_HUMAN|P09651-2" xr:uid="{8BD44D20-5AC3-4E4E-A075-7C7B95ADF8DB}"/>
    <hyperlink ref="B1794" r:id="rId636" xr:uid="{B5A3005C-7F46-49A7-9218-7F55CFA2BAF4}"/>
    <hyperlink ref="C1794" r:id="rId637" xr:uid="{BFD4289C-5966-4E68-8FE3-A1C7752B3B34}"/>
    <hyperlink ref="F2071" r:id="rId638" display="ROA1_HUMAN|P09651-2" xr:uid="{DF575662-0220-416E-A96B-5294C5DA4DED}"/>
    <hyperlink ref="B1795" r:id="rId639" display="HNRNPA1;HNRNPA1" xr:uid="{F78F42BE-A609-4840-A1D3-8E09A7C0F6DE}"/>
    <hyperlink ref="C1795" r:id="rId640" display="ROA1 iso 2;ROA1" xr:uid="{9EAE694A-AAD0-42C5-8E33-AD4D0C0DD138}"/>
    <hyperlink ref="F2072" r:id="rId641" display="ROA1_HUMAN|P09651-2;ROA1_HUMAN|P09651" xr:uid="{DD9048FA-07E9-4E82-B3A3-398687EF42CE}"/>
    <hyperlink ref="B1797" r:id="rId642" display="HNRNPA1;HNRNPA1" xr:uid="{4E5837B9-950C-4696-B706-417FFBF5E902}"/>
    <hyperlink ref="C1797" r:id="rId643" display="ROA1 iso 2;ROA1" xr:uid="{4745F1A6-4CB2-49AB-9D47-319037C265E4}"/>
    <hyperlink ref="F2074" r:id="rId644" display="ROA1_HUMAN|P09651-2;ROA1_HUMAN|P09651" xr:uid="{9D268C3E-FC73-497B-81E2-35E4CC8A2489}"/>
    <hyperlink ref="F2075" r:id="rId645" display="ROA1_HUMAN|P09651-2;ROA1_HUMAN|P09651" xr:uid="{7D9C9D59-AB02-42B2-9964-0B71BC92A56A}"/>
    <hyperlink ref="F2076" r:id="rId646" display="ROA1_HUMAN|P09651-2;ROA1_HUMAN|P09651" xr:uid="{3F54442B-952E-476D-A65E-082B1C791086}"/>
    <hyperlink ref="F2077" r:id="rId647" display="ROA1_HUMAN|P09651-2;ROA1_HUMAN|P09651" xr:uid="{E936B514-68BB-450E-97B9-6CC39E6AB4C1}"/>
    <hyperlink ref="F2078" r:id="rId648" display="ROA1_HUMAN|P09651-2;ROA1_HUMAN|P09651" xr:uid="{9F244DFF-A898-4DB8-BEA8-7813CA9BEAD6}"/>
    <hyperlink ref="F2080" r:id="rId649" display="ROA1_HUMAN|P09651-2;ROA1_HUMAN|P09651" xr:uid="{32EB779B-19A6-4CCB-A6EC-794FC504491C}"/>
    <hyperlink ref="F2081" r:id="rId650" display="ROA1_HUMAN|P09651-2;ROA1_HUMAN|P09651" xr:uid="{13314D3A-748A-48E0-93F0-B7759E851172}"/>
    <hyperlink ref="F2082" r:id="rId651" display="ROA1_HUMAN|P09651-2;ROA1_HUMAN|P09651" xr:uid="{5BD73CF4-0DFA-4B8A-8F13-99EBB035405E}"/>
    <hyperlink ref="F2083" r:id="rId652" display="ROA2_HUMAN|P22626;ROA2_HUMAN|P22626-2" xr:uid="{88C063E8-E61E-438D-ADE1-AD04312451B2}"/>
    <hyperlink ref="F2084" r:id="rId653" display="ROA2_HUMAN|P22626;ROA2_HUMAN|P22626-2" xr:uid="{C7412DBD-52F9-420D-BECD-142532124501}"/>
    <hyperlink ref="F2086" r:id="rId654" display="ROA2_HUMAN|P22626;ROA2_HUMAN|P22626-2" xr:uid="{2A2F6C0D-40E3-4345-96CD-DAB89DA92963}"/>
    <hyperlink ref="F2087" r:id="rId655" display="ROA2_HUMAN|P22626;ROA2_HUMAN|P22626-2" xr:uid="{74CE3FF4-EF03-42D5-AA36-BDBB7F800420}"/>
    <hyperlink ref="F2088" r:id="rId656" display="ROA2_HUMAN|P22626;ROA2_HUMAN|P22626-2" xr:uid="{E0E344E7-FF48-440D-B0C5-0783DBC62807}"/>
    <hyperlink ref="F2098" r:id="rId657" display="ROA2_HUMAN|P22626;ROA2_HUMAN|P22626-2" xr:uid="{FF3A7A8E-C049-4319-9EFA-77EEF0E5032C}"/>
    <hyperlink ref="F2099" r:id="rId658" display="ROA2_HUMAN|P22626;ROA2_HUMAN|P22626-2" xr:uid="{1B0897D0-5AD3-4E07-81F5-D4DE0F77A1AE}"/>
    <hyperlink ref="F2100" r:id="rId659" display="ROA2_HUMAN|P22626;ROA2_HUMAN|P22626-2" xr:uid="{C1345F04-5E61-42BC-B76B-C05804A16E72}"/>
    <hyperlink ref="F2102" r:id="rId660" display="ROA2_HUMAN|P22626;ROA2_HUMAN|P22626-2" xr:uid="{0F66CA7E-8CE4-457F-B602-BC0B212C8CBA}"/>
    <hyperlink ref="F2103" r:id="rId661" display="ROA2_HUMAN|P22626;ROA2_HUMAN|P22626-2" xr:uid="{09DAE49A-13EA-4DD0-B4CD-87CC0EB3C9F2}"/>
    <hyperlink ref="F2104" r:id="rId662" display="ROA2_HUMAN|P22626;ROA2_HUMAN|P22626-2" xr:uid="{6C665FEA-6150-43F2-8F68-B858596A4C3D}"/>
    <hyperlink ref="F2105" r:id="rId663" display="ROA2_HUMAN|P22626;ROA2_HUMAN|P22626-2" xr:uid="{D2BED671-DC2C-45DE-96ED-C4B914D2B82C}"/>
    <hyperlink ref="F2106" r:id="rId664" display="ROA2_HUMAN|P22626;ROA2_HUMAN|P22626-2" xr:uid="{06457D64-6ABA-4A13-8C22-30FD4C07D9B6}"/>
    <hyperlink ref="F2107" r:id="rId665" display="ROA2_HUMAN|P22626;ROA2_HUMAN|P22626-2" xr:uid="{EE1945B9-70E3-4B7F-A179-10DACB3091D3}"/>
    <hyperlink ref="F2111" r:id="rId666" display="ROA2_HUMAN|P22626;ROA2_HUMAN|P22626-2" xr:uid="{7FF08B02-2CA8-4B66-A0B0-5DC3BEE3FAEA}"/>
    <hyperlink ref="F2112" r:id="rId667" display="ROA2_HUMAN|P22626;ROA2_HUMAN|P22626-2" xr:uid="{B2AEE76E-FADB-4240-A7A0-3AB457353026}"/>
    <hyperlink ref="F2115" r:id="rId668" display="ROA2_HUMAN|P22626;ROA2_HUMAN|P22626-2" xr:uid="{E8D9A357-5448-4DE5-8AE5-71D7017F3F32}"/>
    <hyperlink ref="F2127" r:id="rId669" display="ROA2_HUMAN|P22626;ROA2_HUMAN|P22626-2" xr:uid="{DBB30C75-447C-4CDA-B0BC-AC61B56BC144}"/>
    <hyperlink ref="F2129" r:id="rId670" display="ROA2_HUMAN|P22626;ROA2_HUMAN|P22626-2" xr:uid="{1621FD93-9DD1-43CC-A8AA-603527B52394}"/>
    <hyperlink ref="F2130" r:id="rId671" display="ROA2_HUMAN|P22626;ROA2_HUMAN|P22626-2" xr:uid="{84228D6B-7131-4333-B2EF-D8595A3E0A60}"/>
    <hyperlink ref="F2131" r:id="rId672" display="ROA2_HUMAN|P22626;ROA2_HUMAN|P22626-2" xr:uid="{A7605450-CB71-4D30-9EFA-92E3675EE796}"/>
    <hyperlink ref="F2134" r:id="rId673" display="ROA2_HUMAN|P22626;ROA2_HUMAN|P22626-2" xr:uid="{EFB909CF-272A-42E9-8CE1-9FB07302ACFE}"/>
    <hyperlink ref="F2135" r:id="rId674" display="ROA2_HUMAN|P22626;ROA2_HUMAN|P22626-2" xr:uid="{41EE5CA2-861B-4DAB-A0E7-B9D74FB98BD1}"/>
    <hyperlink ref="F2137" r:id="rId675" display="ROA2_HUMAN|P22626;ROA2_HUMAN|P22626-2" xr:uid="{C8D6B9F6-A4D5-4779-940B-ACC0323D1F4A}"/>
    <hyperlink ref="F2138" r:id="rId676" display="ROA2_HUMAN|P22626;ROA2_HUMAN|P22626-2" xr:uid="{34C5F49A-7903-4334-97CE-860DFDF404CE}"/>
    <hyperlink ref="F2139" r:id="rId677" display="ROA2_HUMAN|P22626;ROA2_HUMAN|P22626-2" xr:uid="{B489502F-3ADD-44A6-99B3-6AE03FF9A4DD}"/>
    <hyperlink ref="F2140" r:id="rId678" display="ROA2_HUMAN|P22626;ROA2_HUMAN|P22626-2" xr:uid="{A1F810AE-A90B-4EFA-8DA0-8C0D08EB5B7D}"/>
    <hyperlink ref="F2141" r:id="rId679" display="ROA2_HUMAN|P22626;ROA2_HUMAN|P22626-2" xr:uid="{EC33CAC9-185E-4086-A0AA-A24337D0F1C0}"/>
    <hyperlink ref="F2142" r:id="rId680" display="ROA2_HUMAN|P22626;ROA2_HUMAN|P22626-2" xr:uid="{689BD1A4-E22C-4C61-889D-5B1B49229C89}"/>
    <hyperlink ref="F2143" r:id="rId681" display="ROA2_HUMAN|P22626;ROA2_HUMAN|P22626-2" xr:uid="{A7B951C2-B21D-4998-9888-AB338DC42BFC}"/>
    <hyperlink ref="F2144" r:id="rId682" display="ROA2_HUMAN|P22626;ROA2_HUMAN|P22626-2" xr:uid="{E2791A90-C488-42AF-95A2-D76B51EEAC6E}"/>
    <hyperlink ref="F2145" r:id="rId683" display="ROA2_HUMAN|P22626;ROA2_HUMAN|P22626-2" xr:uid="{97A8A280-7DEB-40EC-B83F-7C0B24953046}"/>
    <hyperlink ref="F2146" r:id="rId684" display="ROA2_HUMAN|P22626;ROA2_HUMAN|P22626-2" xr:uid="{F4B36A23-CB3A-46E9-B21F-07E83DD76C47}"/>
    <hyperlink ref="F2147" r:id="rId685" display="ROA2_HUMAN|P22626;ROA2_HUMAN|P22626-2" xr:uid="{03721FC0-707C-4A6A-A222-91B811BAC7E8}"/>
    <hyperlink ref="F2148" r:id="rId686" display="ROA2_HUMAN|P22626;ROA2_HUMAN|P22626-2" xr:uid="{CCEB64C6-46C8-4682-BDEE-DA4C2C36B657}"/>
    <hyperlink ref="F2149" r:id="rId687" display="ROA2_HUMAN|P22626;ROA2_HUMAN|P22626-2" xr:uid="{5374D728-C3A3-4A41-8BB6-3E758C667622}"/>
    <hyperlink ref="F2150" r:id="rId688" display="ROA2_HUMAN|P22626;ROA2_HUMAN|P22626-2" xr:uid="{88C5B8C7-B59E-49CB-860F-CFE25AB6CE01}"/>
    <hyperlink ref="F2151" r:id="rId689" display="ROA2_HUMAN|P22626;ROA2_HUMAN|P22626-2" xr:uid="{6B802679-BA57-460A-8E23-0369464EB7D2}"/>
    <hyperlink ref="F2152" r:id="rId690" display="ROA2_HUMAN|P22626;ROA2_HUMAN|P22626-2" xr:uid="{DA3FA127-7BD1-4339-B1D0-9374292668BB}"/>
    <hyperlink ref="F2153" r:id="rId691" display="ROA2_HUMAN|P22626;ROA2_HUMAN|P22626-2" xr:uid="{B5872D57-D41D-461C-9145-67501432AE23}"/>
    <hyperlink ref="F2154" r:id="rId692" display="ROA2_HUMAN|P22626;ROA2_HUMAN|P22626-2" xr:uid="{D8F37716-6F13-41C1-A1CB-03833B3A2F89}"/>
    <hyperlink ref="F2155" r:id="rId693" display="ROA2_HUMAN|P22626;ROA2_HUMAN|P22626-2" xr:uid="{2E3ECBE6-71E7-495F-A866-8017FE723EA0}"/>
    <hyperlink ref="F2156" r:id="rId694" display="ROA2_HUMAN|P22626;ROA2_HUMAN|P22626-2" xr:uid="{4964464A-98DC-4EB0-9141-24546CA4996C}"/>
    <hyperlink ref="F2157" r:id="rId695" display="ROA2_HUMAN|P22626;ROA2_HUMAN|P22626-2" xr:uid="{3C6DE080-A62A-4533-B740-1206EA600EC0}"/>
    <hyperlink ref="F2158" r:id="rId696" display="ROA2_HUMAN|P22626;ROA2_HUMAN|P22626-2" xr:uid="{638A0056-4B52-485C-AF1B-094519A2232F}"/>
    <hyperlink ref="F2159" r:id="rId697" display="ROA2_HUMAN|P22626;ROA2_HUMAN|P22626-2" xr:uid="{A3ACD975-8127-4AEC-A1D3-9E1CCEF053C6}"/>
    <hyperlink ref="F2160" r:id="rId698" display="ROA2_HUMAN|P22626;ROA2_HUMAN|P22626-2" xr:uid="{BEF0A5BE-D3A7-4BBE-AE9F-74A977075647}"/>
    <hyperlink ref="F2161" r:id="rId699" display="ROA2_HUMAN|P22626;ROA2_HUMAN|P22626-2" xr:uid="{6D0BF017-B070-43B5-8833-DEF6625941B6}"/>
    <hyperlink ref="F2162" r:id="rId700" display="ROA2_HUMAN|P22626;ROA2_HUMAN|P22626-2" xr:uid="{E2EB637D-4402-4227-9CDF-03E0B796956B}"/>
    <hyperlink ref="F2163" r:id="rId701" display="ROA2_HUMAN|P22626;ROA2_HUMAN|P22626-2" xr:uid="{3E568260-C82B-447E-96B6-1B5B394C4467}"/>
    <hyperlink ref="F2164" r:id="rId702" display="ROA2_HUMAN|P22626;ROA2_HUMAN|P22626-2" xr:uid="{C3FC0CC5-DFD0-43D3-A434-5C4702C53F4F}"/>
    <hyperlink ref="F2165" r:id="rId703" display="ROA2_HUMAN|P22626;ROA2_HUMAN|P22626-2" xr:uid="{AD0097D8-3C14-42AE-81CB-E24F12610212}"/>
    <hyperlink ref="F2166" r:id="rId704" display="ROA2_HUMAN|P22626;ROA2_HUMAN|P22626-2" xr:uid="{009B4E6C-BDED-4CC4-B175-ED26D12BBF0A}"/>
    <hyperlink ref="F2167" r:id="rId705" display="ROA2_HUMAN|P22626;ROA2_HUMAN|P22626-2" xr:uid="{17AEF9E7-D528-4AA3-B3C8-79767E5C36FB}"/>
    <hyperlink ref="F2168" r:id="rId706" display="ROA2_HUMAN|P22626;ROA2_HUMAN|P22626-2" xr:uid="{CE43F933-72F5-4B9C-A12A-9938F7689FCD}"/>
    <hyperlink ref="F2169" r:id="rId707" display="ROA2_HUMAN|P22626;ROA2_HUMAN|P22626-2" xr:uid="{58035C26-2BDC-4AEB-BD0E-5F35FF2AFC84}"/>
    <hyperlink ref="F2170" r:id="rId708" display="ROA2_HUMAN|P22626;ROA2_HUMAN|P22626-2" xr:uid="{DB2850BF-D8D3-49C2-AA20-F584CA8A5A30}"/>
    <hyperlink ref="F2171" r:id="rId709" display="ROA2_HUMAN|P22626;ROA2_HUMAN|P22626-2" xr:uid="{3B643EDD-8EEB-4AC1-930E-BCAB516A367F}"/>
    <hyperlink ref="F2172" r:id="rId710" display="ROA2_HUMAN|P22626;ROA2_HUMAN|P22626-2" xr:uid="{435E85DD-D1C3-43EE-B6FF-F45E0C2187F2}"/>
    <hyperlink ref="F2173" r:id="rId711" display="ROA2_HUMAN|P22626;ROA2_HUMAN|P22626-2" xr:uid="{3BD8C20F-5AB8-4D3E-84F6-35DCD29E9039}"/>
    <hyperlink ref="F2174" r:id="rId712" display="ROA2_HUMAN|P22626;ROA2_HUMAN|P22626-2" xr:uid="{F5965766-A66B-42DA-9DB6-6FC50C087714}"/>
    <hyperlink ref="F2175" r:id="rId713" display="ROA2_HUMAN|P22626;ROA2_HUMAN|P22626-2" xr:uid="{C108F973-5063-463B-BC88-C29CD85906C9}"/>
    <hyperlink ref="F2177" r:id="rId714" display="ROA2_HUMAN|P22626;ROA2_HUMAN|P22626-2" xr:uid="{8A06ABB1-0A1D-4CE3-B24D-D7094D02F9A4}"/>
    <hyperlink ref="F2178" r:id="rId715" display="ROA2_HUMAN|P22626;ROA2_HUMAN|P22626-2" xr:uid="{73A4F7AF-9BB4-4680-93C4-37A8E075DCAC}"/>
    <hyperlink ref="F2179" r:id="rId716" display="ROA2_HUMAN|P22626;ROA2_HUMAN|P22626-2" xr:uid="{86A84028-314B-4B1E-AA1A-275AD94702A2}"/>
    <hyperlink ref="F2180" r:id="rId717" display="ROA2_HUMAN|P22626;ROA2_HUMAN|P22626-2" xr:uid="{22FA0763-387C-4D4B-9696-710969CE9129}"/>
    <hyperlink ref="F2181" r:id="rId718" display="ROA2_HUMAN|P22626;ROA2_HUMAN|P22626-2" xr:uid="{DD4176B3-E8E9-466A-AEDA-CDC5D7027025}"/>
    <hyperlink ref="F2182" r:id="rId719" display="ROA2_HUMAN|P22626;ROA2_HUMAN|P22626-2" xr:uid="{0FF6E65F-B59D-4991-815A-89E32F96A790}"/>
    <hyperlink ref="F2183" r:id="rId720" display="ROA2_HUMAN|P22626;ROA2_HUMAN|P22626-2" xr:uid="{985D7E10-2DF6-4916-AA42-F9AC65F28D9A}"/>
    <hyperlink ref="F2185" r:id="rId721" display="ROA2_HUMAN|P22626;ROA2_HUMAN|P22626-2" xr:uid="{99104273-C39C-4E16-8346-2931DD57907C}"/>
    <hyperlink ref="F2186" r:id="rId722" display="ROA2_HUMAN|P22626;ROA2_HUMAN|P22626-2" xr:uid="{9017311C-8E52-46FF-97B4-5DE97F5AF680}"/>
    <hyperlink ref="F2189" r:id="rId723" display="ROA2_HUMAN|P22626;ROA2_HUMAN|P22626-2" xr:uid="{1311172F-C1D5-408D-A657-0145B834A9E2}"/>
    <hyperlink ref="F2190" r:id="rId724" display="ROA2_HUMAN|P22626;ROA2_HUMAN|P22626-2" xr:uid="{7E061831-EAAB-4BA1-9A05-7DF3AAC9E11B}"/>
    <hyperlink ref="F2191" r:id="rId725" display="ROA2_HUMAN|P22626;ROA2_HUMAN|P22626-2" xr:uid="{69B12740-7587-47A8-9F80-64D6C9B5815C}"/>
    <hyperlink ref="F2192" r:id="rId726" display="ROA2_HUMAN|P22626;ROA2_HUMAN|P22626-2" xr:uid="{AB4C7601-2B71-4ECD-A92A-7AA9C4B0216D}"/>
    <hyperlink ref="F2193" r:id="rId727" display="ROA2_HUMAN|P22626;ROA2_HUMAN|P22626-2" xr:uid="{C201DFAA-6FC2-48BA-8ACD-AE4605E155FD}"/>
    <hyperlink ref="F2194" r:id="rId728" display="ROA2_HUMAN|P22626;ROA2_HUMAN|P22626-2" xr:uid="{8FEDA4C6-2849-480F-B53A-CD8F7E76924D}"/>
    <hyperlink ref="F2195" r:id="rId729" display="ROA2_HUMAN|P22626;ROA2_HUMAN|P22626-2" xr:uid="{09427AA0-0ABB-404B-9A7D-B76BB3F05DD7}"/>
    <hyperlink ref="F2196" r:id="rId730" display="ROA2_HUMAN|P22626;ROA2_HUMAN|P22626-2" xr:uid="{68B9863C-11C4-4D2D-ACBC-7053CAB59407}"/>
    <hyperlink ref="F2197" r:id="rId731" display="ROA2_HUMAN|P22626;ROA2_HUMAN|P22626-2" xr:uid="{E79D0180-59AE-4493-8EFD-747261DE1D3B}"/>
    <hyperlink ref="F2198" r:id="rId732" display="ROA2_HUMAN|P22626;ROA2_HUMAN|P22626-2" xr:uid="{F92953D4-EC9D-4618-993B-9977C1BED895}"/>
    <hyperlink ref="F2199" r:id="rId733" display="ROA2_HUMAN|P22626;ROA2_HUMAN|P22626-2" xr:uid="{FF4DFA53-64D1-4331-A45F-C57E24485301}"/>
    <hyperlink ref="F2200" r:id="rId734" display="ROA2_HUMAN|P22626;ROA2_HUMAN|P22626-2" xr:uid="{A9DB8320-4432-47EE-8FA8-7120CE241683}"/>
    <hyperlink ref="F2201" r:id="rId735" display="ROA2_HUMAN|P22626;ROA2_HUMAN|P22626-2" xr:uid="{0F070BD0-CAAB-412F-A8C0-1764FB626AD2}"/>
    <hyperlink ref="F2202" r:id="rId736" display="ROA2_HUMAN|P22626;ROA2_HUMAN|P22626-2" xr:uid="{3EA8561E-E291-4693-AF74-B825EC846FB9}"/>
    <hyperlink ref="F2203" r:id="rId737" display="ROA2_HUMAN|P22626;ROA2_HUMAN|P22626-2" xr:uid="{EF599FCC-BAA5-4BAF-9C5F-1E680DB268E7}"/>
    <hyperlink ref="F2204" r:id="rId738" display="ROA2_HUMAN|P22626;ROA2_HUMAN|P22626-2" xr:uid="{DA33A76B-6D75-465D-9C41-02181D457E6D}"/>
    <hyperlink ref="F2205" r:id="rId739" display="ROA2_HUMAN|P22626;ROA2_HUMAN|P22626-2" xr:uid="{44A8FB5F-7C20-4747-8719-875ED8EC5BA8}"/>
    <hyperlink ref="F2207" r:id="rId740" display="ROA2_HUMAN|P22626;ROA2_HUMAN|P22626-2" xr:uid="{4E74E45C-C4E2-43DA-85E8-12CCFCC5D7BD}"/>
    <hyperlink ref="F2208" r:id="rId741" display="ROA2_HUMAN|P22626;ROA2_HUMAN|P22626-2" xr:uid="{E7D2A704-B266-4556-AD27-8A4340634CB0}"/>
    <hyperlink ref="F2209" r:id="rId742" display="ROA2_HUMAN|P22626;ROA2_HUMAN|P22626-2" xr:uid="{CE790B1C-F17B-418F-B929-BAFCCCA1E2E6}"/>
    <hyperlink ref="F2210" r:id="rId743" display="ROA2_HUMAN|P22626;ROA2_HUMAN|P22626-2" xr:uid="{34CC3A64-B572-44C4-B0F7-0D28188B9CD6}"/>
    <hyperlink ref="F2215" r:id="rId744" display="ROA2_HUMAN|P22626;ROA2_HUMAN|P22626-2" xr:uid="{5E117A75-B97D-4FCB-98C1-DEFA5579F859}"/>
    <hyperlink ref="F2216" r:id="rId745" display="ROA2_HUMAN|P22626;ROA2_HUMAN|P22626-2" xr:uid="{21CBF337-5EFF-4880-AC75-2C31AFB6A28C}"/>
    <hyperlink ref="F2217" r:id="rId746" display="ROA2_HUMAN|P22626;ROA2_HUMAN|P22626-2" xr:uid="{C4B94B83-EB30-4D4C-99ED-8AB5E49215B2}"/>
    <hyperlink ref="F2219" r:id="rId747" display="ROA2_HUMAN|P22626;ROA2_HUMAN|P22626-2" xr:uid="{EFB2F7E2-8ABC-4EE6-A113-AD45180DC513}"/>
    <hyperlink ref="F2220" r:id="rId748" display="ROA2_HUMAN|P22626;ROA2_HUMAN|P22626-2" xr:uid="{D38CBEF3-51B8-4DC1-B110-B943CCF1322A}"/>
    <hyperlink ref="F2221" r:id="rId749" display="ROA2_HUMAN|P22626;ROA2_HUMAN|P22626-2" xr:uid="{57A96B61-2EC9-4FDB-8468-BD6F441E507A}"/>
    <hyperlink ref="F2222" r:id="rId750" display="ROA2_HUMAN|P22626;ROA2_HUMAN|P22626-2" xr:uid="{EE65DCF7-5183-4334-9745-301964E7788A}"/>
    <hyperlink ref="F2223" r:id="rId751" display="ROA2_HUMAN|P22626;ROA2_HUMAN|P22626-2" xr:uid="{14DFCA79-2E20-4C16-B99A-7B5DD1A72757}"/>
    <hyperlink ref="F2224" r:id="rId752" display="ROA2_HUMAN|P22626;ROA2_HUMAN|P22626-2" xr:uid="{170D3E23-3578-457E-AE9B-F3C86EF58BD2}"/>
    <hyperlink ref="F2226" r:id="rId753" display="ROA2_HUMAN|P22626;ROA2_HUMAN|P22626-2" xr:uid="{9B055B9D-08C1-484C-AD45-FA702CB17224}"/>
    <hyperlink ref="F2228" r:id="rId754" display="ROA2_HUMAN|P22626;ROA2_HUMAN|P22626-2" xr:uid="{A09535B9-F157-4BFC-8A5F-3C5F50590E0D}"/>
    <hyperlink ref="F2229" r:id="rId755" display="ROA2_HUMAN|P22626;ROA2_HUMAN|P22626-2" xr:uid="{8E32E89E-B2B8-4E96-8AA7-47AFF46C7C12}"/>
    <hyperlink ref="F2230" r:id="rId756" display="ROA2_HUMAN|P22626;ROA2_HUMAN|P22626-2" xr:uid="{220065F1-FA6B-40C0-BFCB-6ECA7932A7F1}"/>
    <hyperlink ref="F2231" r:id="rId757" display="ROA2_HUMAN|P22626;ROA2_HUMAN|P22626-2" xr:uid="{64259C91-CE21-4C30-AF47-ABE14CF81501}"/>
    <hyperlink ref="F2232" r:id="rId758" display="ROA2_HUMAN|P22626;ROA2_HUMAN|P22626-2" xr:uid="{B0F4E902-9B34-4410-82D8-33090FD97869}"/>
    <hyperlink ref="F2234" r:id="rId759" display="ROA2_HUMAN|P22626;ROA2_HUMAN|P22626-2" xr:uid="{FB0456ED-6A5F-4EA3-A43F-265450F07E9C}"/>
    <hyperlink ref="F2235" r:id="rId760" display="ROA3_HUMAN|P51991;ROA3_HUMAN|P51991-2" xr:uid="{641DC6EE-6000-4000-B8EF-DA1045A04E8C}"/>
    <hyperlink ref="F2236" r:id="rId761" display="ROA3_HUMAN|P51991;ROA3_HUMAN|P51991-2" xr:uid="{EFCB5B0E-2D2D-4E23-AC2F-D4C062A03B72}"/>
    <hyperlink ref="F2238" r:id="rId762" display="ROA3_HUMAN|P51991;ROA3_HUMAN|P51991-2" xr:uid="{91B40CCA-FDEA-4EFB-81C0-CDEAEE7403CC}"/>
    <hyperlink ref="F2239" r:id="rId763" display="ROA3_HUMAN|P51991;ROA3_HUMAN|P51991-2" xr:uid="{2A003B86-4B42-40B1-BE9B-8FAACB20B21F}"/>
    <hyperlink ref="F2240" r:id="rId764" display="ROA3_HUMAN|P51991;ROA3_HUMAN|P51991-2" xr:uid="{A0DA445F-603D-446B-9D55-89DE3A6D4D50}"/>
    <hyperlink ref="F2241" r:id="rId765" display="ROA3_HUMAN|P51991;ROA3_HUMAN|P51991-2" xr:uid="{93968196-4FA7-4F08-9BDD-7F85344406E0}"/>
    <hyperlink ref="F2242" r:id="rId766" display="ROA3_HUMAN|P51991;ROA3_HUMAN|P51991-2" xr:uid="{B033FA11-C08A-41E9-9165-D9456C5AE1FC}"/>
    <hyperlink ref="F2245" r:id="rId767" display="ROA3_HUMAN|P51991;ROA3_HUMAN|P51991-2" xr:uid="{C948C705-A3B1-42E5-A6F9-493A89DD7E2D}"/>
    <hyperlink ref="F2246" r:id="rId768" display="ROA3_HUMAN|P51991;ROA3_HUMAN|P51991-2" xr:uid="{E3B258E9-EF93-4112-9E03-98F77818BC0E}"/>
    <hyperlink ref="F2247" r:id="rId769" display="ROAA_HUMAN|Q99729-2;ROAA_HUMAN|Q99729" xr:uid="{E1489CB3-22FB-4FB0-BBEF-FEBD59DC2C9C}"/>
    <hyperlink ref="F2249" r:id="rId770" display="ROAA_HUMAN|Q99729-3;ROAA_HUMAN|Q99729-4" xr:uid="{A7E280DE-394C-4F1A-AA03-9562D63FDBDF}"/>
    <hyperlink ref="F2250" r:id="rId771" display="ROAA_HUMAN|Q99729-2;ROAA_HUMAN|Q99729;ROAA_HUMAN|Q99729-3;ROAA_HUMAN|Q99729-4" xr:uid="{4F53BEBC-F123-4780-9590-527BD1115F8A}"/>
    <hyperlink ref="F2251" r:id="rId772" display="ROAA_HUMAN|Q99729-2;ROAA_HUMAN|Q99729;ROAA_HUMAN|Q99729-3;ROAA_HUMAN|Q99729-4" xr:uid="{323BD98C-89BF-42A3-B9FC-6C02A9EC8262}"/>
    <hyperlink ref="F2252" r:id="rId773" display="ROAA_HUMAN|Q99729-2;ROAA_HUMAN|Q99729;ROAA_HUMAN|Q99729-3;ROAA_HUMAN|Q99729-4" xr:uid="{6A50FFC6-F969-4970-9392-4E24CE6B95B7}"/>
    <hyperlink ref="F2253" r:id="rId774" display="ROAA_HUMAN|Q99729-2;ROAA_HUMAN|Q99729;ROAA_HUMAN|Q99729-3;ROAA_HUMAN|Q99729-4" xr:uid="{34CD1F87-8076-4E63-9D16-1B5580577AB9}"/>
    <hyperlink ref="F2254" r:id="rId775" display="ROAA_HUMAN|Q99729-2;ROAA_HUMAN|Q99729;ROAA_HUMAN|Q99729-3;ROAA_HUMAN|Q99729-4" xr:uid="{0B28B45A-0075-4D60-B877-19905FB61BF6}"/>
    <hyperlink ref="F2255" r:id="rId776" display="ROAA_HUMAN|Q99729-2;ROAA_HUMAN|Q99729;ROAA_HUMAN|Q99729-3;ROAA_HUMAN|Q99729-4" xr:uid="{D63215EF-F093-4EF4-A787-658313B98C5D}"/>
    <hyperlink ref="F2256" r:id="rId777" display="ROAA_HUMAN|Q99729-2;ROAA_HUMAN|Q99729;ROAA_HUMAN|Q99729-3;ROAA_HUMAN|Q99729-4" xr:uid="{DF6B5D92-506F-41ED-87AB-D55E43D1B94A}"/>
    <hyperlink ref="F2257" r:id="rId778" display="ROAA_HUMAN|Q99729-2;ROAA_HUMAN|Q99729;ROAA_HUMAN|Q99729-3;ROAA_HUMAN|Q99729-4" xr:uid="{DF7559F7-3432-4FB1-81D9-5C126B80CF32}"/>
    <hyperlink ref="F2258" r:id="rId779" display="ROAA_HUMAN|Q99729-2;ROAA_HUMAN|Q99729;ROAA_HUMAN|Q99729-3;ROAA_HUMAN|Q99729-4" xr:uid="{EFA53C4F-A508-46DE-8829-C53AA9B35E44}"/>
    <hyperlink ref="F2259" r:id="rId780" display="ROAA_HUMAN|Q99729-2;ROAA_HUMAN|Q99729;ROAA_HUMAN|Q99729-3;ROAA_HUMAN|Q99729-4" xr:uid="{5FFC95BA-5F0E-4543-9DC7-A674E8C14E03}"/>
    <hyperlink ref="F2261" r:id="rId781" display="HNRPD_HUMAN|Q14103-3;HNRPD_HUMAN|Q14103-4" xr:uid="{154BD69B-81ED-4F06-BA46-0CED0C6685D7}"/>
    <hyperlink ref="F2262" r:id="rId782" display="HNRPD_HUMAN|Q14103-3;HNRPD_HUMAN|Q14103-4" xr:uid="{D862A968-9D78-44CE-AACF-ECE65837D78D}"/>
    <hyperlink ref="F2263" r:id="rId783" display="HNRPD_HUMAN|Q14103-2;HNRPD_HUMAN|Q14103;HNRPD_HUMAN|Q14103-3;HNRPD_HUMAN|Q14103-4" xr:uid="{EF7983C7-D5C5-429D-8405-8C22B3B6763C}"/>
    <hyperlink ref="F2264" r:id="rId784" display="HNRPD_HUMAN|Q14103-2;HNRPD_HUMAN|Q14103;HNRPD_HUMAN|Q14103-3;HNRPD_HUMAN|Q14103-4" xr:uid="{D63F6967-1A61-4D0C-923A-D42217E74589}"/>
    <hyperlink ref="F2266" r:id="rId785" display="HNRPD_HUMAN|Q14103-2;HNRPD_HUMAN|Q14103;HNRPD_HUMAN|Q14103-3;HNRPD_HUMAN|Q14103-4" xr:uid="{ADA32E02-E396-4C61-B12D-6FB72781144A}"/>
    <hyperlink ref="F2267" r:id="rId786" display="HNRPD_HUMAN|Q14103-2;HNRPD_HUMAN|Q14103;HNRPD_HUMAN|Q14103-3;HNRPD_HUMAN|Q14103-4" xr:uid="{59A6A48B-2CEC-452D-80BB-05F38A999F17}"/>
    <hyperlink ref="F2268" r:id="rId787" display="HNRPD_HUMAN|Q14103-2;HNRPD_HUMAN|Q14103;HNRPD_HUMAN|Q14103-3;HNRPD_HUMAN|Q14103-4" xr:uid="{61F0DA53-381D-4994-8637-A7356C75C20E}"/>
    <hyperlink ref="F2269" r:id="rId788" display="HNRPD_HUMAN|Q14103-2;HNRPD_HUMAN|Q14103;HNRPD_HUMAN|Q14103-3;HNRPD_HUMAN|Q14103-4" xr:uid="{BB7B3053-1658-428C-93C7-ED510D79C7B5}"/>
    <hyperlink ref="F2270" r:id="rId789" display="HNRPD_HUMAN|Q14103-2;HNRPD_HUMAN|Q14103;HNRPD_HUMAN|Q14103-3;HNRPD_HUMAN|Q14103-4" xr:uid="{DB95C643-E222-496D-90F4-6C16747F1C7B}"/>
    <hyperlink ref="F2271" r:id="rId790" display="HNRPD_HUMAN|Q14103-2;HNRPD_HUMAN|Q14103;HNRPD_HUMAN|Q14103-3;HNRPD_HUMAN|Q14103-4" xr:uid="{5802E81E-D67F-4BF0-8AB6-9FFF50235A96}"/>
    <hyperlink ref="F2272" r:id="rId791" display="HNRPD_HUMAN|Q14103-2;HNRPD_HUMAN|Q14103;HNRPD_HUMAN|Q14103-3;HNRPD_HUMAN|Q14103-4" xr:uid="{5B1B990E-9BF7-412F-89BC-90E01469D1D3}"/>
    <hyperlink ref="F2273" r:id="rId792" display="HNRPD_HUMAN|Q14103-2;HNRPD_HUMAN|Q14103;HNRPD_HUMAN|Q14103-3;HNRPD_HUMAN|Q14103-4" xr:uid="{A89D0081-8351-41B0-83F0-1216914C392C}"/>
    <hyperlink ref="F2274" r:id="rId793" display="HNRH1_HUMAN|P31943" xr:uid="{81BD2D7B-4098-4DDC-A77A-28264D995DDF}"/>
    <hyperlink ref="F2276" r:id="rId794" display="HNRH1_HUMAN|P31943" xr:uid="{C5643FDF-167B-4E6F-A87C-0C3F7130E1A2}"/>
    <hyperlink ref="F2277" r:id="rId795" display="HNRH1_HUMAN|P31943" xr:uid="{A02B5297-76B3-45A6-A198-8501E73E3983}"/>
    <hyperlink ref="F2278" r:id="rId796" display="HNRH2_HUMAN|P55795" xr:uid="{51AA0106-2C93-4903-A440-BF0BAB5C4EE3}"/>
    <hyperlink ref="F2280" r:id="rId797" display="HNRH3_HUMAN|P31942-2" xr:uid="{FFA4E56A-4DE2-4A85-8AE0-FACC87C8A300}"/>
    <hyperlink ref="F2281" r:id="rId798" display="HNRH3_HUMAN|P31942-2" xr:uid="{93F80F90-2FB6-43C4-A306-6A416D7C1069}"/>
    <hyperlink ref="F2283" r:id="rId799" display="HNRH3_HUMAN|P31942-2" xr:uid="{AD9C3DFA-B264-4D89-8FE3-C7D6F55995A7}"/>
    <hyperlink ref="F2284" r:id="rId800" display="HNRH3_HUMAN|P31942-2" xr:uid="{6DAC75BA-A5F3-422B-8717-57CFD796EA8A}"/>
    <hyperlink ref="F2286" r:id="rId801" display="HNRH3_HUMAN|P31942-2" xr:uid="{7160610B-0911-4B40-B985-76CB0E96D5B6}"/>
    <hyperlink ref="F2287" r:id="rId802" display="HNRH3_HUMAN|P31942;HNRH3_HUMAN|P31942-3" xr:uid="{7AD65F3C-E2CB-4A82-BB68-933F4CE0C5B7}"/>
    <hyperlink ref="F2288" r:id="rId803" display="HNRH3_HUMAN|P31942;HNRH3_HUMAN|P31942-3;HNRH3_HUMAN|P31942-2" xr:uid="{90DB550B-8ADD-4F19-A62F-3A235525A620}"/>
    <hyperlink ref="F2298" r:id="rId804" display="HNRH3_HUMAN|P31942;HNRH3_HUMAN|P31942-3;HNRH3_HUMAN|P31942-2" xr:uid="{B3CC14DE-3E35-482F-BF1D-C2D294B1E79A}"/>
    <hyperlink ref="F2299" r:id="rId805" display="HNRH3_HUMAN|P31942;HNRH3_HUMAN|P31942-3;HNRH3_HUMAN|P31942-2" xr:uid="{314D9FF9-061C-48E7-85F5-E755E7B0B5B8}"/>
    <hyperlink ref="F2300" r:id="rId806" display="HNRH3_HUMAN|P31942;HNRH3_HUMAN|P31942-3;HNRH3_HUMAN|P31942-4;HNRH3_HUMAN|P31942-2" xr:uid="{41C7E58F-8ADF-4AD3-84D9-F6C30814EEF8}"/>
    <hyperlink ref="F2302" r:id="rId807" display="HNRH3_HUMAN|P31942;HNRH3_HUMAN|P31942-3;HNRH3_HUMAN|P31942-4;HNRH3_HUMAN|P31942-2" xr:uid="{A4B3BEE0-95A2-4FA7-89A0-07251307352B}"/>
    <hyperlink ref="F2308" r:id="rId808" display="HNRH3_HUMAN|P31942;HNRH3_HUMAN|P31942-3;HNRH3_HUMAN|P31942-4;HNRH3_HUMAN|P31942-2" xr:uid="{4D9B29AE-8BEE-4C98-8C18-222B4812A50E}"/>
    <hyperlink ref="F2309" r:id="rId809" display="HNRH3_HUMAN|P31942;HNRH3_HUMAN|P31942-3;HNRH3_HUMAN|P31942-4;HNRH3_HUMAN|P31942-2" xr:uid="{D1D69335-1A40-470F-9726-8105B354233F}"/>
    <hyperlink ref="F2310" r:id="rId810" display="HNRH3_HUMAN|P31942;HNRH3_HUMAN|P31942-3;HNRH3_HUMAN|P31942-4;HNRH3_HUMAN|P31942-2" xr:uid="{B7C928E9-54EB-4120-9D43-983055016607}"/>
    <hyperlink ref="F2311" r:id="rId811" display="HNRH3_HUMAN|P31942;HNRH3_HUMAN|P31942-3;HNRH3_HUMAN|P31942-4;HNRH3_HUMAN|P31942-2" xr:uid="{C90D7521-F0A5-47DD-A100-4C588FE6DCBE}"/>
    <hyperlink ref="F2312" r:id="rId812" display="HNRH3_HUMAN|P31942;HNRH3_HUMAN|P31942-3;HNRH3_HUMAN|P31942-4;HNRH3_HUMAN|P31942-2" xr:uid="{0448AC39-6DCB-42D9-BE65-A0D95D3F7346}"/>
    <hyperlink ref="F2313" r:id="rId813" display="HNRH3_HUMAN|P31942;HNRH3_HUMAN|P31942-3;HNRH3_HUMAN|P31942-4;HNRH3_HUMAN|P31942-2" xr:uid="{EF41020F-B50D-4782-A470-9A3CB25277CB}"/>
    <hyperlink ref="F2315" r:id="rId814" display="HNRH3_HUMAN|P31942;HNRH3_HUMAN|P31942-3;HNRH3_HUMAN|P31942-4;HNRH3_HUMAN|P31942-2" xr:uid="{9ED0AE86-EE19-4521-99EC-166B4C2BE44F}"/>
    <hyperlink ref="F2317" r:id="rId815" display="HNRH3_HUMAN|P31942;HNRH3_HUMAN|P31942-3;HNRH3_HUMAN|P31942-4;HNRH3_HUMAN|P31942-2" xr:uid="{1694D458-B800-468A-AAF6-A42AB17B363E}"/>
    <hyperlink ref="F2318" r:id="rId816" display="HNRH3_HUMAN|P31942;HNRH3_HUMAN|P31942-3;HNRH3_HUMAN|P31942-4;HNRH3_HUMAN|P31942-2" xr:uid="{E0DF17C1-F847-453C-8659-8DDD3BA620B8}"/>
    <hyperlink ref="F2319" r:id="rId817" display="HNRH3_HUMAN|P31942;HNRH3_HUMAN|P31942-3;HNRH3_HUMAN|P31942-4;HNRH3_HUMAN|P31942-2" xr:uid="{6ECD994D-C5F4-4C96-914C-F916C90BFDD4}"/>
    <hyperlink ref="F2320" r:id="rId818" display="HNRH3_HUMAN|P31942;HNRH3_HUMAN|P31942-3;HNRH3_HUMAN|P31942-4;HNRH3_HUMAN|P31942-2" xr:uid="{15DD5223-F124-450D-BDB0-C7853CF1733E}"/>
    <hyperlink ref="F2321" r:id="rId819" display="HNRH3_HUMAN|P31942;HNRH3_HUMAN|P31942-3;HNRH3_HUMAN|P31942-4;HNRH3_HUMAN|P31942-2" xr:uid="{0BC5EEEA-5AB3-407F-9153-47C38DC20D0D}"/>
    <hyperlink ref="F2322" r:id="rId820" display="HNRH3_HUMAN|P31942;HNRH3_HUMAN|P31942-3;HNRH3_HUMAN|P31942-4;HNRH3_HUMAN|P31942-2" xr:uid="{BE8D5BC1-4FA8-433F-ABAE-2D660AA18A87}"/>
    <hyperlink ref="F2323" r:id="rId821" display="HNRH3_HUMAN|P31942;HNRH3_HUMAN|P31942-3;HNRH3_HUMAN|P31942-4;HNRH3_HUMAN|P31942-2" xr:uid="{246DA2A3-234F-4664-B095-117481323ECB}"/>
    <hyperlink ref="F2324" r:id="rId822" display="HNRH3_HUMAN|P31942;HNRH3_HUMAN|P31942-3;HNRH3_HUMAN|P31942-4;HNRH3_HUMAN|P31942-2" xr:uid="{08FEF368-AAE0-4321-ACB0-233D2261C2DE}"/>
    <hyperlink ref="F2326" r:id="rId823" display="HNRH3_HUMAN|P31942;HNRH3_HUMAN|P31942-3;HNRH3_HUMAN|P31942-4;HNRH3_HUMAN|P31942-2" xr:uid="{81AB6F54-1F98-486D-BEEA-90508E0B859A}"/>
    <hyperlink ref="F2327" r:id="rId824" display="HNRH3_HUMAN|P31942;HNRH3_HUMAN|P31942-3;HNRH3_HUMAN|P31942-4;HNRH3_HUMAN|P31942-2" xr:uid="{6A30C7C6-6FCA-4821-9CAC-62F013E689AC}"/>
    <hyperlink ref="F2328" r:id="rId825" display="HNRH3_HUMAN|P31942;HNRH3_HUMAN|P31942-3;HNRH3_HUMAN|P31942-4;HNRH3_HUMAN|P31942-2" xr:uid="{1E0BDB01-D532-43A0-9E1E-09A1FDA27F56}"/>
    <hyperlink ref="F2329" r:id="rId826" display="HNRH3_HUMAN|P31942;HNRH3_HUMAN|P31942-3;HNRH3_HUMAN|P31942-4;HNRH3_HUMAN|P31942-2" xr:uid="{D24CECB0-3562-4B37-A592-820FAD68F7D2}"/>
    <hyperlink ref="F2330" r:id="rId827" display="HNRH3_HUMAN|P31942;HNRH3_HUMAN|P31942-3;HNRH3_HUMAN|P31942-4;HNRH3_HUMAN|P31942-2" xr:uid="{566B7160-43F7-41ED-8FE5-DC6E460E33D1}"/>
    <hyperlink ref="F2331" r:id="rId828" display="HNRH3_HUMAN|P31942;HNRH3_HUMAN|P31942-3;HNRH3_HUMAN|P31942-4;HNRH3_HUMAN|P31942-2" xr:uid="{B01B72A6-CC7E-4DF7-9CA3-F8838C6E6E68}"/>
    <hyperlink ref="F2332" r:id="rId829" display="HNRH3_HUMAN|P31942;HNRH3_HUMAN|P31942-3;HNRH3_HUMAN|P31942-4;HNRH3_HUMAN|P31942-2" xr:uid="{A89A7686-0DB1-4BF8-85AB-263E00681B6B}"/>
    <hyperlink ref="F2333" r:id="rId830" display="HNRH3_HUMAN|P31942;HNRH3_HUMAN|P31942-3;HNRH3_HUMAN|P31942-4;HNRH3_HUMAN|P31942-2" xr:uid="{0852EA11-A416-4812-B291-637EAFF287D0}"/>
    <hyperlink ref="F2334" r:id="rId831" display="HNRH3_HUMAN|P31942;HNRH3_HUMAN|P31942-3;HNRH3_HUMAN|P31942-4;HNRH3_HUMAN|P31942-2" xr:uid="{7D5B21A6-DDBA-42AD-AE69-3538645C7D22}"/>
    <hyperlink ref="F2335" r:id="rId832" display="HNRH3_HUMAN|P31942;HNRH3_HUMAN|P31942-3;HNRH3_HUMAN|P31942-4;HNRH3_HUMAN|P31942-2" xr:uid="{CCFE9E13-050F-4839-BDED-B754752B5CFB}"/>
    <hyperlink ref="F2336" r:id="rId833" display="HNRH3_HUMAN|P31942;HNRH3_HUMAN|P31942-3;HNRH3_HUMAN|P31942-4;HNRH3_HUMAN|P31942-2" xr:uid="{213A7F91-32FB-4709-87C4-A7886F56A6EF}"/>
    <hyperlink ref="F2337" r:id="rId834" display="HNRH3_HUMAN|P31942;HNRH3_HUMAN|P31942-3;HNRH3_HUMAN|P31942-4;HNRH3_HUMAN|P31942-2" xr:uid="{46663424-B8F0-4706-BA62-4FF6F0E0EA56}"/>
    <hyperlink ref="F2338" r:id="rId835" display="HNRH3_HUMAN|P31942;HNRH3_HUMAN|P31942-3;HNRH3_HUMAN|P31942-4;HNRH3_HUMAN|P31942-2" xr:uid="{7C9FD934-0B4C-4304-959D-027FEDBD1E00}"/>
    <hyperlink ref="F2341" r:id="rId836" display="HNRH3_HUMAN|P31942;HNRH3_HUMAN|P31942-3;HNRH3_HUMAN|P31942-4;HNRH3_HUMAN|P31942-2" xr:uid="{3C5DA05F-AFA2-4CDA-8CE3-495FB386D529}"/>
    <hyperlink ref="F2342" r:id="rId837" display="HNRH3_HUMAN|P31942;HNRH3_HUMAN|P31942-3;HNRH3_HUMAN|P31942-4;HNRH3_HUMAN|P31942-2" xr:uid="{754EABFE-E21D-4550-A5DF-27850A73ADC2}"/>
    <hyperlink ref="F2343" r:id="rId838" display="HNRH3_HUMAN|P31942;HNRH3_HUMAN|P31942-3;HNRH3_HUMAN|P31942-4;HNRH3_HUMAN|P31942-2" xr:uid="{1780EFA6-1F3C-4B27-8411-8C8B13262A10}"/>
    <hyperlink ref="F2345" r:id="rId839" display="HNRH3_HUMAN|P31942;HNRH3_HUMAN|P31942-3;HNRH3_HUMAN|P31942-4;HNRH3_HUMAN|P31942-2" xr:uid="{6B07D402-5709-46A6-855E-827E5D0E0578}"/>
    <hyperlink ref="F2347" r:id="rId840" display="HNRH3_HUMAN|P31942;HNRH3_HUMAN|P31942-3;HNRH3_HUMAN|P31942-4;HNRH3_HUMAN|P31942-2" xr:uid="{5B5F0FE4-6CDA-4A48-81D9-22F261AFB2BF}"/>
    <hyperlink ref="F2348" r:id="rId841" display="HNRH3_HUMAN|P31942;HNRH3_HUMAN|P31942-3;HNRH3_HUMAN|P31942-4;HNRH3_HUMAN|P31942-2" xr:uid="{A79F6E67-2F7C-4C21-A90E-6393094B7917}"/>
    <hyperlink ref="F2349" r:id="rId842" display="HNRH3_HUMAN|P31942;HNRH3_HUMAN|P31942-3;HNRH3_HUMAN|P31942-4;HNRH3_HUMAN|P31942-2" xr:uid="{E59D2A33-B654-4D63-B332-69400479547B}"/>
    <hyperlink ref="F2350" r:id="rId843" display="HNRH3_HUMAN|P31942;HNRH3_HUMAN|P31942-3;HNRH3_HUMAN|P31942-4;HNRH3_HUMAN|P31942-2" xr:uid="{0CABE202-A69B-4365-9D37-4FCD7EE88959}"/>
    <hyperlink ref="F2351" r:id="rId844" display="HNRH3_HUMAN|P31942;HNRH3_HUMAN|P31942-3;HNRH3_HUMAN|P31942-4;HNRH3_HUMAN|P31942-2" xr:uid="{A1246303-0F1B-4155-A70F-40CD97499C7A}"/>
    <hyperlink ref="F2352" r:id="rId845" display="HNRH3_HUMAN|P31942;HNRH3_HUMAN|P31942-3;HNRH3_HUMAN|P31942-4;HNRH3_HUMAN|P31942-2" xr:uid="{CEBE33C2-B742-4DE8-87B8-38F256380D44}"/>
    <hyperlink ref="F2353" r:id="rId846" display="HNRH3_HUMAN|P31942;HNRH3_HUMAN|P31942-3;HNRH3_HUMAN|P31942-4;HNRH3_HUMAN|P31942-2" xr:uid="{E3130D12-A3E5-4806-8AE8-15EE36CEC219}"/>
    <hyperlink ref="F2354" r:id="rId847" display="HNRH3_HUMAN|P31942;HNRH3_HUMAN|P31942-3;HNRH3_HUMAN|P31942-4;HNRH3_HUMAN|P31942-2" xr:uid="{BCD5C38D-9E1E-462D-912C-F27CBD4FE23E}"/>
    <hyperlink ref="F2357" r:id="rId848" display="HNRH3_HUMAN|P31942;HNRH3_HUMAN|P31942-3;HNRH3_HUMAN|P31942-4;HNRH3_HUMAN|P31942-2" xr:uid="{BEE4F55E-8915-49D7-B244-B5623CC93838}"/>
    <hyperlink ref="F2358" r:id="rId849" display="HNRH3_HUMAN|P31942;HNRH3_HUMAN|P31942-3;HNRH3_HUMAN|P31942-4;HNRH3_HUMAN|P31942-2" xr:uid="{453FE446-7839-4019-AA24-62058242A63F}"/>
    <hyperlink ref="F2359" r:id="rId850" display="HNRH3_HUMAN|P31942;HNRH3_HUMAN|P31942-3;HNRH3_HUMAN|P31942-4;HNRH3_HUMAN|P31942-2" xr:uid="{D5933FE8-DDD0-4FBF-8717-116BBC15EB58}"/>
    <hyperlink ref="F2361" r:id="rId851" display="HNRH3_HUMAN|P31942;HNRH3_HUMAN|P31942-3;HNRH3_HUMAN|P31942-4;HNRH3_HUMAN|P31942-2" xr:uid="{3764C2DD-F656-4A00-A3E5-921188017C9F}"/>
    <hyperlink ref="F2362" r:id="rId852" display="HNRH3_HUMAN|P31942;HNRH3_HUMAN|P31942-3;HNRH3_HUMAN|P31942-4;HNRH3_HUMAN|P31942-2" xr:uid="{DBD2B006-0C1C-41DC-A14F-3E1CE0A993E7}"/>
    <hyperlink ref="F2363" r:id="rId853" display="HNRH3_HUMAN|P31942;HNRH3_HUMAN|P31942-3;HNRH3_HUMAN|P31942-4;HNRH3_HUMAN|P31942-2" xr:uid="{8A52781E-B046-4404-853A-301428644DA8}"/>
    <hyperlink ref="F2365" r:id="rId854" display="HNRH3_HUMAN|P31942;HNRH3_HUMAN|P31942-3;HNRH3_HUMAN|P31942-4;HNRH3_HUMAN|P31942-2" xr:uid="{0A539DB6-4970-4DF9-B0D0-2F4E46B9F4DA}"/>
    <hyperlink ref="F2366" r:id="rId855" display="HNRH3_HUMAN|P31942;HNRH3_HUMAN|P31942-3;HNRH3_HUMAN|P31942-4;HNRH3_HUMAN|P31942-2" xr:uid="{9FA9D725-3C1A-47B9-B323-BD7C6D3B3900}"/>
    <hyperlink ref="F2367" r:id="rId856" display="HNRH3_HUMAN|P31942;HNRH3_HUMAN|P31942-3;HNRH3_HUMAN|P31942-4;HNRH3_HUMAN|P31942-2" xr:uid="{BA377E03-36E9-472E-AA32-D854BCCBA72F}"/>
    <hyperlink ref="F2369" r:id="rId857" display="HNRH3_HUMAN|P31942;HNRH3_HUMAN|P31942-3;HNRH3_HUMAN|P31942-4;HNRH3_HUMAN|P31942-2" xr:uid="{436A9F89-24D2-46CC-B509-C1F3DEE750FB}"/>
    <hyperlink ref="F2370" r:id="rId858" display="HNRH3_HUMAN|P31942;HNRH3_HUMAN|P31942-3;HNRH3_HUMAN|P31942-4;HNRH3_HUMAN|P31942-2" xr:uid="{5B6A73AC-A735-4117-BFC1-4DA67A962453}"/>
    <hyperlink ref="F2372" r:id="rId859" display="HNRH3_HUMAN|P31942;HNRH3_HUMAN|P31942-3;HNRH3_HUMAN|P31942-4;HNRH3_HUMAN|P31942-2" xr:uid="{ADB83682-6EA7-4006-AB62-8FE8FC45656A}"/>
    <hyperlink ref="F2380" r:id="rId860" display="HNRH3_HUMAN|P31942;HNRH3_HUMAN|P31942-3;HNRH3_HUMAN|P31942-4;HNRH3_HUMAN|P31942-2" xr:uid="{390B5FF2-1EBB-42A2-84C7-5BCE4647152F}"/>
    <hyperlink ref="F2381" r:id="rId861" display="HNRH3_HUMAN|P31942;HNRH3_HUMAN|P31942-3;HNRH3_HUMAN|P31942-4;HNRH3_HUMAN|P31942-2" xr:uid="{E8A3A036-0938-4A45-AB14-452B29CD0C80}"/>
    <hyperlink ref="F2382" r:id="rId862" display="HNRH3_HUMAN|P31942;HNRH3_HUMAN|P31942-3;HNRH3_HUMAN|P31942-4;HNRH3_HUMAN|P31942-2" xr:uid="{78DD9510-9E00-4DD7-95AE-2A8C8B7CCCD9}"/>
    <hyperlink ref="F2383" r:id="rId863" display="HNRH3_HUMAN|P31942;HNRH3_HUMAN|P31942-3;HNRH3_HUMAN|P31942-4;HNRH3_HUMAN|P31942-2" xr:uid="{7F948322-D76E-4681-B59C-F9906DA51E4B}"/>
    <hyperlink ref="F2385" r:id="rId864" display="HNRH3_HUMAN|P31942;HNRH3_HUMAN|P31942-3;HNRH3_HUMAN|P31942-4;HNRH3_HUMAN|P31942-2" xr:uid="{C70B80B3-EEB5-466C-A800-062C19D70C42}"/>
    <hyperlink ref="F2386" r:id="rId865" display="HNRH3_HUMAN|P31942;HNRH3_HUMAN|P31942-3;HNRH3_HUMAN|P31942-4;HNRH3_HUMAN|P31942-2" xr:uid="{B0E62676-B4AE-42BB-9CAA-6E7DC5B4C5AF}"/>
    <hyperlink ref="F2387" r:id="rId866" display="HNRH3_HUMAN|P31942;HNRH3_HUMAN|P31942-3;HNRH3_HUMAN|P31942-4;HNRH3_HUMAN|P31942-2" xr:uid="{9BD2C3F7-9D90-4BAA-B303-3E98B540219F}"/>
    <hyperlink ref="F2390" r:id="rId867" display="HNRH3_HUMAN|P31942;HNRH3_HUMAN|P31942-3;HNRH3_HUMAN|P31942-4;HNRH3_HUMAN|P31942-2" xr:uid="{A6A196FD-A981-49CE-A24F-0F8DCE7EB30A}"/>
    <hyperlink ref="F2391" r:id="rId868" display="HNRH3_HUMAN|P31942;HNRH3_HUMAN|P31942-3;HNRH3_HUMAN|P31942-4;HNRH3_HUMAN|P31942-2" xr:uid="{7F2E91A0-E687-4504-B433-B5FA70426E5F}"/>
    <hyperlink ref="F2392" r:id="rId869" display="HNRH3_HUMAN|P31942;HNRH3_HUMAN|P31942-3;HNRH3_HUMAN|P31942-4;HNRH3_HUMAN|P31942-2" xr:uid="{EE2D74C5-A761-45FF-A13C-C1DB536B4307}"/>
    <hyperlink ref="F2395" r:id="rId870" display="HNRH3_HUMAN|P31942;HNRH3_HUMAN|P31942-3;HNRH3_HUMAN|P31942-4;HNRH3_HUMAN|P31942-2" xr:uid="{4F8C6F67-A53D-45BC-9C62-B9232438992B}"/>
    <hyperlink ref="F2396" r:id="rId871" display="HNRH3_HUMAN|P31942;HNRH3_HUMAN|P31942-3;HNRH3_HUMAN|P31942-4;HNRH3_HUMAN|P31942-2" xr:uid="{6493CEC4-97E3-4941-8F49-DEBADF7F7706}"/>
    <hyperlink ref="F2397" r:id="rId872" display="HNRH3_HUMAN|P31942;HNRH3_HUMAN|P31942-3;HNRH3_HUMAN|P31942-4;HNRH3_HUMAN|P31942-2" xr:uid="{EC0F3079-8BBC-445C-AE57-D3471A55BAAF}"/>
    <hyperlink ref="F2398" r:id="rId873" display="HNRH3_HUMAN|P31942;HNRH3_HUMAN|P31942-3;HNRH3_HUMAN|P31942-4;HNRH3_HUMAN|P31942-2" xr:uid="{A1DCC823-6397-4CFD-9B69-883FABD9C293}"/>
    <hyperlink ref="F2399" r:id="rId874" display="HNRH3_HUMAN|P31942;HNRH3_HUMAN|P31942-3;HNRH3_HUMAN|P31942-4;HNRH3_HUMAN|P31942-2" xr:uid="{09E9D1F3-D57C-4074-B11C-929ECA096701}"/>
    <hyperlink ref="F2400" r:id="rId875" display="HNRH3_HUMAN|P31942;HNRH3_HUMAN|P31942-3;HNRH3_HUMAN|P31942-4;HNRH3_HUMAN|P31942-2" xr:uid="{CF3C4DF6-97AE-42CE-9F1C-81FBFDC394DA}"/>
    <hyperlink ref="F2401" r:id="rId876" display="HNRH3_HUMAN|P31942;HNRH3_HUMAN|P31942-3;HNRH3_HUMAN|P31942-4;HNRH3_HUMAN|P31942-2" xr:uid="{0635881F-8DDC-447E-AF44-968D5219E3F9}"/>
    <hyperlink ref="F2402" r:id="rId877" display="HNRH3_HUMAN|P31942;HNRH3_HUMAN|P31942-3;HNRH3_HUMAN|P31942-4;HNRH3_HUMAN|P31942-2" xr:uid="{237313FB-58B1-4B29-B8AF-B66F467E3627}"/>
    <hyperlink ref="F2403" r:id="rId878" display="HNRH3_HUMAN|P31942;HNRH3_HUMAN|P31942-3;HNRH3_HUMAN|P31942-4;HNRH3_HUMAN|P31942-2" xr:uid="{F28726B7-A47E-4856-B58E-86178740D719}"/>
    <hyperlink ref="F2406" r:id="rId879" display="HNRH3_HUMAN|P31942;HNRH3_HUMAN|P31942-3;HNRH3_HUMAN|P31942-4;HNRH3_HUMAN|P31942-2" xr:uid="{D3459A9B-38E9-4442-9666-42B16E23400A}"/>
    <hyperlink ref="F2407" r:id="rId880" display="HNRH3_HUMAN|P31942;HNRH3_HUMAN|P31942-3;HNRH3_HUMAN|P31942-4;HNRH3_HUMAN|P31942-2" xr:uid="{09AD07B2-5F01-4149-A364-DAB06288FE51}"/>
    <hyperlink ref="F2409" r:id="rId881" display="HNRH3_HUMAN|P31942;HNRH3_HUMAN|P31942-3;HNRH3_HUMAN|P31942-4;HNRH3_HUMAN|P31942-2" xr:uid="{F0DA8FD9-04E7-4C77-8E85-BAF80FF38F33}"/>
    <hyperlink ref="F2410" r:id="rId882" display="HNRH3_HUMAN|P31942;HNRH3_HUMAN|P31942-3;HNRH3_HUMAN|P31942-4;HNRH3_HUMAN|P31942-2" xr:uid="{DCDB4F85-DAFB-4037-8900-B787E12C44CC}"/>
    <hyperlink ref="F2412" r:id="rId883" display="HNRH3_HUMAN|P31942;HNRH3_HUMAN|P31942-3;HNRH3_HUMAN|P31942-4;HNRH3_HUMAN|P31942-2" xr:uid="{7F771568-CC7E-4735-AE11-3C091EE7903A}"/>
    <hyperlink ref="F2414" r:id="rId884" display="HNRH3_HUMAN|P31942;HNRH3_HUMAN|P31942-3;HNRH3_HUMAN|P31942-4;HNRH3_HUMAN|P31942-2" xr:uid="{F3382C42-87B4-4330-B589-309AB8C01360}"/>
    <hyperlink ref="F2415" r:id="rId885" display="HNRH3_HUMAN|P31942;HNRH3_HUMAN|P31942-3;HNRH3_HUMAN|P31942-4;HNRH3_HUMAN|P31942-2" xr:uid="{90A1EA8C-7E8F-4736-93CD-413D8B389582}"/>
    <hyperlink ref="F2417" r:id="rId886" display="HNRH3_HUMAN|P31942;HNRH3_HUMAN|P31942-3;HNRH3_HUMAN|P31942-4;HNRH3_HUMAN|P31942-2" xr:uid="{F2B1B3BE-6524-4EF3-980B-444ED2C7CF14}"/>
    <hyperlink ref="F2419" r:id="rId887" display="HNRH3_HUMAN|P31942;HNRH3_HUMAN|P31942-3;HNRH3_HUMAN|P31942-4;HNRH3_HUMAN|P31942-2" xr:uid="{2CEEA52F-7E07-4306-8854-0EC521949B6E}"/>
    <hyperlink ref="F2420" r:id="rId888" display="HNRH3_HUMAN|P31942;HNRH3_HUMAN|P31942-3;HNRH3_HUMAN|P31942-4;HNRH3_HUMAN|P31942-2" xr:uid="{8BED4263-C898-4943-ACAA-217206F10698}"/>
    <hyperlink ref="F2421" r:id="rId889" display="HNRH3_HUMAN|P31942;HNRH3_HUMAN|P31942-3;HNRH3_HUMAN|P31942-4;HNRH3_HUMAN|P31942-2" xr:uid="{801307C9-50B7-4BE0-BDE5-4478517555D3}"/>
    <hyperlink ref="F2422" r:id="rId890" display="HNRH3_HUMAN|P31942;HNRH3_HUMAN|P31942-3;HNRH3_HUMAN|P31942-4;HNRH3_HUMAN|P31942-2" xr:uid="{FED7DE39-CC1E-424A-8F1B-407FC0146AA6}"/>
    <hyperlink ref="F2423" r:id="rId891" display="HNRH3_HUMAN|P31942;HNRH3_HUMAN|P31942-3;HNRH3_HUMAN|P31942-4;HNRH3_HUMAN|P31942-2" xr:uid="{651C34FB-0D81-45F0-953C-CE034B700647}"/>
    <hyperlink ref="F2424" r:id="rId892" display="HNRH3_HUMAN|P31942;HNRH3_HUMAN|P31942-3;HNRH3_HUMAN|P31942-4;HNRH3_HUMAN|P31942-2" xr:uid="{8FBA34DF-4761-427D-AEE6-52EB44F5EA79}"/>
    <hyperlink ref="F2425" r:id="rId893" display="HNRH3_HUMAN|P31942;HNRH3_HUMAN|P31942-3;HNRH3_HUMAN|P31942-4;HNRH3_HUMAN|P31942-2" xr:uid="{F560BA60-748B-4E5C-A8D9-D6F33AEBB5D8}"/>
    <hyperlink ref="F2427" r:id="rId894" display="HNRH3_HUMAN|P31942;HNRH3_HUMAN|P31942-3;HNRH3_HUMAN|P31942-4;HNRH3_HUMAN|P31942-2" xr:uid="{D4EF9E7D-0A66-4E9A-ABE2-963DF7EC5D05}"/>
    <hyperlink ref="C2127" r:id="rId895" display="TUNP;TUNP iso 2;TUNP iso 3" xr:uid="{966956EC-BC75-46B4-9895-ACA5FFB67C97}"/>
    <hyperlink ref="C2129" r:id="rId896" display="TUNP;TUNP iso 2;TUNP iso 3" xr:uid="{4FCF5CC9-9AFB-4D6D-8D8E-8E6C77954543}"/>
    <hyperlink ref="F2429" r:id="rId897" display="HNRPK_HUMAN|P61978;HNRPK_HUMAN|P61978-2;HNRPK_HUMAN|P61978-3" xr:uid="{77F83FFC-A6B4-401F-91FE-87419AFC8576}"/>
    <hyperlink ref="F2430" r:id="rId898" display="HNRPK_HUMAN|P61978;HNRPK_HUMAN|P61978-2;HNRPK_HUMAN|P61978-3" xr:uid="{D03A682A-F66B-4CE9-B82B-7D4911B010EA}"/>
    <hyperlink ref="F2431" r:id="rId899" display="HNRL1_HUMAN|Q9BUJ2;HNRL1_HUMAN|Q9BUJ2-2;HNRL1_HUMAN|Q9BUJ2-3;HNRL1_HUMAN|Q9BUJ2-4;HNRL1_HUMAN|Q9BUJ2-5" xr:uid="{5C5D7B9E-AFA2-41EA-A3AF-DC24FD0A11F3}"/>
    <hyperlink ref="F2432" r:id="rId900" display="HNRL1_HUMAN|Q9BUJ2;HNRL1_HUMAN|Q9BUJ2-2;HNRL1_HUMAN|Q9BUJ2-3;HNRL1_HUMAN|Q9BUJ2-4;HNRL1_HUMAN|Q9BUJ2-5" xr:uid="{3035E05A-75F0-4842-BF81-5D93E177989A}"/>
    <hyperlink ref="F2433" r:id="rId901" display="HNRL2_HUMAN|Q1KMD3" xr:uid="{0881BC47-C5F6-4632-9A6E-ADCC91B4B9AD}"/>
    <hyperlink ref="F2434" r:id="rId902" display="HNRL2_HUMAN|Q1KMD3" xr:uid="{BE7D6267-96B9-4274-9D2B-D7F73C5F331D}"/>
    <hyperlink ref="F2435" r:id="rId903" display="HNRL2_HUMAN|Q1KMD3" xr:uid="{1BF7328C-655B-4DAE-97F5-C38173D65517}"/>
    <hyperlink ref="F2437" r:id="rId904" display="HNRL2_HUMAN|Q1KMD3" xr:uid="{BDA78B9C-E47F-48C8-8D35-F812E1380BD1}"/>
    <hyperlink ref="F2438" r:id="rId905" display="HNRL2_HUMAN|Q1KMD3" xr:uid="{CC713A61-FB4B-488A-AC21-4EC808F416C3}"/>
    <hyperlink ref="F2440" r:id="rId906" display="HNRL2_HUMAN|Q1KMD3" xr:uid="{80042678-0A89-4590-889D-5ECE0F365A4E}"/>
    <hyperlink ref="F2441" r:id="rId907" display="KHDR1_HUMAN|Q07666;KHDR1_HUMAN|Q07666-2;KHDR1_HUMAN|Q07666-3" xr:uid="{232FB0A2-325B-4EA9-9729-4B4830593F96}"/>
    <hyperlink ref="F2442" r:id="rId908" display="KHDR1_HUMAN|Q07666;KHDR1_HUMAN|Q07666-2;KHDR1_HUMAN|Q07666-3" xr:uid="{E681A37D-7700-41AB-A7C8-174066450AFE}"/>
    <hyperlink ref="F2443" r:id="rId909" display="KHDR1_HUMAN|Q07666;KHDR1_HUMAN|Q07666-2;KHDR1_HUMAN|Q07666-3" xr:uid="{D3027D07-EEF1-4B51-B1EF-3CCA4AEB7444}"/>
    <hyperlink ref="F2445" r:id="rId910" display="KHDR1_HUMAN|Q07666;KHDR1_HUMAN|Q07666-2;KHDR1_HUMAN|Q07666-3" xr:uid="{D5E7C98C-F596-4D1E-AE20-D5EA02068564}"/>
    <hyperlink ref="F2446" r:id="rId911" display="KHDR1_HUMAN|Q07666;KHDR1_HUMAN|Q07666-2;KHDR1_HUMAN|Q07666-3" xr:uid="{078814AD-5A78-41F5-8E56-126B79691C58}"/>
    <hyperlink ref="F2447" r:id="rId912" display="KHDR1_HUMAN|Q07666;KHDR1_HUMAN|Q07666-2;KHDR1_HUMAN|Q07666-3" xr:uid="{96749524-51C5-41E3-8F40-B8F74481B580}"/>
    <hyperlink ref="C2148" r:id="rId913" display="KSRP" xr:uid="{6D45C4A5-6544-4530-B8A3-D11F359AE265}"/>
    <hyperlink ref="C2149" r:id="rId914" display="KSRP" xr:uid="{00061C8C-F44F-4EAB-BCA7-1CB237F03C9C}"/>
    <hyperlink ref="F2449" r:id="rId915" display="FUBP2_HUMAN|Q92945" xr:uid="{E1436AB2-E68D-46AD-9AB3-EC48AFBF4D5E}"/>
    <hyperlink ref="C2150" r:id="rId916" display="KSRP" xr:uid="{5C15D807-7BC2-414E-813B-BF53BE14BD09}"/>
    <hyperlink ref="C2151" r:id="rId917" xr:uid="{7987B083-E837-462B-890F-3472BBCB3E72}"/>
    <hyperlink ref="F2451" r:id="rId918" display="FUBP2_HUMAN|Q92945" xr:uid="{7BCDE703-1C9B-4169-9AA1-15069485B7F8}"/>
    <hyperlink ref="C2152" r:id="rId919" xr:uid="{5D136EC7-B61B-4B0C-B022-D551BD979009}"/>
    <hyperlink ref="F2452" r:id="rId920" display="FUBP2_HUMAN|Q92945" xr:uid="{B27B3208-CACA-4319-AEBD-0FF22CFAB4A9}"/>
    <hyperlink ref="C2153" r:id="rId921" xr:uid="{57FF458C-2099-46C8-B20E-A16CB744BB43}"/>
    <hyperlink ref="F2453" r:id="rId922" display="FUBP2_HUMAN|Q92945" xr:uid="{9474B8E3-2199-4590-BAC8-33486C6CD0EF}"/>
    <hyperlink ref="C2155" r:id="rId923" xr:uid="{4310F03C-2F56-434F-AFAF-DB0F2EC94151}"/>
    <hyperlink ref="F2459" r:id="rId924" display="FUBP2_HUMAN|Q92945" xr:uid="{846B0D74-234B-411D-9B5B-1A442E3EA54B}"/>
    <hyperlink ref="C2156" r:id="rId925" xr:uid="{6B98AC73-DC55-420B-A149-FAF13D925A6B}"/>
    <hyperlink ref="F2460" r:id="rId926" display="FUBP2_HUMAN|Q92945" xr:uid="{8EA85882-E787-4BD4-9437-77176276381B}"/>
    <hyperlink ref="C2158" r:id="rId927" xr:uid="{D49D2B86-D775-41C5-A3B7-C31637696DE2}"/>
    <hyperlink ref="F2462" r:id="rId928" display="FUBP2_HUMAN|Q92945" xr:uid="{538FAF76-D951-4D20-9627-1A6F4F17393C}"/>
    <hyperlink ref="C2159" r:id="rId929" xr:uid="{82C77640-F37D-40DA-B73B-C1D122824A7C}"/>
    <hyperlink ref="F2463" r:id="rId930" display="FUBP2_HUMAN|Q92945" xr:uid="{B20542FE-2FC5-4C9B-B0A5-97079470FB67}"/>
    <hyperlink ref="C2160" r:id="rId931" xr:uid="{FDC523DB-8415-4533-9C44-FB0D81193B70}"/>
    <hyperlink ref="F2464" r:id="rId932" display="FUBP2_HUMAN|Q92945" xr:uid="{A266C3EA-9CB4-49E7-8AEE-782C119E9986}"/>
    <hyperlink ref="C2161" r:id="rId933" xr:uid="{96A7101D-EA20-4A8D-B615-694B6FF33D25}"/>
    <hyperlink ref="F2465" r:id="rId934" display="FUBP2_HUMAN|Q92945" xr:uid="{51476580-F3C7-468F-8C6F-59785DE87BE7}"/>
    <hyperlink ref="C2163" r:id="rId935" xr:uid="{0452B936-56B3-4B9B-AB1C-D47C8CEC1DBD}"/>
    <hyperlink ref="F2467" r:id="rId936" display="FUBP2_HUMAN|Q92945" xr:uid="{E4244393-A8D7-418C-BC28-0FD7985E7785}"/>
    <hyperlink ref="C2164" r:id="rId937" xr:uid="{161F107B-BC63-433E-A603-A4187D05E341}"/>
    <hyperlink ref="F2468" r:id="rId938" display="FUBP2_HUMAN|Q92945" xr:uid="{D52B7470-91EF-4915-8C12-CFBAEB99FC0B}"/>
    <hyperlink ref="C2165" r:id="rId939" xr:uid="{576C2934-1FB3-4871-A0CC-1DEF3E36961F}"/>
    <hyperlink ref="F2469" r:id="rId940" display="FUBP2_HUMAN|Q92945" xr:uid="{F03402B2-C0A8-40EC-9168-B733F4348F5F}"/>
    <hyperlink ref="C2166" r:id="rId941" xr:uid="{CE0F89E0-4C34-4479-BCAD-10C197D4D8D2}"/>
    <hyperlink ref="F2470" r:id="rId942" display="FUBP2_HUMAN|Q92945" xr:uid="{660F0140-48ED-465E-BD93-10BFD40248E4}"/>
    <hyperlink ref="C2167" r:id="rId943" xr:uid="{5FA57A9F-6C36-42BA-9E40-B95B1C02C177}"/>
    <hyperlink ref="F2471" r:id="rId944" display="FUBP2_HUMAN|Q92945" xr:uid="{C4E33445-A702-489F-A9F9-2B739871B078}"/>
    <hyperlink ref="C2168" r:id="rId945" display="MSI1" xr:uid="{4428C42E-BCBA-4CDC-9CE4-7B430F7A8886}"/>
    <hyperlink ref="F2472" r:id="rId946" display="MSI1H_HUMAN|O43347" xr:uid="{AB0E2D73-B3D3-4C41-90EA-8902F71E8250}"/>
    <hyperlink ref="F2473" r:id="rId947" display="NCBP2_HUMAN|P52298;NCBP2_HUMAN|P52298-2;NCBP2_HUMAN|P52298-3" xr:uid="{6BFA0446-2DF8-4209-800A-AF8E7F1D5C9B}"/>
    <hyperlink ref="F2474" r:id="rId948" display="PABP2_HUMAN|Q86U42;PABP2_HUMAN|Q86U42-2" xr:uid="{CCCD539B-9308-405D-B35B-C23C490648C5}"/>
    <hyperlink ref="F2475" r:id="rId949" display="PABP2_HUMAN|Q86U42;PABP2_HUMAN|Q86U42-2" xr:uid="{8B995040-678C-469B-B160-E4586BDC279B}"/>
    <hyperlink ref="F2479" r:id="rId950" display="PSPC1_HUMAN|Q8WXF1" xr:uid="{CC3EBF8B-302A-4D78-8FD1-3D5A3C3501A5}"/>
    <hyperlink ref="F2480" r:id="rId951" display="PSPC1_HUMAN|Q8WXF1" xr:uid="{A809B924-4DF0-4779-8126-F177DFE12833}"/>
    <hyperlink ref="F2481" r:id="rId952" display="PSPC1_HUMAN|Q8WXF1" xr:uid="{ECA1FE48-DAA6-4922-A132-8E9915030891}"/>
    <hyperlink ref="F2482" r:id="rId953" display="PSPC1_HUMAN|Q8WXF1" xr:uid="{BFB0A9F6-6F45-46B9-969A-05AF70352B87}"/>
    <hyperlink ref="C2179" r:id="rId954" display="PUM2;PUM2 iso 2;PUM2 iso 3;PUM2 iso 4" xr:uid="{E44E4AD0-6E8B-44CF-9708-D844EC30879D}"/>
    <hyperlink ref="F2483" r:id="rId955" display="PUM2_HUMAN|Q8TB72;PUM2_HUMAN|Q8TB72-2;PUM2_HUMAN|Q8TB72-3;PUM2_HUMAN|Q8TB72-4" xr:uid="{706CA6CA-C04E-4F79-8A37-8DC2D1E024C1}"/>
    <hyperlink ref="C2180" r:id="rId956" display="PUM2;PUM2 iso 2;PUM2 iso 3;PUM2 iso 4" xr:uid="{91EA9FA2-F1E0-422F-80F1-A5D34081953D}"/>
    <hyperlink ref="F2484" r:id="rId957" display="PUM2_HUMAN|Q8TB72;PUM2_HUMAN|Q8TB72-2;PUM2_HUMAN|Q8TB72-3;PUM2_HUMAN|Q8TB72-4" xr:uid="{496455A3-8DB3-4F48-950F-DC0EAACB5652}"/>
    <hyperlink ref="F2485" r:id="rId958" display="SAFB2_HUMAN|Q14151" xr:uid="{E0F2E37C-6CB9-4EBC-A3FA-A8F21BF32CC1}"/>
    <hyperlink ref="F2488" r:id="rId959" display="PAIRB_HUMAN|Q8NC51;PAIRB_HUMAN|Q8NC51-2" xr:uid="{33D7E31E-6E6B-4B41-A592-AFB253752AA3}"/>
    <hyperlink ref="F2489" r:id="rId960" display="PAIRB_HUMAN|Q8NC51;PAIRB_HUMAN|Q8NC51-2" xr:uid="{55017779-E07C-4880-8967-CBE7C0DA2B31}"/>
    <hyperlink ref="F2490" r:id="rId961" display="PAIRB_HUMAN|Q8NC51-3;PAIRB_HUMAN|Q8NC51-4;PAIRB_HUMAN|Q8NC51;PAIRB_HUMAN|Q8NC51-2" xr:uid="{E36B9DDC-ECCC-4351-A01C-311CC02DF326}"/>
    <hyperlink ref="F2492" r:id="rId962" display="PAIRB_HUMAN|Q8NC51-3;PAIRB_HUMAN|Q8NC51-4;PAIRB_HUMAN|Q8NC51;PAIRB_HUMAN|Q8NC51-2" xr:uid="{08229334-5701-409F-8AD8-7CEBF79DC43A}"/>
    <hyperlink ref="F2493" r:id="rId963" display="SFPQ_HUMAN|P23246" xr:uid="{962CA887-C6DA-4985-89CF-28CE3B28F06F}"/>
    <hyperlink ref="F2494" r:id="rId964" display="SFPQ_HUMAN|P23246" xr:uid="{CED7669B-9B96-4CB4-82B3-BA223F4991A3}"/>
    <hyperlink ref="F2496" r:id="rId965" display="SFPQ_HUMAN|P23246" xr:uid="{89997E81-B4DD-40AE-90AD-04056017F510}"/>
    <hyperlink ref="F2497" r:id="rId966" display="SFPQ_HUMAN|P23246" xr:uid="{489A5824-F0E2-4D22-8566-CCB3C09EE532}"/>
    <hyperlink ref="F2498" r:id="rId967" display="SFPQ_HUMAN|P23246" xr:uid="{D78C70FA-2BA6-4286-8837-B4569EAA53E0}"/>
    <hyperlink ref="F2499" r:id="rId968" display="SFPQ_HUMAN|P23246" xr:uid="{7BA84C43-B55E-4AD0-927A-77DE805D71A3}"/>
    <hyperlink ref="F2501" r:id="rId969" display="SFPQ_HUMAN|P23246" xr:uid="{DBE29C6D-6495-44B8-A2CC-2C0555B24ACE}"/>
    <hyperlink ref="F2502" r:id="rId970" display="SFPQ_HUMAN|P23246" xr:uid="{2FE794F2-7FD9-4918-8076-13B221E6FE84}"/>
    <hyperlink ref="F2503" r:id="rId971" display="SFPQ_HUMAN|P23246" xr:uid="{FBC43674-3587-4149-B9AD-EA0243807721}"/>
    <hyperlink ref="F2504" r:id="rId972" display="SFPQ_HUMAN|P23246" xr:uid="{B3F9AB27-E4EC-4CA8-BD8B-59E7523474BE}"/>
    <hyperlink ref="F2509" r:id="rId973" display="SFPQ_HUMAN|P23246" xr:uid="{07F092FA-0CFE-4061-BD25-B06EB196F51E}"/>
    <hyperlink ref="F2510" r:id="rId974" display="SFPQ_HUMAN|P23246" xr:uid="{FD837993-E60C-48FF-82A7-03CCD8552267}"/>
    <hyperlink ref="F2514" r:id="rId975" display="SFPQ_HUMAN|P23246" xr:uid="{C439D741-0590-4397-B0E8-222A6740B7F2}"/>
    <hyperlink ref="F2516" r:id="rId976" display="SFPQ_HUMAN|P23246;SFPQ_HUMAN|P23246-2" xr:uid="{3DEE904C-83E6-4193-93EF-7D9E421C018F}"/>
    <hyperlink ref="F2517" r:id="rId977" display="SFPQ_HUMAN|P23246;SFPQ_HUMAN|P23246-2" xr:uid="{DF1EAC59-8968-405A-A0A6-43CB3631F546}"/>
    <hyperlink ref="F2518" r:id="rId978" display="SFPQ_HUMAN|P23246;SFPQ_HUMAN|P23246-2" xr:uid="{18829796-785B-429A-89C0-E4FEC6BD725D}"/>
    <hyperlink ref="F2519" r:id="rId979" display="SFPQ_HUMAN|P23246;SFPQ_HUMAN|P23246-2" xr:uid="{990482C4-767D-4F36-8630-5DE4F799FDBD}"/>
    <hyperlink ref="F2521" r:id="rId980" display="SFPQ_HUMAN|P23246;SFPQ_HUMAN|P23246-2" xr:uid="{D91D2852-BB44-4B69-8367-06873E8263F2}"/>
    <hyperlink ref="F2523" r:id="rId981" display="RSMB_HUMAN|P14678;RSMB_HUMAN|P14678-2;RSMB_HUMAN|P14678-3" xr:uid="{2D474A8D-0AE6-4FAE-B441-DC46EC200FD7}"/>
    <hyperlink ref="F2524" r:id="rId982" display="RSMB_HUMAN|P14678;RSMB_HUMAN|P14678-2;RSMB_HUMAN|P14678-3" xr:uid="{C2A1EB4E-AD97-470B-8FDA-EF374B0B64FC}"/>
    <hyperlink ref="F2525" r:id="rId983" display="RSMB_HUMAN|P14678;RSMB_HUMAN|P14678-2;RSMB_HUMAN|P14678-3" xr:uid="{D9771D73-339D-4A3B-899F-0D2FDF486ABB}"/>
    <hyperlink ref="F2526" r:id="rId984" display="RSMB_HUMAN|P14678;RSMB_HUMAN|P14678-2;RSMB_HUMAN|P14678-3;RSMN_HUMAN|P63162;RSMN_HUMAN|P63162-2" xr:uid="{372EA7A5-83A7-4C3F-97D4-295C49E88A3C}"/>
    <hyperlink ref="F2527" r:id="rId985" display="RSMB_HUMAN|P14678;RSMB_HUMAN|P14678-2;RSMB_HUMAN|P14678-3;RSMN_HUMAN|P63162;RSMN_HUMAN|P63162-2" xr:uid="{21C9DDC4-9323-47EE-96C5-BAB727B9E577}"/>
    <hyperlink ref="F2528" r:id="rId986" display="RSMB_HUMAN|P14678;RSMB_HUMAN|P14678-2;RSMB_HUMAN|P14678-3;RSMN_HUMAN|P63162;RSMN_HUMAN|P63162-2" xr:uid="{0532BDFB-4069-44D6-886E-353D38628AC1}"/>
    <hyperlink ref="C2235" r:id="rId987" display="TDP43;TDP43 iso 4" xr:uid="{19CC8D7C-AD3D-4E6D-AEED-52870D73DB47}"/>
    <hyperlink ref="C2237" r:id="rId988" display="TDP43;TDP43 iso 4" xr:uid="{BBB19B21-BF8A-4BF2-A66B-B98A8C19BBBB}"/>
    <hyperlink ref="C2323" r:id="rId989" xr:uid="{9AE77ADF-A754-4439-80A2-1A1386D1C6A6}"/>
    <hyperlink ref="C2384" r:id="rId990" display="SPT5;SPT5 iso 2" xr:uid="{CD268EDC-9B19-41D0-915B-996D12A9A861}"/>
    <hyperlink ref="C2385" r:id="rId991" display="TP53B;TP53B iso 2;TP53B iso 3" xr:uid="{325E0F82-3BFC-4E54-AC5C-D5D608B0C757}"/>
    <hyperlink ref="F1169" r:id="rId992" display="AHNK_HUMAN|Q09666" xr:uid="{12FDBCEF-DDCA-4FCF-BFC3-B6CC2E903E1E}"/>
    <hyperlink ref="F1171" r:id="rId993" display="NEBL_HUMAN|O76041-2;NEBL_HUMAN|O76041" xr:uid="{D280AF52-8E01-4DAE-BAF4-9DE43BD33F9C}"/>
    <hyperlink ref="F1176" r:id="rId994" display="TAGL_HUMAN|Q01995" xr:uid="{D01403C0-9FA8-4B98-8092-183F6AA3B1D2}"/>
    <hyperlink ref="F1178" r:id="rId995" display="WIPF1_HUMAN|O43516;WIPF1_HUMAN|O43516-2;WIPF1_HUMAN|O43516-3;WIPF1_HUMAN|O43516-4" xr:uid="{4FD9FFD9-8E8C-4EE2-AA5B-F68A795A6DEB}"/>
    <hyperlink ref="F1181" r:id="rId996" display="AKAP8_HUMAN|O43823" xr:uid="{35854AB7-C776-4452-A351-5F693E99E802}"/>
    <hyperlink ref="F1183" r:id="rId997" display="AKAP8_HUMAN|O43823" xr:uid="{C8DEAEC7-311D-40BC-8F1A-2A6EBB2B8FE7}"/>
    <hyperlink ref="F1185" r:id="rId998" display="AKAP8_HUMAN|O43823" xr:uid="{F4C6ECB3-5B71-4404-8B3E-F9AE172D1B98}"/>
    <hyperlink ref="F1194" r:id="rId999" display="AKAP8_HUMAN|O43823" xr:uid="{733F5350-7E39-4BE9-9B6F-9F084EBFD5E4}"/>
    <hyperlink ref="F1199" r:id="rId1000" display="AKP8L_HUMAN|Q9ULX6;AKP8L_HUMAN|Q9ULX6-2" xr:uid="{8429C86B-474F-4E8D-B404-473305DEE64F}"/>
    <hyperlink ref="F1200" r:id="rId1001" display="AKP8L_HUMAN|Q9ULX6;AKP8L_HUMAN|Q9ULX6-2" xr:uid="{123700D8-25FD-4B62-A934-6A2510856C18}"/>
    <hyperlink ref="F1217" r:id="rId1002" display="SPKAP_HUMAN|Q2M3C7;SPKAP_HUMAN|Q2M3C7-2" xr:uid="{02C80E5F-6B58-4EE7-99E8-965DD479E684}"/>
    <hyperlink ref="F1239" r:id="rId1003" display="SDK2_HUMAN|Q58EX2;SDK2_HUMAN|Q58EX2-2;SDK2_HUMAN|Q58EX2-3;SDK2_HUMAN|Q58EX2-4" xr:uid="{FE5CB96F-57E1-467F-8AD3-E3793B87C5B2}"/>
    <hyperlink ref="F1242" r:id="rId1004" display="BAG4_HUMAN|O95429;BAG4_HUMAN|O95429-2" xr:uid="{573A0697-A3F6-48A6-A7F1-F2B62CE99390}"/>
    <hyperlink ref="F1244" r:id="rId1005" display="IASPP_HUMAN|Q8WUF5" xr:uid="{1ECFAADF-1E59-4D41-8C31-0DAA1487652A}"/>
    <hyperlink ref="F1245" r:id="rId1006" display="IASPP_HUMAN|Q8WUF5" xr:uid="{95FD7D97-5EBD-4938-8E8E-D591BFEB6DF9}"/>
    <hyperlink ref="F1248" r:id="rId1007" display="ATG2A_HUMAN|Q2TAZ0-5" xr:uid="{EEFE2239-655F-41A1-8610-C3178A230A52}"/>
    <hyperlink ref="F1250" r:id="rId1008" display="ZBT10_HUMAN|Q96DT7;ZBT10_HUMAN|Q96DT7-2" xr:uid="{0206170D-7C08-4F1B-B948-8D1EFE3D9280}"/>
    <hyperlink ref="F1252" r:id="rId1009" display="ZN703_HUMAN|Q9H7S9" xr:uid="{B065646C-0232-4962-BF40-7361DEA13A78}"/>
    <hyperlink ref="C1254" r:id="rId1010" xr:uid="{7FBE51DA-62FB-437B-92B1-691E6D64F8E7}"/>
    <hyperlink ref="F1254" r:id="rId1011" display="CUL1_HUMAN|Q13616" xr:uid="{2B8C94BE-8E1E-49E9-8606-FB1F5245371E}"/>
    <hyperlink ref="F1256" r:id="rId1012" display="DDX3X_HUMAN|O00571;DDX3X_HUMAN|O00571-2" xr:uid="{B38BF345-F1B6-4136-94B3-36EE2F0D4DA6}"/>
    <hyperlink ref="F1264" r:id="rId1013" display="CAPR1_HUMAN|Q14444;CAPR1_HUMAN|Q14444-2" xr:uid="{6BF58872-C268-49A8-BBF4-CC399A72AA12}"/>
    <hyperlink ref="F1265" r:id="rId1014" display="CAPR1_HUMAN|Q14444;CAPR1_HUMAN|Q14444-2" xr:uid="{16BD1D54-46A6-41F0-A60E-ED6E3667501A}"/>
    <hyperlink ref="F1267" r:id="rId1015" display="CAPR1_HUMAN|Q14444;CAPR1_HUMAN|Q14444-2" xr:uid="{4EF15549-0E12-4C6A-953B-B4B1C230F3F6}"/>
    <hyperlink ref="F1269" r:id="rId1016" display="CAPR1_HUMAN|Q14444;CAPR1_HUMAN|Q14444-2" xr:uid="{0EEB303E-8CB9-4524-A0F2-0F1E188A6EAA}"/>
    <hyperlink ref="F1270" r:id="rId1017" display="CAPR1_HUMAN|Q14444;CAPR1_HUMAN|Q14444-2" xr:uid="{DAF17909-76B1-4FA0-841B-58886881B41A}"/>
    <hyperlink ref="F1271" r:id="rId1018" display="CAPR1_HUMAN|Q14444;CAPR1_HUMAN|Q14444-2" xr:uid="{6E6F621C-E059-4E6B-B473-176DE2541EB2}"/>
    <hyperlink ref="F1274" r:id="rId1019" display="CAPR1_HUMAN|Q14444;CAPR1_HUMAN|Q14444-2" xr:uid="{FED7F2FE-2172-45BF-B676-8DD7D29D2BC0}"/>
    <hyperlink ref="B1290" r:id="rId1020" xr:uid="{A50B4CA1-42FB-4FD5-B3E0-07410F28272E}"/>
    <hyperlink ref="C1290" r:id="rId1021" xr:uid="{DCCB01F2-98D2-46E4-8D54-9FB0D9FB46B5}"/>
    <hyperlink ref="F1290" r:id="rId1022" display="HSPB1_HUMAN|P04792" xr:uid="{C999B1C8-E650-4F96-89D3-5214E2C5E1FB}"/>
    <hyperlink ref="B1291" r:id="rId1023" xr:uid="{F3F54B93-126C-449B-B88B-6AC415DA5C51}"/>
    <hyperlink ref="C1291" r:id="rId1024" xr:uid="{9D0B7AAA-BA2E-4149-81DC-DB9F728F361E}"/>
    <hyperlink ref="F1291" r:id="rId1025" display="HSPB1_HUMAN|P04792" xr:uid="{C365559D-E905-4452-B6A2-8F9B0524975A}"/>
    <hyperlink ref="C1303" r:id="rId1026" xr:uid="{5CDCA92A-5AB2-4674-8336-832347D37F10}"/>
    <hyperlink ref="C1305" r:id="rId1027" xr:uid="{73A47A5A-6724-40BD-AB6F-0B9A87DF4164}"/>
    <hyperlink ref="C1313" r:id="rId1028" xr:uid="{0C87A03E-289F-4F39-B2F9-B77B4CDA99BA}"/>
    <hyperlink ref="C1368" r:id="rId1029" xr:uid="{F832A6C9-161C-4D63-B32A-02EF22B7073A}"/>
    <hyperlink ref="C1377" r:id="rId1030" xr:uid="{33480AAB-97EA-4E12-BA3D-B91238B6A1B9}"/>
    <hyperlink ref="C1383" r:id="rId1031" xr:uid="{F1493C42-1583-47C3-9A28-22DC0CC587D1}"/>
    <hyperlink ref="C1387" r:id="rId1032" xr:uid="{F86515E1-EE9F-490D-8103-40903FF2615A}"/>
    <hyperlink ref="C1393" r:id="rId1033" xr:uid="{928CC787-1C9D-4D4E-BD84-8008FA59F659}"/>
    <hyperlink ref="C1403" r:id="rId1034" xr:uid="{A89B3440-09D1-4586-AAEB-402B07FD04DD}"/>
    <hyperlink ref="F1640" r:id="rId1035" display="K1C19_HUMAN|P08727" xr:uid="{25B28FDA-13D1-46AF-A4E4-BF515C88364F}"/>
    <hyperlink ref="C1407" r:id="rId1036" xr:uid="{A9B7537C-318F-4CC6-A8AD-6595696C56D8}"/>
    <hyperlink ref="F1649" r:id="rId1037" display="K1C19_HUMAN|P08727" xr:uid="{3EE347EE-43E8-46B7-B972-26529D99DB47}"/>
    <hyperlink ref="C1420" r:id="rId1038" xr:uid="{53BF3DC5-DF26-439E-A69F-E68688ACBAB9}"/>
    <hyperlink ref="F1662" r:id="rId1039" display="K1C19_HUMAN|P08727" xr:uid="{666BB90E-A312-4442-A460-38A7C759C8E1}"/>
    <hyperlink ref="C1424" r:id="rId1040" display="CK6A;CK6B;CK6A" xr:uid="{F0717B46-FCB5-45B0-8129-9DBBFA89C408}"/>
    <hyperlink ref="F1669" r:id="rId1041" display="K2C6A_HUMAN|P02538;K2C6B_HUMAN|P04259;K2C6C_HUMAN|P48668" xr:uid="{5C1EB791-F869-4800-A6CA-8694DC7E50FF}"/>
    <hyperlink ref="F1677" r:id="rId1042" display="K2C8_HUMAN|P05787;K2C8_HUMAN|P05787-2" xr:uid="{0D7DFB53-9B37-4DD3-9FAE-A0F31F190460}"/>
    <hyperlink ref="F1678" r:id="rId1043" display="K2C8_HUMAN|P05787;K2C8_HUMAN|P05787-2" xr:uid="{506B737D-D79A-4AAF-B263-366CA6905548}"/>
    <hyperlink ref="F1680" r:id="rId1044" display="K2C8_HUMAN|P05787;K2C8_HUMAN|P05787-2" xr:uid="{2CEB6057-A973-4B44-B087-1685B8970E72}"/>
    <hyperlink ref="F1682" r:id="rId1045" display="K2C8_HUMAN|P05787;K2C8_HUMAN|P05787-2" xr:uid="{2CBB691E-D44F-44A6-8E19-16663CD23521}"/>
    <hyperlink ref="F1676" r:id="rId1046" display="K2C8_HUMAN|P05787;K2C8_HUMAN|P05787-2" xr:uid="{84DDF382-80D1-47CD-86FB-62EC4CE4FBEE}"/>
    <hyperlink ref="F1686" r:id="rId1047" display="K2C8_HUMAN|P05787;K2C8_HUMAN|P05787-2" xr:uid="{721FD415-3AC9-415D-98A9-2399932828E8}"/>
    <hyperlink ref="F1687" r:id="rId1048" display="K2C8_HUMAN|P05787;K2C8_HUMAN|P05787-2" xr:uid="{33E30D16-9388-4A49-B320-9D5EDCD7CBE4}"/>
    <hyperlink ref="F1697" r:id="rId1049" display="K2C8_HUMAN|P05787;K2C8_HUMAN|P05787-2" xr:uid="{42605720-CC04-413D-9F06-26FB62F92280}"/>
    <hyperlink ref="F1706" r:id="rId1050" display="K2C8_HUMAN|P05787;K2C8_HUMAN|P05787-2" xr:uid="{4B69F270-6CCD-412E-82D1-7FBFF082D67D}"/>
    <hyperlink ref="F1808" r:id="rId1051" display="K2C8_HUMAN|P05787;K2C8_HUMAN|P05787-2" xr:uid="{25544F2A-805C-46F6-8BF5-10CE139810FD}"/>
    <hyperlink ref="F1809" r:id="rId1052" display="K2C8_HUMAN|P05787;K2C8_HUMAN|P05787-2" xr:uid="{D68BA08A-9D80-44B4-9E22-F7856ECBE0C6}"/>
    <hyperlink ref="F1810" r:id="rId1053" display="K2C8_HUMAN|P05787;K2C8_HUMAN|P05787-2" xr:uid="{EBFDB3A2-A9A2-4159-AF20-4177C7FB43C9}"/>
    <hyperlink ref="F1814" r:id="rId1054" display="K2C8_HUMAN|P05787;K2C8_HUMAN|P05787-2" xr:uid="{77D87180-D90B-48FB-B93D-174C1BEF6906}"/>
    <hyperlink ref="F1815" r:id="rId1055" display="K2C8_HUMAN|P05787;K2C8_HUMAN|P05787-2" xr:uid="{10EE6E1B-4985-40F3-87FE-264EEC1EBC70}"/>
    <hyperlink ref="F1817" r:id="rId1056" display="K2C8_HUMAN|P05787;K2C8_HUMAN|P05787-2" xr:uid="{8C404854-707E-41FD-8D4A-02B19D51DA6B}"/>
    <hyperlink ref="F1819" r:id="rId1057" display="K2C8_HUMAN|P05787;K2C8_HUMAN|P05787-2" xr:uid="{C72465D9-A0A7-4AF3-9288-108EEAD5E418}"/>
    <hyperlink ref="F1832" r:id="rId1058" display="K2C8_HUMAN|P05787;K2C8_HUMAN|P05787-2" xr:uid="{77A59272-2BE8-4D20-8915-CB34138D420F}"/>
    <hyperlink ref="F1833" r:id="rId1059" display="K2C8_HUMAN|P05787;K2C8_HUMAN|P05787-2" xr:uid="{654743AA-58DC-4ABD-961D-E02EA02CBDBE}"/>
    <hyperlink ref="F1837" r:id="rId1060" display="K2C8_HUMAN|P05787;K2C8_HUMAN|P05787-2" xr:uid="{72205863-BD08-44C8-A79E-601824611672}"/>
    <hyperlink ref="F1838" r:id="rId1061" display="K2C8_HUMAN|P05787;K2C8_HUMAN|P05787-2" xr:uid="{5F988C52-E61D-4470-B06F-CE8C3F7C2787}"/>
    <hyperlink ref="C1615" r:id="rId1062" xr:uid="{9AC7FAB7-0D19-45FD-98D1-3BEC8449B69E}"/>
    <hyperlink ref="F1841" r:id="rId1063" display="LMNB1_HUMAN|P20700" xr:uid="{7DB4F190-7CDF-49A4-9274-2B2F93F6F04E}"/>
    <hyperlink ref="F1846" r:id="rId1064" display="TAGL2_HUMAN|P37802;TAGL2_HUMAN|P37802-2" xr:uid="{2BD605EA-46A7-46FF-8411-10795543DAE1}"/>
    <hyperlink ref="F1847" r:id="rId1065" display="TAGL2_HUMAN|P37802;TAGL2_HUMAN|P37802-2" xr:uid="{0B4E6DB6-783E-4A34-870E-0B7330158062}"/>
    <hyperlink ref="C1635" r:id="rId1066" display="RSTS;RSTS iso 2" xr:uid="{3C1091BA-0121-4592-89A1-3B13BB23AAC5}"/>
    <hyperlink ref="F1862" r:id="rId1067" display="CBP_HUMAN|Q92793;CBP_HUMAN|Q92793-2" xr:uid="{F5E3592E-F53A-4C04-BB71-8D30A36F3653}"/>
    <hyperlink ref="F1865" r:id="rId1068" display="CRIP1_HUMAN|P50238" xr:uid="{6C5EA574-5EFF-4346-BA3C-7D7AAE80EB46}"/>
    <hyperlink ref="F1866" r:id="rId1069" display="CRIP1_HUMAN|P50238" xr:uid="{F54280A5-28E3-4B3A-BCEE-F70D6FDF6727}"/>
    <hyperlink ref="F1867" r:id="rId1070" display="CRIP1_HUMAN|P50238" xr:uid="{BAD16B53-9483-4057-AA4F-835173993909}"/>
    <hyperlink ref="F1868" r:id="rId1071" display="CRIP1_HUMAN|P50238" xr:uid="{0184A7C0-BFAA-4AAE-AD6E-4BA247AED64C}"/>
    <hyperlink ref="F1880" r:id="rId1072" display="FUS_HUMAN|P35637;FUS_HUMAN|P35637-2" xr:uid="{9511C705-FBAD-49D4-949C-B89EC6D9D3A9}"/>
    <hyperlink ref="F1886" r:id="rId1073" display="HNRPU_HUMAN|Q00839;HNRPU_HUMAN|Q00839-2" xr:uid="{09B222FB-35C2-4C2B-9CC8-20A030A8D028}"/>
    <hyperlink ref="F1892" r:id="rId1074" display="PRR12_HUMAN|Q9ULL5;PRR12_HUMAN|Q9ULL5-2;PRR12_HUMAN|Q9ULL5-3" xr:uid="{4A256924-72D9-488C-948A-F5D89781127A}"/>
    <hyperlink ref="F1894" r:id="rId1075" display="PURB_HUMAN|Q96QR8" xr:uid="{C530ECCA-145F-47CB-911F-0E774902ADEF}"/>
    <hyperlink ref="F1897" r:id="rId1076" display="SAFB1_HUMAN|Q15424;SAFB1_HUMAN|Q15424-2;SAFB1_HUMAN|Q15424-3;SAFB1_HUMAN|Q15424-4" xr:uid="{7BB726D1-FA35-4554-8DD8-25162AEC6BE2}"/>
    <hyperlink ref="F1900" r:id="rId1077" display="ZN451_HUMAN|Q9Y4E5;ZN451_HUMAN|Q9Y4E5-2" xr:uid="{6E2B1AE6-97F0-4E0C-A16B-7F47EAF9BC20}"/>
    <hyperlink ref="F1902" r:id="rId1078" display="ZN638_HUMAN|Q14966;ZN638_HUMAN|Q14966-3;ZN638_HUMAN|Q14966-5" xr:uid="{41CF31F3-2A88-4784-AF73-79BCAE2D918C}"/>
    <hyperlink ref="F1904" r:id="rId1079" display="CTF8A_HUMAN|P0CG12" xr:uid="{D8CABE1E-4BF6-4C7B-81BC-3EE9E263B867}"/>
    <hyperlink ref="F1909" r:id="rId1080" display="CTF8A_HUMAN|P0CG12" xr:uid="{7CB50AC7-C73F-4CD6-96F5-3D3732BC6E64}"/>
    <hyperlink ref="F1950" r:id="rId1081" display="DHX33_HUMAN|Q9H6R0" xr:uid="{491E3D88-EB2F-4B10-80DE-B2C83F6A4C0F}"/>
    <hyperlink ref="C1706" r:id="rId1082" display="KARS;KARS iso 2" xr:uid="{0D67680B-8DBA-4D49-9F3B-C745EC9D9867}"/>
    <hyperlink ref="F1982" r:id="rId1083" display="NUCL_HUMAN|P19338" xr:uid="{3D1D15DF-D9D2-43AA-9A16-3B638F4AA6A8}"/>
    <hyperlink ref="F1984" r:id="rId1084" display="TBC9B_HUMAN|Q66K14;TBC9B_HUMAN|Q66K14-2" xr:uid="{6062D098-1DC9-48EE-AEA5-3EAD6C021A10}"/>
    <hyperlink ref="F1985" r:id="rId1085" display="TMCO4_HUMAN|Q5TGY1;TMCO4_HUMAN|Q5TGY1-2" xr:uid="{91D2D315-0AC0-4C72-B0F5-BDB11E0D06C3}"/>
    <hyperlink ref="F1987" r:id="rId1086" display="TM214_HUMAN|Q6NUQ4;TM214_HUMAN|Q6NUQ4-2" xr:uid="{6743506C-C105-4AFC-B1B0-B8694CA50B48}"/>
    <hyperlink ref="F1997" r:id="rId1087" display="MTCH1_HUMAN|Q9NZJ7;MTCH1_HUMAN|Q9NZJ7-2;RRP36_HUMAN|Q96EU6;RRP36_HUMAN|Q96EU6-2" xr:uid="{1B9DCE3F-3280-4942-862F-E7DFE3437206}"/>
    <hyperlink ref="F1999" r:id="rId1088" display="PLAL1_HUMAN|Q9UM63;PLAL1_HUMAN|Q9UM63-2" xr:uid="{071B73B1-614A-4C92-A37E-06B6DE182E24}"/>
    <hyperlink ref="F2011" r:id="rId1089" display="HXK2_HUMAN|P52789" xr:uid="{7D68D363-248E-4D8E-926B-ACF6C29DF537}"/>
    <hyperlink ref="F2012" r:id="rId1090" display="TLL2_HUMAN|Q9Y6L7" xr:uid="{B1922705-3445-4777-A697-594037DFFE6F}"/>
    <hyperlink ref="F2019" r:id="rId1091" display="A1CF_HUMAN|Q9NQ94;A1CF_HUMAN|Q9NQ94-2;A1CF_HUMAN|Q9NQ94-3;A1CF_HUMAN|Q9NQ94-4;A1CF_HUMAN|Q9NQ94-5;A1CF_HUMAN|Q9NQ94-6" xr:uid="{415E5BC9-B516-4B3D-968B-5FE10426E7C4}"/>
    <hyperlink ref="F2041" r:id="rId1092" display="DHX9_HUMAN|Q08211;DHX9_HUMAN|Q08211-2" xr:uid="{28D45D9C-6383-406B-A3E5-4D5F1DA4BA00}"/>
    <hyperlink ref="F2051" r:id="rId1093" display="EWS_HUMAN|Q01844;EWS_HUMAN|Q01844-2;EWS_HUMAN|Q01844-3;EWS_HUMAN|Q01844-5;EWS_HUMAN|Q01844-6" xr:uid="{A21E4B26-4AAE-422E-A3C5-1C6210D54EA7}"/>
    <hyperlink ref="F2054" r:id="rId1094" display="EWS_HUMAN|Q01844;EWS_HUMAN|Q01844-2;EWS_HUMAN|Q01844-3;EWS_HUMAN|Q01844-5;EWS_HUMAN|Q01844-6" xr:uid="{786E695C-300A-4CE8-BAB8-61093DFC4F48}"/>
    <hyperlink ref="F2056" r:id="rId1095" display="EWS_HUMAN|Q01844;EWS_HUMAN|Q01844-2;EWS_HUMAN|Q01844-3;EWS_HUMAN|Q01844-5;EWS_HUMAN|Q01844-6" xr:uid="{C7DB2386-D5C3-49FD-B662-C7074A9B05D9}"/>
    <hyperlink ref="B1785" r:id="rId1096" display="HNRNPA1" xr:uid="{C7AD9CC3-7B78-4F70-9015-6BD31BD22F5E}"/>
    <hyperlink ref="C1785" r:id="rId1097" display="ROA1" xr:uid="{4DB6026E-BD3D-4C85-8FC4-C828D651172C}"/>
    <hyperlink ref="F2062" r:id="rId1098" display="ROA1_HUMAN|P09651" xr:uid="{63E36AB8-63E0-490A-8001-14ED3A355B16}"/>
    <hyperlink ref="B1786" r:id="rId1099" display="HNRNPA1" xr:uid="{8C4BA926-6F61-40CB-91D7-12B8B62DA6A3}"/>
    <hyperlink ref="C1786" r:id="rId1100" display="ROA1" xr:uid="{46A78752-6329-4969-AA4B-8D8C8BB1FD1A}"/>
    <hyperlink ref="F2063" r:id="rId1101" display="ROA1_HUMAN|P09651-2" xr:uid="{4BAAFA0E-D6C2-419A-BBDE-578D7D24FD08}"/>
    <hyperlink ref="B1787" r:id="rId1102" xr:uid="{4CB33BCE-ACD8-4CEA-86E3-94C30AE67BC3}"/>
    <hyperlink ref="C1787" r:id="rId1103" xr:uid="{5D952079-5C89-4547-97B0-C95B9332C690}"/>
    <hyperlink ref="F2064" r:id="rId1104" display="ROA1_HUMAN|P09651-2" xr:uid="{BDC511EC-AFFF-4E34-B8B3-28128DBDB0D8}"/>
    <hyperlink ref="B1788" r:id="rId1105" xr:uid="{72C97A95-7715-4FA4-A172-BCAA9A52F666}"/>
    <hyperlink ref="C1788" r:id="rId1106" xr:uid="{CCE33B90-49F2-4B81-BD38-974C0DD65856}"/>
    <hyperlink ref="F2065" r:id="rId1107" display="ROA1_HUMAN|P09651-2" xr:uid="{FEFC1F72-33D7-43F3-8AFC-3A1465D6B4B0}"/>
    <hyperlink ref="B1790" r:id="rId1108" xr:uid="{75E007CA-14F0-412A-AE01-446C242201DA}"/>
    <hyperlink ref="C1790" r:id="rId1109" xr:uid="{6202FE6C-E820-4571-A486-C89D08047410}"/>
    <hyperlink ref="F2067" r:id="rId1110" display="ROA1_HUMAN|P09651-2" xr:uid="{8B974545-44DB-4139-AB40-BBCEB4784FC2}"/>
    <hyperlink ref="B1791" r:id="rId1111" xr:uid="{C0D962B7-B057-4F16-AF88-14EDAB1D1A33}"/>
    <hyperlink ref="C1791" r:id="rId1112" xr:uid="{5552654B-D11F-48DE-B02A-AAE31A87E1CD}"/>
    <hyperlink ref="F2068" r:id="rId1113" display="ROA1_HUMAN|P09651-2" xr:uid="{66961803-2398-460F-9C7A-E573DCF95D56}"/>
    <hyperlink ref="B1796" r:id="rId1114" display="HNRNPA1;HNRNPA1" xr:uid="{81150555-C654-4D7D-9FB2-64DCE4E9D696}"/>
    <hyperlink ref="C1796" r:id="rId1115" display="ROA1 iso 2;ROA1" xr:uid="{28A9143A-81D7-4937-84D9-69CEE563F9CC}"/>
    <hyperlink ref="F2073" r:id="rId1116" display="ROA1_HUMAN|P09651-2;ROA1_HUMAN|P09651" xr:uid="{6DF895A3-1B15-4A0D-A7CA-945B65E37C11}"/>
    <hyperlink ref="F2079" r:id="rId1117" display="ROA1_HUMAN|P09651-2;ROA1_HUMAN|P09651" xr:uid="{01C0FCAE-BEB6-4FD7-B698-38B71CB19DF8}"/>
    <hyperlink ref="F2085" r:id="rId1118" display="ROA2_HUMAN|P22626;ROA2_HUMAN|P22626-2" xr:uid="{790C36AD-D624-44AC-AA6B-2B3DE2FDF497}"/>
    <hyperlink ref="F2089" r:id="rId1119" display="ROA2_HUMAN|P22626;ROA2_HUMAN|P22626-2" xr:uid="{33786274-07A8-41F6-B0AF-D16757D0899B}"/>
    <hyperlink ref="F2090" r:id="rId1120" display="ROA2_HUMAN|P22626;ROA2_HUMAN|P22626-2" xr:uid="{73CEB508-B23E-4BA7-AD8A-66D54203B58C}"/>
    <hyperlink ref="F2091" r:id="rId1121" display="ROA2_HUMAN|P22626;ROA2_HUMAN|P22626-2" xr:uid="{BF79262B-45D6-4D25-94AF-52F0D82179E4}"/>
    <hyperlink ref="F2092" r:id="rId1122" display="ROA2_HUMAN|P22626;ROA2_HUMAN|P22626-2" xr:uid="{B0D0CC8B-1AF6-4473-966A-88CE2F59C303}"/>
    <hyperlink ref="F2093" r:id="rId1123" display="ROA2_HUMAN|P22626;ROA2_HUMAN|P22626-2" xr:uid="{5D57ED02-D6F9-4CD7-B6C9-15FA0E8AD987}"/>
    <hyperlink ref="F2094" r:id="rId1124" display="ROA2_HUMAN|P22626;ROA2_HUMAN|P22626-2" xr:uid="{8253151D-945F-43BB-B6E2-62AF4A610F22}"/>
    <hyperlink ref="F2095" r:id="rId1125" display="ROA2_HUMAN|P22626;ROA2_HUMAN|P22626-2" xr:uid="{5EAFF40A-9FD9-421E-ACEB-573048853187}"/>
    <hyperlink ref="F2096" r:id="rId1126" display="ROA2_HUMAN|P22626;ROA2_HUMAN|P22626-2" xr:uid="{70FEE67E-7F20-4584-9DD5-0FE1D2ED9BE6}"/>
    <hyperlink ref="F2097" r:id="rId1127" display="ROA2_HUMAN|P22626;ROA2_HUMAN|P22626-2" xr:uid="{48A640A9-B097-430A-B45B-6658731DB867}"/>
    <hyperlink ref="F2101" r:id="rId1128" display="ROA2_HUMAN|P22626;ROA2_HUMAN|P22626-2" xr:uid="{EEE92162-1B80-4179-9741-B6E3E58BCA13}"/>
    <hyperlink ref="F2108" r:id="rId1129" display="ROA2_HUMAN|P22626;ROA2_HUMAN|P22626-2" xr:uid="{8AD385A5-5178-451A-ABD5-C8DCBC045235}"/>
    <hyperlink ref="F2109" r:id="rId1130" display="ROA2_HUMAN|P22626;ROA2_HUMAN|P22626-2" xr:uid="{4BF04F45-3058-43FD-BD46-9230DD1F7304}"/>
    <hyperlink ref="F2110" r:id="rId1131" display="ROA2_HUMAN|P22626;ROA2_HUMAN|P22626-2" xr:uid="{CEED2381-DBDC-46C8-9041-9732D5F21780}"/>
    <hyperlink ref="F2113" r:id="rId1132" display="ROA2_HUMAN|P22626;ROA2_HUMAN|P22626-2" xr:uid="{DA4F2CD9-F06F-4284-A435-7EBB987BC103}"/>
    <hyperlink ref="F2114" r:id="rId1133" display="ROA2_HUMAN|P22626;ROA2_HUMAN|P22626-2" xr:uid="{5CAD20E2-A790-41FB-B85D-B292A6BE304C}"/>
    <hyperlink ref="F2128" r:id="rId1134" display="ROA2_HUMAN|P22626;ROA2_HUMAN|P22626-2" xr:uid="{CEA62DE5-90ED-468E-8093-2A1AA9D36707}"/>
    <hyperlink ref="F2132" r:id="rId1135" display="ROA2_HUMAN|P22626;ROA2_HUMAN|P22626-2" xr:uid="{8B6E68DC-6B3E-42D5-B036-F419A6A99DED}"/>
    <hyperlink ref="F2133" r:id="rId1136" display="ROA2_HUMAN|P22626;ROA2_HUMAN|P22626-2" xr:uid="{9621F25B-3DD5-4325-97AC-9AC0803710FA}"/>
    <hyperlink ref="F2136" r:id="rId1137" display="ROA2_HUMAN|P22626;ROA2_HUMAN|P22626-2" xr:uid="{6CB0D90F-B25A-4281-A32E-9532304A17AE}"/>
    <hyperlink ref="F2176" r:id="rId1138" display="ROA2_HUMAN|P22626;ROA2_HUMAN|P22626-2" xr:uid="{A871C686-2137-4C47-8F33-A3CF5D5C719A}"/>
    <hyperlink ref="F2184" r:id="rId1139" display="ROA2_HUMAN|P22626;ROA2_HUMAN|P22626-2" xr:uid="{581C922C-7B6A-4050-BB99-2BB7AF4233B4}"/>
    <hyperlink ref="F2206" r:id="rId1140" display="ROA2_HUMAN|P22626;ROA2_HUMAN|P22626-2" xr:uid="{5E24A127-6AA8-4FD8-9D20-D47B44DC7A19}"/>
    <hyperlink ref="F2218" r:id="rId1141" display="ROA2_HUMAN|P22626;ROA2_HUMAN|P22626-2" xr:uid="{01D1B4F1-07C1-4ADA-B543-701FE6FA0CC0}"/>
    <hyperlink ref="F2225" r:id="rId1142" display="ROA2_HUMAN|P22626;ROA2_HUMAN|P22626-2" xr:uid="{F3F38286-7EF1-4D4C-9684-4D787EE35CDE}"/>
    <hyperlink ref="F2227" r:id="rId1143" display="ROA2_HUMAN|P22626;ROA2_HUMAN|P22626-2" xr:uid="{6D23FED6-7615-4A1C-98E2-D1007FFC3140}"/>
    <hyperlink ref="F2233" r:id="rId1144" display="ROA2_HUMAN|P22626;ROA2_HUMAN|P22626-2" xr:uid="{12401064-4CF4-4A0A-B218-E8150FA288E1}"/>
    <hyperlink ref="F2237" r:id="rId1145" display="ROA3_HUMAN|P51991;ROA3_HUMAN|P51991-2" xr:uid="{2CCFFF15-4095-44CD-990E-81E26A916108}"/>
    <hyperlink ref="F2244" r:id="rId1146" display="ROA3_HUMAN|P51991;ROA3_HUMAN|P51991-2" xr:uid="{239070B1-AC62-438E-AE6F-CAD509E98AE9}"/>
    <hyperlink ref="F2260" r:id="rId1147" display="HNRPD_HUMAN|Q14103-3;HNRPD_HUMAN|Q14103-4" xr:uid="{350640F6-0514-4107-A751-85C2D5905BF8}"/>
    <hyperlink ref="F2275" r:id="rId1148" display="HNRH1_HUMAN|P31943" xr:uid="{E925061E-9F5C-4A9B-BD4B-C78434F96597}"/>
    <hyperlink ref="F2279" r:id="rId1149" display="HNRH2_HUMAN|P55795" xr:uid="{4399E625-3722-4BA2-A7BE-0906297B9AC9}"/>
    <hyperlink ref="F2282" r:id="rId1150" display="HNRH3_HUMAN|P31942-2" xr:uid="{A2303C5E-41F6-43F2-9756-F9179BA85FFB}"/>
    <hyperlink ref="F2285" r:id="rId1151" display="HNRH3_HUMAN|P31942-2" xr:uid="{E4A6E2E6-8956-4DD8-B127-04401C6B8910}"/>
    <hyperlink ref="F2297" r:id="rId1152" display="HNRH3_HUMAN|P31942;HNRH3_HUMAN|P31942-3;HNRH3_HUMAN|P31942-2" xr:uid="{5CCEB261-1AE2-4876-9CD5-F799F25DD7DA}"/>
    <hyperlink ref="F2301" r:id="rId1153" display="HNRH3_HUMAN|P31942;HNRH3_HUMAN|P31942-3;HNRH3_HUMAN|P31942-4;HNRH3_HUMAN|P31942-2" xr:uid="{8A439C82-9250-42DE-8EA3-DCC92E30F72C}"/>
    <hyperlink ref="F2303" r:id="rId1154" display="HNRH3_HUMAN|P31942;HNRH3_HUMAN|P31942-3;HNRH3_HUMAN|P31942-4;HNRH3_HUMAN|P31942-2" xr:uid="{2D1EAA80-061A-40D5-B048-0900C5DA1638}"/>
    <hyperlink ref="F2304" r:id="rId1155" display="HNRH3_HUMAN|P31942;HNRH3_HUMAN|P31942-3;HNRH3_HUMAN|P31942-4;HNRH3_HUMAN|P31942-2" xr:uid="{6473E354-83A6-4571-945D-D3CFE3A6FD92}"/>
    <hyperlink ref="F2316" r:id="rId1156" display="HNRH3_HUMAN|P31942;HNRH3_HUMAN|P31942-3;HNRH3_HUMAN|P31942-4;HNRH3_HUMAN|P31942-2" xr:uid="{D88570B7-64A4-4695-B365-951ACEA753A0}"/>
    <hyperlink ref="F2339" r:id="rId1157" display="HNRH3_HUMAN|P31942;HNRH3_HUMAN|P31942-3;HNRH3_HUMAN|P31942-4;HNRH3_HUMAN|P31942-2" xr:uid="{77687AB7-6E67-400E-82A0-16907F840D06}"/>
    <hyperlink ref="F2340" r:id="rId1158" display="HNRH3_HUMAN|P31942;HNRH3_HUMAN|P31942-3;HNRH3_HUMAN|P31942-4;HNRH3_HUMAN|P31942-2" xr:uid="{7FEA4F87-9089-4DED-B300-CC34FCD0ACA9}"/>
    <hyperlink ref="F2346" r:id="rId1159" display="HNRH3_HUMAN|P31942;HNRH3_HUMAN|P31942-3;HNRH3_HUMAN|P31942-4;HNRH3_HUMAN|P31942-2" xr:uid="{04012B5C-CE8A-4A18-B35C-B05833A2D1AC}"/>
    <hyperlink ref="F2355" r:id="rId1160" display="HNRH3_HUMAN|P31942;HNRH3_HUMAN|P31942-3;HNRH3_HUMAN|P31942-4;HNRH3_HUMAN|P31942-2" xr:uid="{CDA94503-5A2D-4B5B-ADC1-95D5FBFDA1BB}"/>
    <hyperlink ref="F2356" r:id="rId1161" display="HNRH3_HUMAN|P31942;HNRH3_HUMAN|P31942-3;HNRH3_HUMAN|P31942-4;HNRH3_HUMAN|P31942-2" xr:uid="{60E01A4F-5AFC-4C44-BDF6-A1B8CCF56063}"/>
    <hyperlink ref="F2360" r:id="rId1162" display="HNRH3_HUMAN|P31942;HNRH3_HUMAN|P31942-3;HNRH3_HUMAN|P31942-4;HNRH3_HUMAN|P31942-2" xr:uid="{73FDB89E-41AF-4155-ADE7-CADA728EB6DC}"/>
    <hyperlink ref="F2371" r:id="rId1163" display="HNRH3_HUMAN|P31942;HNRH3_HUMAN|P31942-3;HNRH3_HUMAN|P31942-4;HNRH3_HUMAN|P31942-2" xr:uid="{ABC2DDF1-FCAB-4FA0-9787-93F5FCA06F11}"/>
    <hyperlink ref="F2384" r:id="rId1164" display="HNRH3_HUMAN|P31942;HNRH3_HUMAN|P31942-3;HNRH3_HUMAN|P31942-4;HNRH3_HUMAN|P31942-2" xr:uid="{75D01B32-0D49-495A-A93E-25A3F4409F97}"/>
    <hyperlink ref="F2388" r:id="rId1165" display="HNRH3_HUMAN|P31942;HNRH3_HUMAN|P31942-3;HNRH3_HUMAN|P31942-4;HNRH3_HUMAN|P31942-2" xr:uid="{D044439E-0767-4F10-A2FF-ADB97C849083}"/>
    <hyperlink ref="F2389" r:id="rId1166" display="HNRH3_HUMAN|P31942;HNRH3_HUMAN|P31942-3;HNRH3_HUMAN|P31942-4;HNRH3_HUMAN|P31942-2" xr:uid="{4C1503EE-10A1-472E-B733-B88F658B620B}"/>
    <hyperlink ref="F2393" r:id="rId1167" display="HNRH3_HUMAN|P31942;HNRH3_HUMAN|P31942-3;HNRH3_HUMAN|P31942-4;HNRH3_HUMAN|P31942-2" xr:uid="{42B740FA-04A1-4588-B9EC-CD0342E16F69}"/>
    <hyperlink ref="F2394" r:id="rId1168" display="HNRH3_HUMAN|P31942;HNRH3_HUMAN|P31942-3;HNRH3_HUMAN|P31942-4;HNRH3_HUMAN|P31942-2" xr:uid="{CB20375E-A175-4BED-8CC2-F0B00A6AF276}"/>
    <hyperlink ref="F2404" r:id="rId1169" display="HNRH3_HUMAN|P31942;HNRH3_HUMAN|P31942-3;HNRH3_HUMAN|P31942-4;HNRH3_HUMAN|P31942-2" xr:uid="{2F3CBFC1-0B6D-4280-AC23-E3427E7CEBB8}"/>
    <hyperlink ref="F2411" r:id="rId1170" display="HNRH3_HUMAN|P31942;HNRH3_HUMAN|P31942-3;HNRH3_HUMAN|P31942-4;HNRH3_HUMAN|P31942-2" xr:uid="{5F4447B1-51C5-4C60-AC8A-570296D701C4}"/>
    <hyperlink ref="F2413" r:id="rId1171" display="HNRH3_HUMAN|P31942;HNRH3_HUMAN|P31942-3;HNRH3_HUMAN|P31942-4;HNRH3_HUMAN|P31942-2" xr:uid="{AC512457-5F4A-4AB9-9C00-2871F05CAA47}"/>
    <hyperlink ref="F2416" r:id="rId1172" display="HNRH3_HUMAN|P31942;HNRH3_HUMAN|P31942-3;HNRH3_HUMAN|P31942-4;HNRH3_HUMAN|P31942-2" xr:uid="{75CD6008-63B9-42AB-9B3A-13A1AB397E6A}"/>
    <hyperlink ref="F2418" r:id="rId1173" display="HNRH3_HUMAN|P31942;HNRH3_HUMAN|P31942-3;HNRH3_HUMAN|P31942-4;HNRH3_HUMAN|P31942-2" xr:uid="{8BB545CA-1BD9-4834-A707-B384CFDF4275}"/>
    <hyperlink ref="F2426" r:id="rId1174" display="HNRH3_HUMAN|P31942;HNRH3_HUMAN|P31942-3;HNRH3_HUMAN|P31942-4;HNRH3_HUMAN|P31942-2" xr:uid="{A632097B-6C52-42A0-AC23-799A96E2D054}"/>
    <hyperlink ref="C2128" r:id="rId1175" display="TUNP;TUNP iso 2;TUNP iso 3" xr:uid="{9296695F-0988-4E2E-8872-04CA2293D5F6}"/>
    <hyperlink ref="F2428" r:id="rId1176" display="HNRPK_HUMAN|P61978;HNRPK_HUMAN|P61978-2;HNRPK_HUMAN|P61978-3" xr:uid="{5BD1B3B7-4C0D-4DBD-A826-06F4E8EA36EB}"/>
    <hyperlink ref="F2436" r:id="rId1177" display="HNRL2_HUMAN|Q1KMD3" xr:uid="{2970FFD4-1555-473E-A927-DCB59D28564C}"/>
    <hyperlink ref="F2439" r:id="rId1178" display="HNRL2_HUMAN|Q1KMD3" xr:uid="{1B241D55-455E-4CE6-922F-B2758E0DB203}"/>
    <hyperlink ref="C2154" r:id="rId1179" xr:uid="{4DA4315F-7FD3-43B0-8C0D-492701DB52C9}"/>
    <hyperlink ref="F2458" r:id="rId1180" display="FUBP2_HUMAN|Q92945" xr:uid="{445ABDC1-0BCC-44C7-854A-E859A9C3F1B3}"/>
    <hyperlink ref="C2157" r:id="rId1181" xr:uid="{449D237D-899E-439F-8BA9-36514A2AC099}"/>
    <hyperlink ref="F2461" r:id="rId1182" display="FUBP2_HUMAN|Q92945" xr:uid="{73A6D570-B4CA-41F0-95E4-4C1425591C6C}"/>
    <hyperlink ref="C2162" r:id="rId1183" xr:uid="{F5E46284-219B-4143-94B8-BA555BCB1F09}"/>
    <hyperlink ref="F2466" r:id="rId1184" display="FUBP2_HUMAN|Q92945" xr:uid="{62F19E1A-4E0F-4867-95A9-B0396BC993A1}"/>
    <hyperlink ref="F2476" r:id="rId1185" display="PABP2_HUMAN|Q86U42;PABP2_HUMAN|Q86U42-2" xr:uid="{5D0B1ED9-8B21-4C9F-AA9D-0A20EC7B3238}"/>
    <hyperlink ref="F2477" r:id="rId1186" display="PABP2_HUMAN|Q86U42;PABP2_HUMAN|Q86U42-2;B2CL2_HUMAN|Q92843-2" xr:uid="{B76D6E92-347A-44D1-9A29-3AF6E4ED9BEF}"/>
    <hyperlink ref="F2478" r:id="rId1187" display="PABP2_HUMAN|Q86U42;PABP2_HUMAN|Q86U42-2;B2CL2_HUMAN|Q92843-2" xr:uid="{32CADF22-74DD-43A4-BCB2-04D7A88CDEE6}"/>
    <hyperlink ref="F2486" r:id="rId1188" display="SAFB2_HUMAN|Q14151" xr:uid="{3EA8CC6B-8062-44BB-8D49-229F05A0FB68}"/>
    <hyperlink ref="F2487" r:id="rId1189" display="SAFB2_HUMAN|Q14151" xr:uid="{2A055E0E-803A-4137-A9CF-CE1850DBEEAA}"/>
    <hyperlink ref="F2491" r:id="rId1190" display="PAIRB_HUMAN|Q8NC51-3;PAIRB_HUMAN|Q8NC51-4;PAIRB_HUMAN|Q8NC51;PAIRB_HUMAN|Q8NC51-2" xr:uid="{BA21D8BE-92FC-4716-87CA-4AD99CB2EB08}"/>
    <hyperlink ref="F2495" r:id="rId1191" display="SFPQ_HUMAN|P23246" xr:uid="{54C72ED9-A462-453F-BEF8-9AB2C84D5C88}"/>
    <hyperlink ref="F2500" r:id="rId1192" display="SFPQ_HUMAN|P23246" xr:uid="{2681A595-7C47-4C64-9417-29C4C0C4E8A5}"/>
    <hyperlink ref="F2511" r:id="rId1193" display="SFPQ_HUMAN|P23246" xr:uid="{C989AD03-2948-4499-9F95-CDAD9556BB57}"/>
    <hyperlink ref="F2512" r:id="rId1194" display="SFPQ_HUMAN|P23246" xr:uid="{78CE88F6-BCBD-46DB-A2D9-5EA99C2C7A39}"/>
    <hyperlink ref="F2513" r:id="rId1195" display="SFPQ_HUMAN|P23246" xr:uid="{7373919C-78CD-46E8-87E7-0B4E95B17694}"/>
    <hyperlink ref="F2515" r:id="rId1196" display="SFPQ_HUMAN|P23246" xr:uid="{ADC4C422-FC43-4424-8FC8-B14F69806135}"/>
    <hyperlink ref="F2520" r:id="rId1197" display="SFPQ_HUMAN|P23246;SFPQ_HUMAN|P23246-2" xr:uid="{91610660-84FF-40DC-A2F5-7AE0FAA3637F}"/>
    <hyperlink ref="F2522" r:id="rId1198" display="SFPQ_HUMAN|P23246;SFPQ_HUMAN|P23246-2" xr:uid="{E69AC48B-25AE-4B0B-B3F4-1BD9E27D6012}"/>
    <hyperlink ref="C2236" r:id="rId1199" display="TDP43;TDP43 iso 4" xr:uid="{7BC69B9B-CD74-464B-A13A-BF063210688F}"/>
    <hyperlink ref="C2324" r:id="rId1200" xr:uid="{87C41F01-8E82-409A-AECD-143C2E12A8A5}"/>
    <hyperlink ref="F1177" r:id="rId1201" display="WIPF1_HUMAN|O43516;WIPF1_HUMAN|O43516-2;WIPF1_HUMAN|O43516-3;WIPF1_HUMAN|O43516-4" xr:uid="{DBF8F5D6-3CF8-4563-8C11-D32945827ABE}"/>
    <hyperlink ref="F1300" r:id="rId1202" display="K1C18_HUMAN|P05783" xr:uid="{5095515A-8D91-4468-8FB2-491B6683DE5B}"/>
    <hyperlink ref="F1301" r:id="rId1203" display="K1C18_HUMAN|P05783" xr:uid="{C48690EC-41AC-4A18-AC24-6E9571707EB4}"/>
    <hyperlink ref="F1302" r:id="rId1204" display="K1C18_HUMAN|P05783" xr:uid="{93A92657-8273-4473-B5FF-F98EA79BA93D}"/>
    <hyperlink ref="F1303" r:id="rId1205" display="K1C18_HUMAN|P05783" xr:uid="{3D9396DF-4C0A-4064-8DF0-5CA4D8DE3E2F}"/>
    <hyperlink ref="F1304" r:id="rId1206" display="K1C18_HUMAN|P05783" xr:uid="{3B17C26A-828A-4D5A-A142-3DFD5DFBA58C}"/>
    <hyperlink ref="F1305" r:id="rId1207" display="K1C18_HUMAN|P05783" xr:uid="{5C48771D-3EE4-4016-9018-CF9DFD72C9A5}"/>
    <hyperlink ref="F1306" r:id="rId1208" display="K1C18_HUMAN|P05783" xr:uid="{BA4D7C5E-4B50-4EE0-9B38-1A35DAB2865A}"/>
    <hyperlink ref="F1307" r:id="rId1209" display="K1C18_HUMAN|P05783" xr:uid="{E14F96C8-A2D4-4374-B235-8862FA7FF15C}"/>
    <hyperlink ref="F1308" r:id="rId1210" display="K1C18_HUMAN|P05783" xr:uid="{39F3CC3E-49FF-4D12-91BA-7565F1E2A7B6}"/>
    <hyperlink ref="F1309" r:id="rId1211" display="K1C18_HUMAN|P05783" xr:uid="{9F06FEF2-35B4-4757-A93E-A58F057DED37}"/>
    <hyperlink ref="F1310" r:id="rId1212" display="K1C18_HUMAN|P05783" xr:uid="{0DDB9A2B-3FE3-4F3F-B7A3-5F170775428D}"/>
    <hyperlink ref="F1311" r:id="rId1213" display="K1C18_HUMAN|P05783" xr:uid="{A8241687-25B8-4A00-8C1D-E33806D35F81}"/>
    <hyperlink ref="F1312" r:id="rId1214" display="K1C18_HUMAN|P05783" xr:uid="{4566DAA0-AA48-468B-83DF-A1F5A96D4AEC}"/>
    <hyperlink ref="F1313" r:id="rId1215" display="K1C18_HUMAN|P05783" xr:uid="{76E23CFB-AD8B-4BA7-A52B-3221A4C92B7B}"/>
    <hyperlink ref="F1314" r:id="rId1216" display="K1C18_HUMAN|P05783" xr:uid="{3E9EF81D-67D5-49FB-8379-803758DA8656}"/>
    <hyperlink ref="F1315" r:id="rId1217" display="K1C18_HUMAN|P05783" xr:uid="{FC4AB5A8-CD8C-473F-8EDC-C72A0267AE80}"/>
    <hyperlink ref="F1316" r:id="rId1218" display="K1C18_HUMAN|P05783" xr:uid="{5E9A0DF8-2874-406B-B116-249A14AAE599}"/>
    <hyperlink ref="F1317" r:id="rId1219" display="K1C18_HUMAN|P05783" xr:uid="{CB92290F-7118-4D46-BFD8-13B3E5889759}"/>
    <hyperlink ref="F1318" r:id="rId1220" display="K1C18_HUMAN|P05783" xr:uid="{70281264-94A5-4A18-8D41-1B309698EED8}"/>
    <hyperlink ref="F1319" r:id="rId1221" display="K1C18_HUMAN|P05783" xr:uid="{BF725E8B-3FB4-407E-9F11-DB3A746A6430}"/>
    <hyperlink ref="F1320" r:id="rId1222" display="K1C18_HUMAN|P05783" xr:uid="{AB75FC78-3F75-4B95-B815-DC2AFB97B5C8}"/>
    <hyperlink ref="F1321" r:id="rId1223" display="K1C18_HUMAN|P05783" xr:uid="{D37E00D6-2CD1-4ED4-B510-8B29AF593F0D}"/>
    <hyperlink ref="F1322" r:id="rId1224" display="K1C18_HUMAN|P05783" xr:uid="{828D2D03-72D6-45AE-A481-EA53E85D836B}"/>
    <hyperlink ref="F1323" r:id="rId1225" display="K1C18_HUMAN|P05783" xr:uid="{180676EA-BEF5-4AD0-9883-B283B3B0E627}"/>
    <hyperlink ref="F1324" r:id="rId1226" display="K1C18_HUMAN|P05783" xr:uid="{F1E06BAD-39CC-43B5-8484-ED9EB2488D0E}"/>
    <hyperlink ref="F1325" r:id="rId1227" display="K1C18_HUMAN|P05783" xr:uid="{634713B3-FE93-494C-B207-3DD343ECAE6F}"/>
    <hyperlink ref="F1326" r:id="rId1228" display="K1C18_HUMAN|P05783" xr:uid="{BA582837-F222-4704-A56C-00A80AE1B72B}"/>
    <hyperlink ref="F1327" r:id="rId1229" display="K1C18_HUMAN|P05783" xr:uid="{0106D07B-6767-46AA-9BEB-A6326F6C7CB8}"/>
    <hyperlink ref="F1328" r:id="rId1230" display="K1C18_HUMAN|P05783" xr:uid="{FD58FE27-F81D-4B77-89A8-4CAA88F32891}"/>
    <hyperlink ref="F1389" r:id="rId1231" display="K1C18_HUMAN|P05783" xr:uid="{6DAB6FF4-CC62-421E-9E11-A822E36CC508}"/>
    <hyperlink ref="F1390" r:id="rId1232" display="K1C18_HUMAN|P05783" xr:uid="{923D2C8F-6E1F-4233-8432-15AF2C5766D7}"/>
    <hyperlink ref="F1391" r:id="rId1233" display="K1C18_HUMAN|P05783" xr:uid="{BD030266-9218-468E-AC6D-E43E06826EE0}"/>
    <hyperlink ref="F1392" r:id="rId1234" display="K1C18_HUMAN|P05783" xr:uid="{A83B146B-A171-4EFE-8A63-F9DE58038223}"/>
    <hyperlink ref="F1393" r:id="rId1235" display="K1C18_HUMAN|P05783" xr:uid="{D5FDAA9A-EB48-4CE4-BC61-A17C9AAB95A9}"/>
    <hyperlink ref="F1394" r:id="rId1236" display="K1C18_HUMAN|P05783" xr:uid="{D3DA647B-8A3D-4758-993E-B204114F7148}"/>
    <hyperlink ref="F1395" r:id="rId1237" display="K1C18_HUMAN|P05783" xr:uid="{2E9EB520-0326-4EC4-B6CE-4295FA8F8A2A}"/>
    <hyperlink ref="F1396" r:id="rId1238" display="K1C18_HUMAN|P05783" xr:uid="{76A7A051-F4C0-4EDC-A806-5F58C876285C}"/>
    <hyperlink ref="F1397" r:id="rId1239" display="K1C18_HUMAN|P05783" xr:uid="{DB187F69-EB11-427C-8174-52DEFCD6B1F6}"/>
    <hyperlink ref="F1398" r:id="rId1240" display="K1C18_HUMAN|P05783" xr:uid="{2E278036-49BB-4F3E-A954-FFDC4669B5DD}"/>
    <hyperlink ref="F1399" r:id="rId1241" display="K1C18_HUMAN|P05783" xr:uid="{0023A787-4DE1-488E-8271-4C195AF66FC6}"/>
    <hyperlink ref="F1400" r:id="rId1242" display="K1C18_HUMAN|P05783" xr:uid="{43B43E7C-AA3C-4894-B142-9EABC255A8A9}"/>
    <hyperlink ref="F1401" r:id="rId1243" display="K1C18_HUMAN|P05783" xr:uid="{028A3E2A-79FA-4A76-98F2-A52D56792583}"/>
    <hyperlink ref="F1402" r:id="rId1244" display="K1C18_HUMAN|P05783" xr:uid="{DB905053-C5E4-4FB8-8662-858841342875}"/>
    <hyperlink ref="F1403" r:id="rId1245" display="K1C18_HUMAN|P05783" xr:uid="{6A3E669B-F837-4994-BADD-8D38102D4E05}"/>
    <hyperlink ref="F1404" r:id="rId1246" display="K1C18_HUMAN|P05783" xr:uid="{972E42CF-B40E-46F6-8741-C8C7AED38168}"/>
    <hyperlink ref="F1405" r:id="rId1247" display="K1C18_HUMAN|P05783" xr:uid="{3403FB51-E421-475D-90C4-497B72786DC2}"/>
    <hyperlink ref="F1406" r:id="rId1248" display="K1C18_HUMAN|P05783" xr:uid="{581C4AD9-6600-4C85-AE8B-C04014BC32CC}"/>
    <hyperlink ref="F1407" r:id="rId1249" display="K1C18_HUMAN|P05783" xr:uid="{A88887A1-AF12-42D9-9CFE-58CFC41E3C01}"/>
    <hyperlink ref="F1408" r:id="rId1250" display="K1C18_HUMAN|P05783" xr:uid="{E801AF60-526F-49CE-8060-103AAC6E7476}"/>
    <hyperlink ref="F1329" r:id="rId1251" display="K1C18_HUMAN|P05783" xr:uid="{86BFCEE3-CB89-44AC-95B9-4C586955EC4F}"/>
    <hyperlink ref="F1330" r:id="rId1252" display="K1C18_HUMAN|P05783" xr:uid="{A5659287-2AA5-48B3-8D32-A33F5E10250B}"/>
    <hyperlink ref="F1331" r:id="rId1253" display="K1C18_HUMAN|P05783" xr:uid="{583C00E9-FD5E-4A54-9ADE-70BDF9CA50BA}"/>
    <hyperlink ref="F1332" r:id="rId1254" display="K1C18_HUMAN|P05783" xr:uid="{253A1311-8910-47D8-845D-8171A9E9D91F}"/>
    <hyperlink ref="F1333" r:id="rId1255" display="K1C18_HUMAN|P05783" xr:uid="{D68E4289-0545-445F-85EE-52AD0EB6998D}"/>
    <hyperlink ref="F1334" r:id="rId1256" display="K1C18_HUMAN|P05783" xr:uid="{EEA778AA-0BA4-4BD8-9D1A-9C5052C0E485}"/>
    <hyperlink ref="F1335" r:id="rId1257" display="K1C18_HUMAN|P05783" xr:uid="{45993A46-292D-427B-9D91-8D74BCEB9842}"/>
    <hyperlink ref="F1336" r:id="rId1258" display="K1C18_HUMAN|P05783" xr:uid="{82F911FD-058F-4552-B987-4E4C044F9A1D}"/>
    <hyperlink ref="F1337" r:id="rId1259" display="K1C18_HUMAN|P05783" xr:uid="{E8C45C88-FF52-4B92-B4EF-1C0C7693B8A3}"/>
    <hyperlink ref="F1338" r:id="rId1260" display="K1C18_HUMAN|P05783" xr:uid="{C98F6C48-3C0A-4518-8BDD-A8A8E458EBC6}"/>
    <hyperlink ref="F1339" r:id="rId1261" display="K1C18_HUMAN|P05783" xr:uid="{F0D6A088-0CE1-4EE4-866D-707F9F29BFDE}"/>
    <hyperlink ref="F1340" r:id="rId1262" display="K1C18_HUMAN|P05783" xr:uid="{1A247992-B3A4-41C9-BE9B-70FE9C3FA2A1}"/>
    <hyperlink ref="F1341" r:id="rId1263" display="K1C18_HUMAN|P05783" xr:uid="{FD71B063-6CC8-4672-9D37-DBEC5EE308BA}"/>
    <hyperlink ref="F1342" r:id="rId1264" display="K1C18_HUMAN|P05783" xr:uid="{C72B635A-2CE4-4952-B0F3-D99E1995B2B5}"/>
    <hyperlink ref="F1343" r:id="rId1265" display="K1C18_HUMAN|P05783" xr:uid="{2557BFAF-6FFA-47D7-A2BF-127D99BE746B}"/>
    <hyperlink ref="F1344" r:id="rId1266" display="K1C18_HUMAN|P05783" xr:uid="{BB936A87-50B2-432F-989D-B5AAFE0D10B6}"/>
    <hyperlink ref="F1345" r:id="rId1267" display="K1C18_HUMAN|P05783" xr:uid="{987F241E-F4CE-42CF-A63E-32C1674E2F3A}"/>
    <hyperlink ref="F1346" r:id="rId1268" display="K1C18_HUMAN|P05783" xr:uid="{A9BBB7F3-07A7-4759-BB99-C0C2AFB317E2}"/>
    <hyperlink ref="F1347" r:id="rId1269" display="K1C18_HUMAN|P05783" xr:uid="{EE114485-8B7E-4F9D-895B-06F3692475DF}"/>
    <hyperlink ref="F1348" r:id="rId1270" display="K1C18_HUMAN|P05783" xr:uid="{6A6AA9C4-5E44-4B2C-B3D5-520242E5A0AD}"/>
    <hyperlink ref="F1349" r:id="rId1271" display="K1C18_HUMAN|P05783" xr:uid="{C9804EF2-758C-495C-AB54-935E98A60537}"/>
    <hyperlink ref="F1350" r:id="rId1272" display="K1C18_HUMAN|P05783" xr:uid="{CD2FC91F-25CF-4163-B3A9-D276D655AE0C}"/>
    <hyperlink ref="F1351" r:id="rId1273" display="K1C18_HUMAN|P05783" xr:uid="{A19570E4-AFA6-486D-AFAC-04B6DA5D49F1}"/>
    <hyperlink ref="F1352" r:id="rId1274" display="K1C18_HUMAN|P05783" xr:uid="{47CCA0A5-1E03-4684-BC96-5F3D6B9381A5}"/>
    <hyperlink ref="F1353" r:id="rId1275" display="K1C18_HUMAN|P05783" xr:uid="{31852386-45A4-4C43-BBA6-6D24CED8C7AC}"/>
    <hyperlink ref="F1354" r:id="rId1276" display="K1C18_HUMAN|P05783" xr:uid="{84AE266F-C838-42FF-987D-87D83E692A9F}"/>
    <hyperlink ref="F1409" r:id="rId1277" display="K1C18_HUMAN|P05783" xr:uid="{8A0B4390-DC90-48DD-91E9-7D16F51B0D95}"/>
    <hyperlink ref="F1410" r:id="rId1278" display="K1C18_HUMAN|P05783" xr:uid="{5549C8D5-D54A-4772-8E1B-779D1D66F07C}"/>
    <hyperlink ref="F1411" r:id="rId1279" display="K1C18_HUMAN|P05783" xr:uid="{3E7901B6-476F-429E-836E-5F23F86F6D19}"/>
    <hyperlink ref="F1412" r:id="rId1280" display="K1C18_HUMAN|P05783" xr:uid="{3EADB573-9DA7-49A8-9DF0-1F2A7244B6AD}"/>
    <hyperlink ref="F1413" r:id="rId1281" display="K1C18_HUMAN|P05783" xr:uid="{398385F7-A373-4B4B-A146-CEE9233FEAA5}"/>
    <hyperlink ref="F1414" r:id="rId1282" display="K1C18_HUMAN|P05783" xr:uid="{2BACECD2-F5D2-480E-96D3-295EDD3F40C7}"/>
    <hyperlink ref="F1415" r:id="rId1283" display="K1C18_HUMAN|P05783" xr:uid="{1A2E17B9-A438-45B1-8C0D-501D4398B021}"/>
    <hyperlink ref="F1416" r:id="rId1284" display="K1C18_HUMAN|P05783" xr:uid="{11115408-726E-4E8A-B459-4D16BDBED3AD}"/>
    <hyperlink ref="F1417" r:id="rId1285" display="K1C18_HUMAN|P05783" xr:uid="{E9DF3D44-D445-4B8D-A3F4-66DE4B528A87}"/>
    <hyperlink ref="F1418" r:id="rId1286" display="K1C18_HUMAN|P05783" xr:uid="{65FC3882-0E1D-4688-87FA-B6A261E366DB}"/>
    <hyperlink ref="F1419" r:id="rId1287" display="K1C18_HUMAN|P05783" xr:uid="{A05898ED-E735-455C-B047-2301E9375AC0}"/>
    <hyperlink ref="F1420" r:id="rId1288" display="K1C18_HUMAN|P05783" xr:uid="{C29DE974-4F63-4008-B83D-D6029FAB0F23}"/>
    <hyperlink ref="F1421" r:id="rId1289" display="K1C18_HUMAN|P05783" xr:uid="{D5405BF5-FDE3-4201-8CE5-4AD74F86E0B1}"/>
    <hyperlink ref="F1642" r:id="rId1290" display="K1C19_HUMAN|P08727" xr:uid="{2C42E252-A613-49D1-B35D-73E234206279}"/>
    <hyperlink ref="F1643" r:id="rId1291" display="K1C19_HUMAN|P08727" xr:uid="{AAD38651-4942-4C50-818A-A992A8AE597B}"/>
    <hyperlink ref="F1644" r:id="rId1292" display="K1C19_HUMAN|P08727" xr:uid="{716C8E9A-66C6-477D-942D-52494DB59AE1}"/>
    <hyperlink ref="F1646" r:id="rId1293" display="K1C19_HUMAN|P08727" xr:uid="{16105183-FB09-42F5-A357-77F39DBA72B0}"/>
    <hyperlink ref="F1645" r:id="rId1294" display="K1C19_HUMAN|P08727" xr:uid="{BFDC570B-5062-4C02-853F-15AB3D6277BB}"/>
    <hyperlink ref="F1668" r:id="rId1295" display="K1C20_HUMAN|P35900" xr:uid="{241BF878-B01C-48AF-81B4-8C47A3CB7B45}"/>
    <hyperlink ref="F1779" r:id="rId1296" display="K2C8_HUMAN|P05787;K2C8_HUMAN|P05787-2" xr:uid="{8DC5FFFA-4B9F-481E-9FDE-D936DF0D0E8C}"/>
    <hyperlink ref="F1786" r:id="rId1297" display="K2C8_HUMAN|P05787;K2C8_HUMAN|P05787-2" xr:uid="{1E093F54-3669-4CD5-B477-78778E3B75E1}"/>
    <hyperlink ref="F1787" r:id="rId1298" display="K2C8_HUMAN|P05787;K2C8_HUMAN|P05787-2" xr:uid="{0F621BC1-F621-4CD8-A1FF-B572EAB497E0}"/>
    <hyperlink ref="F1788" r:id="rId1299" display="K2C8_HUMAN|P05787;K2C8_HUMAN|P05787-2" xr:uid="{652E2A91-3CC9-4549-81BA-6B8C5166F683}"/>
    <hyperlink ref="F1789" r:id="rId1300" display="K2C8_HUMAN|P05787;K2C8_HUMAN|P05787-2" xr:uid="{D02EA7EE-B310-461A-80E0-0B817DA8B80A}"/>
    <hyperlink ref="F1790" r:id="rId1301" display="K2C8_HUMAN|P05787;K2C8_HUMAN|P05787-2" xr:uid="{7DC29392-2FE2-4818-9F6A-A4DEDB97EF6E}"/>
    <hyperlink ref="F1791" r:id="rId1302" display="K2C8_HUMAN|P05787;K2C8_HUMAN|P05787-2" xr:uid="{D85783C9-D19B-49A7-8184-A2696A010871}"/>
    <hyperlink ref="F1792" r:id="rId1303" display="K2C8_HUMAN|P05787;K2C8_HUMAN|P05787-2" xr:uid="{99D7E8AC-0EF5-4D1D-8258-36BAAEB0D5BB}"/>
    <hyperlink ref="F1793" r:id="rId1304" display="K2C8_HUMAN|P05787;K2C8_HUMAN|P05787-2" xr:uid="{BA5822E6-EE9B-480D-B499-A88F68456302}"/>
    <hyperlink ref="F1794" r:id="rId1305" display="K2C8_HUMAN|P05787;K2C8_HUMAN|P05787-2" xr:uid="{CF3F8EDE-DEF8-45C1-86B7-A5ED2F418FD3}"/>
    <hyperlink ref="F1795" r:id="rId1306" display="K2C8_HUMAN|P05787;K2C8_HUMAN|P05787-2" xr:uid="{D12ACAD9-D2EB-44E0-9839-CB0A66EE87F8}"/>
    <hyperlink ref="F1796" r:id="rId1307" display="K2C8_HUMAN|P05787;K2C8_HUMAN|P05787-2" xr:uid="{E441B701-7915-46CC-B4C1-06AB147BA2F6}"/>
    <hyperlink ref="F1797" r:id="rId1308" display="K2C8_HUMAN|P05787;K2C8_HUMAN|P05787-2" xr:uid="{6274E71F-1601-489A-BF7B-ED1E7CAE7A79}"/>
    <hyperlink ref="F1798" r:id="rId1309" display="K2C8_HUMAN|P05787;K2C8_HUMAN|P05787-2" xr:uid="{54128721-A8EF-41E0-BDAA-7A3B1227A99E}"/>
    <hyperlink ref="F1799" r:id="rId1310" display="K2C8_HUMAN|P05787;K2C8_HUMAN|P05787-2" xr:uid="{14473C2C-8C9E-4654-8C3E-5B49818763DB}"/>
    <hyperlink ref="F1800" r:id="rId1311" display="K2C8_HUMAN|P05787;K2C8_HUMAN|P05787-2" xr:uid="{333B5052-6D6A-41B5-866B-DEC1FB7EC543}"/>
    <hyperlink ref="F1801" r:id="rId1312" display="K2C8_HUMAN|P05787;K2C8_HUMAN|P05787-2" xr:uid="{F28210E9-12A5-4426-A641-32E4D2FDC5BA}"/>
    <hyperlink ref="F1802" r:id="rId1313" display="K2C8_HUMAN|P05787;K2C8_HUMAN|P05787-2" xr:uid="{5AFB19A4-BB91-42AB-B7FC-F16C00C963AE}"/>
    <hyperlink ref="F1803" r:id="rId1314" display="K2C8_HUMAN|P05787;K2C8_HUMAN|P05787-2" xr:uid="{2AA77B1B-696E-4C68-8975-7F0D67A1BF3A}"/>
    <hyperlink ref="F1804" r:id="rId1315" display="K2C8_HUMAN|P05787;K2C8_HUMAN|P05787-2" xr:uid="{9597459C-E2E0-4751-8F41-C1ED611FC0E5}"/>
    <hyperlink ref="F1805" r:id="rId1316" display="K2C8_HUMAN|P05787;K2C8_HUMAN|P05787-2" xr:uid="{E4C52C17-3CB0-4EBB-B6EE-CD46434D27D7}"/>
    <hyperlink ref="F1917" r:id="rId1317" display="CTF8A_HUMAN|P0CG12" xr:uid="{126A4936-15B9-47F2-B763-928E598CFBBF}"/>
    <hyperlink ref="F1919" r:id="rId1318" display="CTF8A_HUMAN|P0CG12" xr:uid="{607F2515-FFAA-4C98-8B8D-8F7F56E26708}"/>
    <hyperlink ref="F1920" r:id="rId1319" display="CTF8A_HUMAN|P0CG12" xr:uid="{CC9150D0-703C-4DB4-AF6E-C8E73D8FB55D}"/>
    <hyperlink ref="F1921" r:id="rId1320" display="CTF8A_HUMAN|P0CG12" xr:uid="{2F24704A-14E0-488B-95D5-666DD0AAB0D9}"/>
    <hyperlink ref="F1922" r:id="rId1321" display="CTF8A_HUMAN|P0CG12" xr:uid="{008E53D9-6A64-4B39-A283-E0E6A9A78EEF}"/>
    <hyperlink ref="F1924" r:id="rId1322" display="TENX_HUMAN|P22105;TENX_HUMAN|P22105-3" xr:uid="{D1C5E3D3-E65F-458F-8F62-7CA662651E65}"/>
    <hyperlink ref="F1918" r:id="rId1323" display="CTF8A_HUMAN|P0CG12" xr:uid="{681F1BFB-9644-4160-823F-1AD8E9F64CF0}"/>
    <hyperlink ref="F1926" r:id="rId1324" display="CTF8A_HUMAN|P0CG12" xr:uid="{1CEBB470-AC6D-4859-9DA1-D6CF60F23DA0}"/>
    <hyperlink ref="F1928" r:id="rId1325" display="CTF8A_HUMAN|P0CG12" xr:uid="{DD98223B-91E9-444C-8C29-1D8F0D6102D1}"/>
    <hyperlink ref="F1929" r:id="rId1326" display="CTF8A_HUMAN|P0CG12" xr:uid="{F0F804B6-1AE2-4E29-8A05-B2357D89FEEC}"/>
    <hyperlink ref="F1930" r:id="rId1327" display="CTF8A_HUMAN|P0CG12" xr:uid="{5EA715FC-AE2C-4DAE-B866-6B81B88E01DC}"/>
    <hyperlink ref="F1931" r:id="rId1328" display="CTF8A_HUMAN|P0CG12" xr:uid="{730C8759-048D-43D9-AF18-FBFFDA170AAB}"/>
    <hyperlink ref="F1927" r:id="rId1329" display="CTF8A_HUMAN|P0CG12" xr:uid="{76BA40B4-5561-455A-A4E1-F9DC0D53B010}"/>
    <hyperlink ref="F1932" r:id="rId1330" display="CTF8A_HUMAN|P0CG12" xr:uid="{9CF8A1A0-D368-442D-82B6-FF5C9BBA3732}"/>
    <hyperlink ref="F1933" r:id="rId1331" display="CTF8A_HUMAN|P0CG12" xr:uid="{BA4FFB6B-5F61-4D52-A84B-73891CF43646}"/>
    <hyperlink ref="F1934" r:id="rId1332" display="CTF8A_HUMAN|P0CG12" xr:uid="{263D21F8-C9E8-4C9D-82FB-FE62B81F63FC}"/>
    <hyperlink ref="F1936" r:id="rId1333" display="CTF8A_HUMAN|P0CG12" xr:uid="{FDC6E87A-BE2C-4416-B765-12A5C370A4E1}"/>
    <hyperlink ref="F1937" r:id="rId1334" display="CTF8A_HUMAN|P0CG12" xr:uid="{C648CA5E-A6AC-46A6-8076-26BB3299C0FA}"/>
    <hyperlink ref="F1938" r:id="rId1335" display="CTF8A_HUMAN|P0CG12" xr:uid="{59472699-E794-4E4B-9715-1804CAFAFBCA}"/>
    <hyperlink ref="F1939" r:id="rId1336" display="CTF8A_HUMAN|P0CG12" xr:uid="{7D42BA36-D9B3-468A-B247-9FF8E8DA9C38}"/>
    <hyperlink ref="F1941" r:id="rId1337" display="TENX_HUMAN|P22105;TENX_HUMAN|P22105-3" xr:uid="{B1EFF841-20FC-47B2-BAD4-8AF815612F45}"/>
    <hyperlink ref="F1935" r:id="rId1338" display="CTF8A_HUMAN|P0CG12" xr:uid="{7D506293-48D8-472F-B409-532EA41072C7}"/>
    <hyperlink ref="F1955" r:id="rId1339" display="DPOD1_HUMAN|P28340" xr:uid="{5334D2C4-4871-41FD-9249-14AAFF10F2F2}"/>
    <hyperlink ref="F1956" r:id="rId1340" display="DPOD1_HUMAN|P28340" xr:uid="{AFACA8D8-F5E2-4E26-B546-FC9B4E22E05D}"/>
    <hyperlink ref="F1957" r:id="rId1341" display="DPOD1_HUMAN|P28340" xr:uid="{31CE5FA2-EB27-4E46-A9F7-784583B0F0EA}"/>
    <hyperlink ref="F1958" r:id="rId1342" display="DPOD1_HUMAN|P28340" xr:uid="{1FA97C2E-CAA7-408C-91F0-E9DEE61F2118}"/>
    <hyperlink ref="F1959" r:id="rId1343" display="DPOD1_HUMAN|P28340" xr:uid="{7DD53631-521F-417D-BC85-C7E97F831208}"/>
    <hyperlink ref="F1960" r:id="rId1344" display="DPOD1_HUMAN|P28340" xr:uid="{439528BD-40FF-48FF-9707-6B4170D262A8}"/>
    <hyperlink ref="F1961" r:id="rId1345" display="DPOD1_HUMAN|P28340" xr:uid="{3906811F-BD7C-4E6D-865B-CDFAB7E59C7C}"/>
    <hyperlink ref="F1962" r:id="rId1346" display="DPOD1_HUMAN|P28340" xr:uid="{C8A27626-C61A-4501-A0FD-187E2B733CB2}"/>
    <hyperlink ref="F1963" r:id="rId1347" display="DPOD1_HUMAN|P28340" xr:uid="{9F7D0CED-DBA7-4E88-B40D-E3AE7F134AF7}"/>
    <hyperlink ref="F1964" r:id="rId1348" display="DPOD1_HUMAN|P28340" xr:uid="{CFF4AF8B-33A0-40BD-A874-E7E18C613B82}"/>
    <hyperlink ref="F1965" r:id="rId1349" display="DPOD1_HUMAN|P28340" xr:uid="{C7988E36-9F06-41A8-9F2A-9B66A71B0D7D}"/>
    <hyperlink ref="F1966" r:id="rId1350" display="DPOD1_HUMAN|P28340" xr:uid="{7D8654A6-24D5-43B2-9A4D-FAD3343212F6}"/>
    <hyperlink ref="F1967" r:id="rId1351" display="DPOD1_HUMAN|P28340" xr:uid="{EE000285-13F8-45C8-8796-5BA17D92F39E}"/>
    <hyperlink ref="F1969" r:id="rId1352" display="SH3R2_HUMAN|Q8TEC5" xr:uid="{142042B6-DBF9-4B2C-97BC-0818DDCB13B2}"/>
    <hyperlink ref="F1970" r:id="rId1353" display="SH3R2_HUMAN|Q8TEC5" xr:uid="{3F1E683B-B772-4279-AB2F-3D54FE36E569}"/>
    <hyperlink ref="F1971" r:id="rId1354" display="SH3R2_HUMAN|Q8TEC5" xr:uid="{76BD79BA-2101-437C-A945-6D332784191C}"/>
    <hyperlink ref="F1972" r:id="rId1355" display="SH3R2_HUMAN|Q8TEC5" xr:uid="{49EB25A0-E30C-4F2A-A8CF-8DD9FB609743}"/>
    <hyperlink ref="F2248" r:id="rId1356" display="ROAA_HUMAN|Q99729-3;ROAA_HUMAN|Q99729-4" xr:uid="{5ABB6C5C-C8C9-41EC-AD55-D1579095F449}"/>
    <hyperlink ref="F1973" r:id="rId1357" display="BTF3_HUMAN|P20290" xr:uid="{24FC18B5-7F65-47FC-BD02-04AD9406F6A0}"/>
    <hyperlink ref="F1974" r:id="rId1358" display="BTF3_HUMAN|P20290" xr:uid="{4ED6E09C-34D4-4FF0-A891-F86E9B7DCB26}"/>
    <hyperlink ref="F1975" r:id="rId1359" display="BTF3_HUMAN|P20290" xr:uid="{5BF300EB-224E-4B49-B9AC-1864E296F71B}"/>
    <hyperlink ref="F1976" r:id="rId1360" display="BTF3_HUMAN|P20290" xr:uid="{32994FC5-F274-4B4F-983F-F8AAC009113E}"/>
    <hyperlink ref="F1977" r:id="rId1361" display="BTF3_HUMAN|P20290" xr:uid="{B2076067-7E94-47EB-A688-DAF5C604A2E8}"/>
    <hyperlink ref="F1978" r:id="rId1362" display="BTF3_HUMAN|P20290" xr:uid="{03696F98-59C2-4F92-8432-07BA97EE7D4B}"/>
    <hyperlink ref="F1979" r:id="rId1363" display="BTF3_HUMAN|P20290" xr:uid="{27F7CE17-2205-48F2-B3FD-BBB3F359B28A}"/>
    <hyperlink ref="F1980" r:id="rId1364" display="BTF3_HUMAN|P20290" xr:uid="{CBAE2DDA-8AA6-409D-89E7-A302B7C6A3AA}"/>
    <hyperlink ref="F1981" r:id="rId1365" display="BTF3_HUMAN|P20290" xr:uid="{97D70A9B-D84C-4551-8104-EFF74E3470D4}"/>
    <hyperlink ref="F1989" r:id="rId1366" display="TM214_HUMAN|Q6NUQ4;TM214_HUMAN|Q6NUQ4-2" xr:uid="{03A6B62F-705D-4C0F-A3B2-846FCA7A44CA}"/>
    <hyperlink ref="F1990" r:id="rId1367" display="TM214_HUMAN|Q6NUQ4;TM214_HUMAN|Q6NUQ4-2" xr:uid="{1B079F6E-555C-42ED-994C-C6990188DAD1}"/>
    <hyperlink ref="F1991" r:id="rId1368" display="TM214_HUMAN|Q6NUQ4;TM214_HUMAN|Q6NUQ4-2" xr:uid="{753D2BFA-F73E-4E8D-9B22-DD1FE39824E1}"/>
    <hyperlink ref="F1992" r:id="rId1369" display="TM214_HUMAN|Q6NUQ4;TM214_HUMAN|Q6NUQ4-2" xr:uid="{D33C21C7-294E-41F6-A9BF-48466F4FFA1B}"/>
    <hyperlink ref="F1993" r:id="rId1370" display="TM214_HUMAN|Q6NUQ4;TM214_HUMAN|Q6NUQ4-2" xr:uid="{9A226D0D-343B-4140-86AF-7DB33B5CB0BD}"/>
    <hyperlink ref="F1994" r:id="rId1371" display="TM214_HUMAN|Q6NUQ4;TM214_HUMAN|Q6NUQ4-2" xr:uid="{D10369ED-4CA4-458F-B9A0-41E940CE126E}"/>
    <hyperlink ref="F2118" r:id="rId1372" display="ROA2_HUMAN|P22626;ROA2_HUMAN|P22626-2" xr:uid="{C0206D63-0CF6-4018-A21A-14B2456EB4B0}"/>
    <hyperlink ref="F2119" r:id="rId1373" display="ROA2_HUMAN|P22626;ROA2_HUMAN|P22626-2" xr:uid="{9A256391-3FD7-4262-99CB-6A7FCB3F3F51}"/>
    <hyperlink ref="F2116" r:id="rId1374" display="ROA2_HUMAN|P22626;ROA2_HUMAN|P22626-2" xr:uid="{A637FE42-B7C2-4F25-B7B5-B146F657539E}"/>
    <hyperlink ref="F2117" r:id="rId1375" display="ROA2_HUMAN|P22626;ROA2_HUMAN|P22626-2" xr:uid="{D4CA2C51-F1D1-4D6A-B6AC-1366A8C55669}"/>
    <hyperlink ref="F2122" r:id="rId1376" display="ROA2_HUMAN|P22626;ROA2_HUMAN|P22626-2" xr:uid="{7EE7BBB7-FACD-4DEF-B67E-B1E7F162E364}"/>
    <hyperlink ref="F2123" r:id="rId1377" display="ROA2_HUMAN|P22626;ROA2_HUMAN|P22626-2" xr:uid="{065F55BE-4135-4CD5-9703-10BD3CC4B233}"/>
    <hyperlink ref="F2126" r:id="rId1378" display="ROA2_HUMAN|P22626;ROA2_HUMAN|P22626-2" xr:uid="{027989F4-AF22-4E41-B2C1-00F69A692E6D}"/>
    <hyperlink ref="F2120" r:id="rId1379" display="ROA2_HUMAN|P22626;ROA2_HUMAN|P22626-2" xr:uid="{6B04DF4D-B29C-43FA-A11C-EF48E18614BC}"/>
    <hyperlink ref="F2121" r:id="rId1380" display="ROA2_HUMAN|P22626;ROA2_HUMAN|P22626-2" xr:uid="{0ACEE150-C230-42DB-B260-D02D556A666D}"/>
    <hyperlink ref="F2124" r:id="rId1381" display="ROA2_HUMAN|P22626;ROA2_HUMAN|P22626-2" xr:uid="{BE74FCBC-8ED6-48FB-BE4B-706458F59BEB}"/>
    <hyperlink ref="F2125" r:id="rId1382" display="ROA2_HUMAN|P22626;ROA2_HUMAN|P22626-2" xr:uid="{23136A44-A5DD-4AFF-958B-68B72870DD4B}"/>
    <hyperlink ref="F2187" r:id="rId1383" display="ROA2_HUMAN|P22626;ROA2_HUMAN|P22626-2" xr:uid="{8FAA9A41-5D63-400D-B092-7DE907A8EC9D}"/>
    <hyperlink ref="F2188" r:id="rId1384" display="ROA2_HUMAN|P22626;ROA2_HUMAN|P22626-2" xr:uid="{4B7C2A4F-5DD7-463E-89D8-6A86262901D2}"/>
    <hyperlink ref="F2211" r:id="rId1385" display="ROA2_HUMAN|P22626;ROA2_HUMAN|P22626-2" xr:uid="{FAA3079D-CA12-4621-B9F8-ED920CB3E2EC}"/>
    <hyperlink ref="F2212" r:id="rId1386" display="ROA2_HUMAN|P22626;ROA2_HUMAN|P22626-2" xr:uid="{9672F12D-A789-4F90-A81E-B73E23DF6F04}"/>
    <hyperlink ref="F2213" r:id="rId1387" display="ROA2_HUMAN|P22626;ROA2_HUMAN|P22626-2" xr:uid="{2BBBC2BF-BDF3-4D31-81F4-423B20C00B55}"/>
    <hyperlink ref="F2214" r:id="rId1388" display="ROA2_HUMAN|P22626;ROA2_HUMAN|P22626-2" xr:uid="{2191E436-69C2-457E-B00F-B6A78CC99802}"/>
    <hyperlink ref="F2243" r:id="rId1389" display="ROA3_HUMAN|P51991;ROA3_HUMAN|P51991-2" xr:uid="{32EAC904-4884-4061-B6D5-4C513EA8A5DC}"/>
    <hyperlink ref="F2289" r:id="rId1390" display="HNRH3_HUMAN|P31942;HNRH3_HUMAN|P31942-3;HNRH3_HUMAN|P31942-2" xr:uid="{061B1C88-8472-4E0D-8526-233559A96627}"/>
    <hyperlink ref="F2290" r:id="rId1391" display="HNRH3_HUMAN|P31942;HNRH3_HUMAN|P31942-3;HNRH3_HUMAN|P31942-2" xr:uid="{F7491097-3EDC-4571-ADBD-16F72741E955}"/>
    <hyperlink ref="F2291" r:id="rId1392" display="HNRH3_HUMAN|P31942;HNRH3_HUMAN|P31942-3;HNRH3_HUMAN|P31942-2" xr:uid="{2BAFDBD7-E17F-4707-B9E6-D8B1EE593C2D}"/>
    <hyperlink ref="F2292" r:id="rId1393" display="HNRH3_HUMAN|P31942;HNRH3_HUMAN|P31942-3;HNRH3_HUMAN|P31942-2" xr:uid="{990EE488-B4AB-4826-8DA0-96B4A19EBE4C}"/>
    <hyperlink ref="F2293" r:id="rId1394" display="HNRH3_HUMAN|P31942;HNRH3_HUMAN|P31942-3;HNRH3_HUMAN|P31942-2" xr:uid="{F3BFA555-4044-43CE-8EBE-FEA9BFA01AD6}"/>
    <hyperlink ref="F2294" r:id="rId1395" display="HNRH3_HUMAN|P31942;HNRH3_HUMAN|P31942-3;HNRH3_HUMAN|P31942-2" xr:uid="{86A943DE-CCBC-4BB3-9037-5E547132D691}"/>
    <hyperlink ref="F2295" r:id="rId1396" display="HNRH3_HUMAN|P31942;HNRH3_HUMAN|P31942-3;HNRH3_HUMAN|P31942-2" xr:uid="{29A650E8-378C-4801-85AB-987A0DDA30C5}"/>
    <hyperlink ref="F2296" r:id="rId1397" display="HNRH3_HUMAN|P31942;HNRH3_HUMAN|P31942-3;HNRH3_HUMAN|P31942-2" xr:uid="{27193830-A9DD-461F-894F-35EB23FBE885}"/>
    <hyperlink ref="F2305" r:id="rId1398" display="HNRH3_HUMAN|P31942;HNRH3_HUMAN|P31942-3;HNRH3_HUMAN|P31942-4;HNRH3_HUMAN|P31942-2" xr:uid="{575CF583-B0E4-441B-AF80-0023587FF2FE}"/>
    <hyperlink ref="F2306" r:id="rId1399" display="HNRH3_HUMAN|P31942;HNRH3_HUMAN|P31942-3;HNRH3_HUMAN|P31942-4;HNRH3_HUMAN|P31942-2" xr:uid="{59062EBE-5493-4CE6-8209-F4CBBCA0CD13}"/>
    <hyperlink ref="F2373" r:id="rId1400" display="HNRH3_HUMAN|P31942;HNRH3_HUMAN|P31942-3;HNRH3_HUMAN|P31942-4;HNRH3_HUMAN|P31942-2" xr:uid="{97D178BF-3787-437D-9768-5E08D894CBF2}"/>
    <hyperlink ref="F2374" r:id="rId1401" display="HNRH3_HUMAN|P31942;HNRH3_HUMAN|P31942-3;HNRH3_HUMAN|P31942-4;HNRH3_HUMAN|P31942-2" xr:uid="{9C4CAF96-3B8E-4E7E-A579-EBFCA6DD3419}"/>
    <hyperlink ref="F2375" r:id="rId1402" display="HNRH3_HUMAN|P31942;HNRH3_HUMAN|P31942-3;HNRH3_HUMAN|P31942-4;HNRH3_HUMAN|P31942-2" xr:uid="{B81E8681-1EC6-48CA-B7F7-DBB7977F9BD6}"/>
    <hyperlink ref="F2376" r:id="rId1403" display="HNRH3_HUMAN|P31942;HNRH3_HUMAN|P31942-3;HNRH3_HUMAN|P31942-4;HNRH3_HUMAN|P31942-2" xr:uid="{39FD723A-7EB3-4ADF-B5C6-D4AE1B94095F}"/>
    <hyperlink ref="F2377" r:id="rId1404" display="HNRH3_HUMAN|P31942;HNRH3_HUMAN|P31942-3;HNRH3_HUMAN|P31942-4;HNRH3_HUMAN|P31942-2" xr:uid="{F0138755-6B01-4B33-AA69-637CC945F807}"/>
    <hyperlink ref="F2378" r:id="rId1405" display="HNRH3_HUMAN|P31942;HNRH3_HUMAN|P31942-3;HNRH3_HUMAN|P31942-4;HNRH3_HUMAN|P31942-2" xr:uid="{6AA6DD56-D962-4120-8236-B79656A3A852}"/>
    <hyperlink ref="F2379" r:id="rId1406" display="HNRH3_HUMAN|P31942;HNRH3_HUMAN|P31942-3;HNRH3_HUMAN|P31942-4;HNRH3_HUMAN|P31942-2" xr:uid="{E5DD333D-6DC4-4A53-9B89-F06B6E7DA88C}"/>
    <hyperlink ref="F2444" r:id="rId1407" display="KHDR1_HUMAN|Q07666;KHDR1_HUMAN|Q07666-2;KHDR1_HUMAN|Q07666-3" xr:uid="{F3C1EA3A-4BE7-459E-AA3D-FB1DC6D18310}"/>
    <hyperlink ref="F2455" r:id="rId1408" display="FUBP2_HUMAN|Q92945" xr:uid="{8018C83C-5EB7-4D41-AB90-85A441FA8D85}"/>
    <hyperlink ref="F2456" r:id="rId1409" display="FUBP2_HUMAN|Q92945" xr:uid="{6E5CBC13-CFD0-422B-8EC7-16A6DAC15457}"/>
    <hyperlink ref="F2457" r:id="rId1410" display="FUBP2_HUMAN|Q92945" xr:uid="{B87CAD80-2F78-4B15-ABBE-6F354F89D2DA}"/>
    <hyperlink ref="F2505" r:id="rId1411" display="SFPQ_HUMAN|P23246" xr:uid="{7BC74AE1-ED85-40BF-8AA7-9F131F744230}"/>
    <hyperlink ref="F2506" r:id="rId1412" display="SFPQ_HUMAN|P23246" xr:uid="{AF907DF6-43BE-4843-9E09-85984BB1A12C}"/>
    <hyperlink ref="F2507" r:id="rId1413" display="SFPQ_HUMAN|P23246" xr:uid="{C76964F6-FB83-493A-B4E5-922E0212FBE8}"/>
    <hyperlink ref="F2508" r:id="rId1414" display="SFPQ_HUMAN|P23246" xr:uid="{F217DB22-4CAA-4145-8DB4-222BD4BA4B7B}"/>
    <hyperlink ref="C1256" r:id="rId1415" display="DDX3;DDX3 iso 2" xr:uid="{6459B284-1C7D-4D8A-9C26-9829D1CE79B4}"/>
    <hyperlink ref="C1257" r:id="rId1416" display="DDX3;DDX3 iso 2" xr:uid="{25928E08-EB4A-4276-B707-DC097613F021}"/>
    <hyperlink ref="C1276" r:id="rId1417" display="HSP71_HUMAN|P08107;HSP76_HUMAN|P17066;HSP71_HUMAN|P08107-2" xr:uid="{1038AB69-27A8-43BC-BC13-B3EC2C9F3826}"/>
    <hyperlink ref="C1277" r:id="rId1418" display="HSP71_HUMAN|P08107;HSP76_HUMAN|P17066;HSP71_HUMAN|P08107-2" xr:uid="{B21A1AE2-214C-440A-8D50-B0C70EAC0181}"/>
    <hyperlink ref="C1278" r:id="rId1419" display="HSP71_HUMAN|P08107;HSP76_HUMAN|P17066;HSP71_HUMAN|P08107-2" xr:uid="{EAA3C4EE-9B0F-4150-B75C-6B9496379208}"/>
    <hyperlink ref="C1279" r:id="rId1420" display="HSP71_HUMAN|P08107;HSP76_HUMAN|P17066;HSP71_HUMAN|P08107-2" xr:uid="{94C82BB0-0DDC-4478-B408-07A5E6A363FE}"/>
    <hyperlink ref="C1280" r:id="rId1421" display="HSP71_HUMAN|P08107;HSP76_HUMAN|P17066;HSP71_HUMAN|P08107-2" xr:uid="{93B14DFC-F9AA-4EF6-8980-CC5365D74327}"/>
    <hyperlink ref="C1281" r:id="rId1422" display="HSP71_HUMAN|P08107;HSP76_HUMAN|P17066;HSP71_HUMAN|P08107-2" xr:uid="{43530D36-1F38-4F47-A1C9-9E9A75B7BC34}"/>
    <hyperlink ref="C1282" r:id="rId1423" display="HSP71_HUMAN|P08107;HSP76_HUMAN|P17066;HSP71_HUMAN|P08107-2" xr:uid="{F897DE08-EB00-45E5-8AE5-ABAA628C77C2}"/>
    <hyperlink ref="C1425" r:id="rId1424" display="K2C8_HUMAN|P05787;K2C8_HUMAN|P05787-2" xr:uid="{1797AF4D-94C5-48F8-AFF0-656291932AF8}"/>
    <hyperlink ref="C1426" r:id="rId1425" display="K2C8_HUMAN|P05787;K2C8_HUMAN|P05787-2" xr:uid="{6EBE4C93-5FC3-4E12-B1D7-F458FF7DEAD6}"/>
    <hyperlink ref="C1427" r:id="rId1426" display="K2C8_HUMAN|P05787;K2C8_HUMAN|P05787-2" xr:uid="{B715F87C-47A2-4E0C-9F27-D52FF07D8F24}"/>
    <hyperlink ref="C1428" r:id="rId1427" display="K2C8_HUMAN|P05787;K2C8_HUMAN|P05787-2" xr:uid="{C6B2188B-44C3-4C15-964C-517E80D9EC34}"/>
    <hyperlink ref="C1429" r:id="rId1428" display="K2C8_HUMAN|P05787;K2C8_HUMAN|P05787-2" xr:uid="{D0970006-6B3F-4F83-ADD9-7AA74376923B}"/>
    <hyperlink ref="C1430" r:id="rId1429" display="K2C8_HUMAN|P05787;K2C8_HUMAN|P05787-2" xr:uid="{9BE20E30-831F-484B-B2AD-CD8F884D6CE6}"/>
    <hyperlink ref="C1431" r:id="rId1430" display="K2C8_HUMAN|P05787;K2C8_HUMAN|P05787-2" xr:uid="{11CCDF8E-A311-4DA9-A208-5EB8D5EECB71}"/>
    <hyperlink ref="C1432" r:id="rId1431" display="K2C8_HUMAN|P05787;K2C8_HUMAN|P05787-2" xr:uid="{BB515574-C1A0-497E-85DA-883F51CCE3FC}"/>
    <hyperlink ref="C1433" r:id="rId1432" display="K2C8_HUMAN|P05787;K2C8_HUMAN|P05787-2" xr:uid="{0CE55D6E-F3B3-49E3-832F-665B76BD32D8}"/>
    <hyperlink ref="C1434" r:id="rId1433" display="K2C8_HUMAN|P05787;K2C8_HUMAN|P05787-2" xr:uid="{D33C1DE0-A744-4DC5-8A67-1CB6863F6337}"/>
    <hyperlink ref="C1435" r:id="rId1434" display="K2C8_HUMAN|P05787;K2C8_HUMAN|P05787-2" xr:uid="{1A5E43A5-4315-4AD9-BF8D-53140C6FD4C2}"/>
    <hyperlink ref="C1436" r:id="rId1435" display="K2C8_HUMAN|P05787;K2C8_HUMAN|P05787-2" xr:uid="{8E3AC9BC-5669-4D35-89E4-D1902FB90796}"/>
    <hyperlink ref="C1437" r:id="rId1436" display="K2C8_HUMAN|P05787;K2C8_HUMAN|P05787-2" xr:uid="{91BF4BF9-3973-42BA-92DC-5D54ADC17E63}"/>
    <hyperlink ref="C1438" r:id="rId1437" display="K2C8_HUMAN|P05787;K2C8_HUMAN|P05787-2" xr:uid="{2353F912-837F-4666-BD75-4B6951AC7E58}"/>
    <hyperlink ref="C1439" r:id="rId1438" display="K2C8_HUMAN|P05787;K2C8_HUMAN|P05787-2" xr:uid="{037CFE04-D77D-46CC-8DDA-A10A4EB73DE7}"/>
    <hyperlink ref="C1440" r:id="rId1439" display="K2C8_HUMAN|P05787;K2C8_HUMAN|P05787-2" xr:uid="{5817565D-84E3-40F3-A856-4370F02831A9}"/>
    <hyperlink ref="C1441" r:id="rId1440" display="K2C8_HUMAN|P05787;K2C8_HUMAN|P05787-2" xr:uid="{83B6BDB6-8A8B-44BC-8CC3-DCDBFD15D1F0}"/>
    <hyperlink ref="C1442" r:id="rId1441" display="K2C8_HUMAN|P05787;K2C8_HUMAN|P05787-2" xr:uid="{E6247707-F44E-4D99-9DF0-B70D4C5AADD4}"/>
    <hyperlink ref="C1443" r:id="rId1442" display="K2C8_HUMAN|P05787;K2C8_HUMAN|P05787-2" xr:uid="{EE2A5C4A-3E71-4334-9E3F-C48D1D89EE3C}"/>
    <hyperlink ref="C1444" r:id="rId1443" display="K2C8_HUMAN|P05787;K2C8_HUMAN|P05787-2" xr:uid="{117C85BC-49A4-4CA3-B5B5-7ABE94C3AEE2}"/>
    <hyperlink ref="C1445" r:id="rId1444" display="K2C8_HUMAN|P05787;K2C8_HUMAN|P05787-2" xr:uid="{13B1D8A3-5CE0-4E81-8A7A-5991B170E3BF}"/>
    <hyperlink ref="C1446" r:id="rId1445" display="K2C8_HUMAN|P05787;K2C8_HUMAN|P05787-2" xr:uid="{A21ABCD8-2AF0-4EAA-905A-0A411CD77FDD}"/>
    <hyperlink ref="C1447" r:id="rId1446" display="K2C8_HUMAN|P05787;K2C8_HUMAN|P05787-2" xr:uid="{F2B5D903-7462-4192-B86A-6A59F9A440F6}"/>
    <hyperlink ref="C1448" r:id="rId1447" display="K2C8_HUMAN|P05787;K2C8_HUMAN|P05787-2" xr:uid="{95FEE857-2B44-4299-8A2B-80A3D1B12B8E}"/>
    <hyperlink ref="C1449" r:id="rId1448" display="K2C8_HUMAN|P05787;K2C8_HUMAN|P05787-2" xr:uid="{3165B842-37D0-4A12-BAC3-332D560C6E36}"/>
    <hyperlink ref="C1450" r:id="rId1449" display="K2C8_HUMAN|P05787;K2C8_HUMAN|P05787-2" xr:uid="{D51A9E16-B314-404B-B5EE-1C3C66746B2A}"/>
    <hyperlink ref="C1451" r:id="rId1450" display="K2C8_HUMAN|P05787;K2C8_HUMAN|P05787-2" xr:uid="{063C9100-D74C-4A63-8451-56C64AEC4B92}"/>
    <hyperlink ref="C1452" r:id="rId1451" display="K2C8_HUMAN|P05787;K2C8_HUMAN|P05787-2" xr:uid="{73B91F96-F9EB-4F9B-B297-2A9D335C57E4}"/>
    <hyperlink ref="C1453" r:id="rId1452" display="K2C8_HUMAN|P05787;K2C8_HUMAN|P05787-2" xr:uid="{B0E7C193-4328-47CB-9CDB-7E65865AD151}"/>
    <hyperlink ref="C1454" r:id="rId1453" display="K2C8_HUMAN|P05787;K2C8_HUMAN|P05787-2" xr:uid="{E981519C-0366-4829-9B9C-41CCD0B4CB45}"/>
    <hyperlink ref="C1455" r:id="rId1454" display="K2C8_HUMAN|P05787;K2C8_HUMAN|P05787-2" xr:uid="{84F65F2B-CAA4-4476-A32F-FFADD5A79D5E}"/>
    <hyperlink ref="C1456" r:id="rId1455" display="K2C8_HUMAN|P05787;K2C8_HUMAN|P05787-2" xr:uid="{776D614D-D369-41EF-AC87-32CDC85B8578}"/>
    <hyperlink ref="C1457" r:id="rId1456" display="K2C8_HUMAN|P05787;K2C8_HUMAN|P05787-2" xr:uid="{5F4360F1-A992-4192-9413-3BB99141E841}"/>
    <hyperlink ref="C1458" r:id="rId1457" display="K2C8_HUMAN|P05787;K2C8_HUMAN|P05787-2" xr:uid="{615BF0B6-1F0A-4EF7-9808-9A972887B787}"/>
    <hyperlink ref="C1459" r:id="rId1458" display="K2C8_HUMAN|P05787;K2C8_HUMAN|P05787-2" xr:uid="{161314A1-A049-4765-8895-9A848EE70888}"/>
    <hyperlink ref="C1460" r:id="rId1459" display="K2C8_HUMAN|P05787;K2C8_HUMAN|P05787-2" xr:uid="{9BBE6EB7-DC82-40F6-A4B6-E741C4AB3F81}"/>
    <hyperlink ref="C1461" r:id="rId1460" display="K2C8_HUMAN|P05787;K2C8_HUMAN|P05787-2" xr:uid="{A0552528-BA87-4156-8DD7-E3B5B29CA59B}"/>
    <hyperlink ref="C1462" r:id="rId1461" display="K2C8_HUMAN|P05787;K2C8_HUMAN|P05787-2" xr:uid="{AB88F769-56A9-4FC7-95AE-D37EEC222A5D}"/>
    <hyperlink ref="C1463" r:id="rId1462" display="K2C8_HUMAN|P05787;K2C8_HUMAN|P05787-2" xr:uid="{5ACF7D8A-C70A-4B14-BF39-2E891645D95D}"/>
    <hyperlink ref="C1464" r:id="rId1463" display="K2C8_HUMAN|P05787;K2C8_HUMAN|P05787-2" xr:uid="{058EF76A-DD15-4802-A695-F588E7344BD5}"/>
    <hyperlink ref="C1465" r:id="rId1464" display="K2C8_HUMAN|P05787;K2C8_HUMAN|P05787-2" xr:uid="{D7B0FD87-24C6-4F84-85FF-D2129618098F}"/>
    <hyperlink ref="C1466" r:id="rId1465" display="K2C8_HUMAN|P05787;K2C8_HUMAN|P05787-2" xr:uid="{51367765-9DE7-4D45-B1A5-58845737BEA5}"/>
    <hyperlink ref="C1467" r:id="rId1466" display="K2C8_HUMAN|P05787;K2C8_HUMAN|P05787-2" xr:uid="{02866E02-41C4-401A-814A-711E6E621328}"/>
    <hyperlink ref="C1468" r:id="rId1467" display="K2C8_HUMAN|P05787;K2C8_HUMAN|P05787-2" xr:uid="{C3908A65-1752-4107-8203-6AB678C3EF70}"/>
    <hyperlink ref="C1469" r:id="rId1468" display="K2C8_HUMAN|P05787;K2C8_HUMAN|P05787-2" xr:uid="{A888DA49-D012-40D6-BA30-876789DA72A2}"/>
    <hyperlink ref="C1470" r:id="rId1469" display="K2C8_HUMAN|P05787;K2C8_HUMAN|P05787-2" xr:uid="{88B8C90D-2CFB-46E2-A2BA-D9C7FB4E195F}"/>
    <hyperlink ref="C1471" r:id="rId1470" display="K2C8_HUMAN|P05787;K2C8_HUMAN|P05787-2" xr:uid="{476234C6-49D2-49A6-B8EC-FA8A55DA7F67}"/>
    <hyperlink ref="C1472" r:id="rId1471" display="K2C8_HUMAN|P05787;K2C8_HUMAN|P05787-2" xr:uid="{B2E67106-351B-4291-86DB-776C2C2B7F30}"/>
    <hyperlink ref="C1473" r:id="rId1472" display="K2C8_HUMAN|P05787;K2C8_HUMAN|P05787-2" xr:uid="{D28B3BB8-646A-49FB-AA80-2E40001AB031}"/>
    <hyperlink ref="C1474" r:id="rId1473" display="K2C8_HUMAN|P05787;K2C8_HUMAN|P05787-2" xr:uid="{8E3F6AFE-CDDD-43D6-B97F-25B65B8467D1}"/>
    <hyperlink ref="C1475" r:id="rId1474" display="K2C8_HUMAN|P05787;K2C8_HUMAN|P05787-2" xr:uid="{041BED1C-EECB-433D-866A-92D222DE0C45}"/>
    <hyperlink ref="C1476" r:id="rId1475" display="K2C8_HUMAN|P05787;K2C8_HUMAN|P05787-2" xr:uid="{0CAB96FA-912F-4198-9FC1-DE7FD309082A}"/>
    <hyperlink ref="C1477" r:id="rId1476" display="K2C8_HUMAN|P05787;K2C8_HUMAN|P05787-2" xr:uid="{D89810C8-22C9-48E4-B039-214C90066BDC}"/>
    <hyperlink ref="C1478" r:id="rId1477" display="K2C8_HUMAN|P05787;K2C8_HUMAN|P05787-2" xr:uid="{98BF446A-2435-424C-8FE6-D1B0A9392966}"/>
    <hyperlink ref="C1479" r:id="rId1478" display="K2C8_HUMAN|P05787;K2C8_HUMAN|P05787-2" xr:uid="{E62AACE0-A43A-441D-B78A-5A5980ECB09F}"/>
    <hyperlink ref="C1480" r:id="rId1479" display="K2C8_HUMAN|P05787;K2C8_HUMAN|P05787-2" xr:uid="{9E5DE907-B62B-434B-8FDA-F51B94CCD04E}"/>
    <hyperlink ref="C1481" r:id="rId1480" display="K2C8_HUMAN|P05787;K2C8_HUMAN|P05787-2" xr:uid="{B11CC49F-131A-4F52-B238-486B4B6FDC61}"/>
    <hyperlink ref="C1482" r:id="rId1481" display="K2C8_HUMAN|P05787;K2C8_HUMAN|P05787-2" xr:uid="{15457C91-9BF8-4C2A-A343-802BD93A2A22}"/>
    <hyperlink ref="C1483" r:id="rId1482" display="K2C8_HUMAN|P05787;K2C8_HUMAN|P05787-2" xr:uid="{89159716-0A59-4C46-9615-0F86EF7E175C}"/>
    <hyperlink ref="C1484" r:id="rId1483" display="K2C8_HUMAN|P05787;K2C8_HUMAN|P05787-2" xr:uid="{78DA7202-64E0-4973-AB49-B8C7F260A606}"/>
    <hyperlink ref="C1485" r:id="rId1484" display="K2C8_HUMAN|P05787;K2C8_HUMAN|P05787-2" xr:uid="{AA3C97B2-E606-4E6F-A9D0-7ED8D0E537DB}"/>
    <hyperlink ref="C1486" r:id="rId1485" display="K2C8_HUMAN|P05787;K2C8_HUMAN|P05787-2" xr:uid="{8A61262A-7A12-45C1-83F9-C9AB84FBE9FB}"/>
    <hyperlink ref="C1487" r:id="rId1486" display="K2C8_HUMAN|P05787;K2C8_HUMAN|P05787-2" xr:uid="{D2908756-B868-4A60-A00E-17E4D11379D5}"/>
    <hyperlink ref="C1488" r:id="rId1487" display="K2C8_HUMAN|P05787;K2C8_HUMAN|P05787-2" xr:uid="{C37E3692-E8E4-4998-9677-D42293E206CF}"/>
    <hyperlink ref="C1489" r:id="rId1488" display="K2C8_HUMAN|P05787;K2C8_HUMAN|P05787-2" xr:uid="{518F17AD-7733-4438-B18F-72FA56D16182}"/>
    <hyperlink ref="C1490" r:id="rId1489" display="K2C8_HUMAN|P05787;K2C8_HUMAN|P05787-2" xr:uid="{8885FC09-DE03-4AA2-B5EB-445F23E23FAA}"/>
    <hyperlink ref="C1491" r:id="rId1490" display="K2C8_HUMAN|P05787;K2C8_HUMAN|P05787-2" xr:uid="{93EEFEED-B03E-4C33-BBAE-E8C74183EFE4}"/>
    <hyperlink ref="C1492" r:id="rId1491" display="K2C8_HUMAN|P05787;K2C8_HUMAN|P05787-2" xr:uid="{0463BE29-6A82-4700-BE1B-F954F701868D}"/>
    <hyperlink ref="C1493" r:id="rId1492" display="K2C8_HUMAN|P05787;K2C8_HUMAN|P05787-2" xr:uid="{4A4E9E93-7856-4F2F-811B-6FB4C8F60A5F}"/>
    <hyperlink ref="C1494" r:id="rId1493" display="K2C8_HUMAN|P05787;K2C8_HUMAN|P05787-2" xr:uid="{0B5C7546-0513-44DF-9908-6D878BA7DA1A}"/>
    <hyperlink ref="C1495" r:id="rId1494" display="K2C8_HUMAN|P05787;K2C8_HUMAN|P05787-2" xr:uid="{4A8DEB6B-4937-45AD-8737-43D0060C012A}"/>
    <hyperlink ref="C1496" r:id="rId1495" display="K2C8_HUMAN|P05787;K2C8_HUMAN|P05787-2" xr:uid="{6762ED87-AE19-4293-A607-FE1D1BC5E4DE}"/>
    <hyperlink ref="C1497" r:id="rId1496" display="K2C8_HUMAN|P05787;K2C8_HUMAN|P05787-2" xr:uid="{C30D2BA8-A0CA-49A5-8098-E50AC0641106}"/>
    <hyperlink ref="C1498" r:id="rId1497" display="K2C8_HUMAN|P05787;K2C8_HUMAN|P05787-2" xr:uid="{D3BD901C-70DB-4592-ABBE-33334264113D}"/>
    <hyperlink ref="C1499" r:id="rId1498" display="K2C8_HUMAN|P05787;K2C8_HUMAN|P05787-2" xr:uid="{9CD77587-1E26-400D-852F-E18AECE93601}"/>
    <hyperlink ref="C1500" r:id="rId1499" display="K2C8_HUMAN|P05787;K2C8_HUMAN|P05787-2" xr:uid="{24025E28-AC7B-4053-8C4C-1251DAD8EAA5}"/>
    <hyperlink ref="C1501" r:id="rId1500" display="K2C8_HUMAN|P05787;K2C8_HUMAN|P05787-2" xr:uid="{35072CB0-2E3C-4EF7-9262-EFED2E1F96A0}"/>
    <hyperlink ref="C1502" r:id="rId1501" display="K2C8_HUMAN|P05787;K2C8_HUMAN|P05787-2" xr:uid="{F4528AA2-F711-451A-8A91-696CF69A5ED8}"/>
    <hyperlink ref="C1503" r:id="rId1502" display="K2C8_HUMAN|P05787;K2C8_HUMAN|P05787-2" xr:uid="{AE3B6966-C56E-49F1-8191-F5509CA7D20B}"/>
    <hyperlink ref="C1504" r:id="rId1503" display="K2C8_HUMAN|P05787;K2C8_HUMAN|P05787-2" xr:uid="{FD693D2F-3047-4792-B2B2-548D6BB547D3}"/>
    <hyperlink ref="C1505" r:id="rId1504" display="K2C8_HUMAN|P05787;K2C8_HUMAN|P05787-2" xr:uid="{BC151BA4-29EC-4E27-9A13-C7B7ED1FA385}"/>
    <hyperlink ref="C1506" r:id="rId1505" display="K2C8_HUMAN|P05787;K2C8_HUMAN|P05787-2" xr:uid="{8AC3E036-F816-4C77-A22F-5A478EBA2D50}"/>
    <hyperlink ref="C1507" r:id="rId1506" display="K2C8_HUMAN|P05787;K2C8_HUMAN|P05787-2" xr:uid="{21B62DBE-0114-4B86-87E6-1B14DC22B91D}"/>
    <hyperlink ref="C1508" r:id="rId1507" display="K2C8_HUMAN|P05787;K2C8_HUMAN|P05787-2" xr:uid="{7DCED1F1-BCC8-4F53-ABE0-2C5F0AC2733B}"/>
    <hyperlink ref="C1509" r:id="rId1508" display="K2C8_HUMAN|P05787;K2C8_HUMAN|P05787-2" xr:uid="{7A313B43-5B66-42A6-A172-A387CC63EFC0}"/>
    <hyperlink ref="C1510" r:id="rId1509" display="K2C8_HUMAN|P05787;K2C8_HUMAN|P05787-2" xr:uid="{3466B99B-993E-4B5C-8D10-04AD1E860E85}"/>
    <hyperlink ref="C1511" r:id="rId1510" display="K2C8_HUMAN|P05787;K2C8_HUMAN|P05787-2" xr:uid="{56AA1FFC-7FC9-43DF-9E97-4A8E8C4DFFBC}"/>
    <hyperlink ref="C1512" r:id="rId1511" display="K2C8_HUMAN|P05787;K2C8_HUMAN|P05787-2" xr:uid="{A33F5D03-6949-4E87-9AAE-9C48080B5C58}"/>
    <hyperlink ref="C1513" r:id="rId1512" display="K2C8_HUMAN|P05787;K2C8_HUMAN|P05787-2" xr:uid="{4346E1FE-185A-46FB-913A-249A193E15FE}"/>
    <hyperlink ref="C1514" r:id="rId1513" display="K2C8_HUMAN|P05787;K2C8_HUMAN|P05787-2" xr:uid="{751A6798-305D-4DBB-B3B0-F658D72D54E8}"/>
    <hyperlink ref="C1515" r:id="rId1514" display="K2C8_HUMAN|P05787;K2C8_HUMAN|P05787-2" xr:uid="{ED63DCEB-1324-4694-BFB8-722B1FE6592D}"/>
    <hyperlink ref="C1516" r:id="rId1515" display="K2C8_HUMAN|P05787;K2C8_HUMAN|P05787-2" xr:uid="{884A0912-402C-42E5-8F1D-F4F92F133A81}"/>
    <hyperlink ref="C1517" r:id="rId1516" display="K2C8_HUMAN|P05787;K2C8_HUMAN|P05787-2" xr:uid="{3B416E0D-610F-47F4-B4E2-15E4D6D9B4D1}"/>
    <hyperlink ref="C1518" r:id="rId1517" display="K2C8_HUMAN|P05787;K2C8_HUMAN|P05787-2" xr:uid="{03A1940B-35E5-4938-9232-C65F88DB638E}"/>
    <hyperlink ref="C1519" r:id="rId1518" display="K2C8_HUMAN|P05787;K2C8_HUMAN|P05787-2" xr:uid="{91EABE47-963E-4252-BC65-B87AA32A8E67}"/>
    <hyperlink ref="C1520" r:id="rId1519" display="K2C8_HUMAN|P05787;K2C8_HUMAN|P05787-2" xr:uid="{478D960B-7A6A-4A4E-8251-F82E91419FD8}"/>
    <hyperlink ref="C1521" r:id="rId1520" display="K2C8_HUMAN|P05787;K2C8_HUMAN|P05787-2" xr:uid="{7D9F6298-92E1-46AF-9149-203D769F0050}"/>
    <hyperlink ref="C1522" r:id="rId1521" display="K2C8_HUMAN|P05787;K2C8_HUMAN|P05787-2" xr:uid="{28BB15E5-4A79-4591-ABF0-AC2288E32A64}"/>
    <hyperlink ref="C1523" r:id="rId1522" display="K2C8_HUMAN|P05787;K2C8_HUMAN|P05787-2" xr:uid="{EAC95CD0-314E-4554-8ACB-3E404C785EE1}"/>
    <hyperlink ref="C1524" r:id="rId1523" display="K2C8_HUMAN|P05787;K2C8_HUMAN|P05787-2" xr:uid="{99FF0895-B49F-448B-82E5-9D179199E95D}"/>
    <hyperlink ref="C1525" r:id="rId1524" display="K2C8_HUMAN|P05787;K2C8_HUMAN|P05787-2" xr:uid="{7CFA18CC-DC43-4DED-8092-10BCCFDFE972}"/>
    <hyperlink ref="C1526" r:id="rId1525" display="K2C8_HUMAN|P05787;K2C8_HUMAN|P05787-2" xr:uid="{6CD9F13F-F8A6-4D46-B7FC-FF531B36C1C2}"/>
    <hyperlink ref="C1527" r:id="rId1526" display="K2C8_HUMAN|P05787;K2C8_HUMAN|P05787-2" xr:uid="{6ABD580F-AFF7-483D-9B59-454DFADD40E9}"/>
    <hyperlink ref="C1528" r:id="rId1527" display="K2C8_HUMAN|P05787;K2C8_HUMAN|P05787-2" xr:uid="{C869BFEE-2C8D-4A13-9DE5-C88A0193EFF2}"/>
    <hyperlink ref="C1529" r:id="rId1528" display="K2C8_HUMAN|P05787;K2C8_HUMAN|P05787-2" xr:uid="{8A852A0E-8374-45DA-890B-8FFC08C4669B}"/>
    <hyperlink ref="C1530" r:id="rId1529" display="K2C8_HUMAN|P05787;K2C8_HUMAN|P05787-2" xr:uid="{E24E427E-0F3D-4BD4-8A20-7781F13CC552}"/>
    <hyperlink ref="C1531" r:id="rId1530" display="K2C8_HUMAN|P05787;K2C8_HUMAN|P05787-2" xr:uid="{31FA63FD-6C45-4600-9266-9DC26EF6DBB8}"/>
    <hyperlink ref="C1532" r:id="rId1531" display="K2C8_HUMAN|P05787;K2C8_HUMAN|P05787-2" xr:uid="{E887740D-0CFD-4D7B-A463-D11A5408D687}"/>
    <hyperlink ref="C1533" r:id="rId1532" display="K2C8_HUMAN|P05787;K2C8_HUMAN|P05787-2" xr:uid="{B3BD38A0-47EA-416F-8727-BE9D28BD70D1}"/>
    <hyperlink ref="C1534" r:id="rId1533" display="K2C8_HUMAN|P05787;K2C8_HUMAN|P05787-2" xr:uid="{DB0A5511-9790-45B7-A451-714DD1B5B646}"/>
    <hyperlink ref="C1535" r:id="rId1534" display="K2C8_HUMAN|P05787;K2C8_HUMAN|P05787-2" xr:uid="{6555B84B-CF50-4E68-9E0D-207B9FF8F64E}"/>
    <hyperlink ref="C1536" r:id="rId1535" display="K2C8_HUMAN|P05787;K2C8_HUMAN|P05787-2" xr:uid="{E01050A3-C495-407A-882C-1F5E929360DD}"/>
    <hyperlink ref="C1537" r:id="rId1536" display="K2C8_HUMAN|P05787;K2C8_HUMAN|P05787-2" xr:uid="{DC5DD7D5-B8DD-4EED-80C2-DFE50C8C8A1C}"/>
    <hyperlink ref="C1538" r:id="rId1537" display="K2C8_HUMAN|P05787;K2C8_HUMAN|P05787-2" xr:uid="{0C8B701E-A204-4AA1-A759-47BA90EAE28E}"/>
    <hyperlink ref="C1539" r:id="rId1538" display="K2C8_HUMAN|P05787;K2C8_HUMAN|P05787-2" xr:uid="{B2902487-3386-4DB0-A962-32FF4D23F2DC}"/>
    <hyperlink ref="C1540" r:id="rId1539" display="K2C8_HUMAN|P05787;K2C8_HUMAN|P05787-2" xr:uid="{948AF7BD-4A30-43D2-AA13-6F60A62FB22C}"/>
    <hyperlink ref="C1541" r:id="rId1540" display="K2C8_HUMAN|P05787;K2C8_HUMAN|P05787-2" xr:uid="{FFACADAF-BE7D-4764-9286-0F27DF97295D}"/>
    <hyperlink ref="C1542" r:id="rId1541" display="K2C8_HUMAN|P05787;K2C8_HUMAN|P05787-2" xr:uid="{0BB214FE-E41B-408B-9430-FF17D7C238A1}"/>
    <hyperlink ref="C1543" r:id="rId1542" display="K2C8_HUMAN|P05787;K2C8_HUMAN|P05787-2" xr:uid="{DDC631F4-D6C0-4C1E-A2BD-1828FCB0E75D}"/>
    <hyperlink ref="C1544" r:id="rId1543" display="K2C8_HUMAN|P05787;K2C8_HUMAN|P05787-2" xr:uid="{D7E086BD-7FE2-4FB8-8A45-177878902D7C}"/>
    <hyperlink ref="C1545" r:id="rId1544" display="K2C8_HUMAN|P05787;K2C8_HUMAN|P05787-2" xr:uid="{FD2E199E-FF99-42D8-AB1F-486F94837B3B}"/>
    <hyperlink ref="C1546" r:id="rId1545" display="K2C8_HUMAN|P05787;K2C8_HUMAN|P05787-2" xr:uid="{6C19F79E-F09D-4145-AE86-9915F4BE5E7A}"/>
    <hyperlink ref="C1547" r:id="rId1546" display="K2C8_HUMAN|P05787;K2C8_HUMAN|P05787-2" xr:uid="{BF810990-0DFA-4A79-B36F-D1B86A7659C8}"/>
    <hyperlink ref="C1548" r:id="rId1547" display="K2C8_HUMAN|P05787;K2C8_HUMAN|P05787-2" xr:uid="{52F47124-3FFE-45C1-97AE-445769213BC6}"/>
    <hyperlink ref="C1549" r:id="rId1548" display="K2C8_HUMAN|P05787;K2C8_HUMAN|P05787-2" xr:uid="{D4A83919-E0E0-42E6-94F7-006808E2EE0A}"/>
    <hyperlink ref="C1550" r:id="rId1549" display="K2C8_HUMAN|P05787;K2C8_HUMAN|P05787-2" xr:uid="{CC4C2099-8D2A-4424-ADB5-47F191D29EDC}"/>
    <hyperlink ref="C1551" r:id="rId1550" display="K2C8_HUMAN|P05787;K2C8_HUMAN|P05787-2" xr:uid="{5257F4B1-BE53-4CE0-9D67-02850C87ECB7}"/>
    <hyperlink ref="C1552" r:id="rId1551" display="K2C8_HUMAN|P05787;K2C8_HUMAN|P05787-2" xr:uid="{C627C766-BC98-4DCB-B96F-0C1C60E312AB}"/>
    <hyperlink ref="C1553" r:id="rId1552" display="K2C8_HUMAN|P05787;K2C8_HUMAN|P05787-2" xr:uid="{BE0B4248-10EE-4DB5-B060-DCA303FDAD4C}"/>
    <hyperlink ref="C1554" r:id="rId1553" display="K2C8_HUMAN|P05787;K2C8_HUMAN|P05787-2" xr:uid="{BD2D0B2D-C7DF-4905-9A50-3942559F76A8}"/>
    <hyperlink ref="C1555" r:id="rId1554" display="K2C8_HUMAN|P05787;K2C8_HUMAN|P05787-2" xr:uid="{31EAFD9B-0D9E-4825-A6A7-5634A18F0400}"/>
    <hyperlink ref="C1556" r:id="rId1555" display="K2C8_HUMAN|P05787;K2C8_HUMAN|P05787-2" xr:uid="{408408AA-D3D8-405E-B6DA-589FFEAB8BD8}"/>
    <hyperlink ref="C1557" r:id="rId1556" display="K2C8_HUMAN|P05787;K2C8_HUMAN|P05787-2" xr:uid="{E7B1C359-4A33-4BF1-9682-C201FE554466}"/>
    <hyperlink ref="C1558" r:id="rId1557" display="K2C8_HUMAN|P05787;K2C8_HUMAN|P05787-2" xr:uid="{2A1003D7-4C9D-4E8E-84C1-991E54979A44}"/>
    <hyperlink ref="C1559" r:id="rId1558" display="K2C8_HUMAN|P05787;K2C8_HUMAN|P05787-2" xr:uid="{DECA3586-0A21-4658-B5D3-91ABDA86D518}"/>
    <hyperlink ref="C1560" r:id="rId1559" display="K2C8_HUMAN|P05787;K2C8_HUMAN|P05787-2" xr:uid="{4C73BFC8-CEAF-4314-ADD7-D6C07C442CD4}"/>
    <hyperlink ref="C1561" r:id="rId1560" display="K2C8_HUMAN|P05787;K2C8_HUMAN|P05787-2" xr:uid="{71BF7BF5-83F2-4EE6-B5F4-45B107D8ABC5}"/>
    <hyperlink ref="C1562" r:id="rId1561" display="K2C8_HUMAN|P05787;K2C8_HUMAN|P05787-2" xr:uid="{CDCA3EA8-28AD-4DF9-AAB1-5578C652A95A}"/>
    <hyperlink ref="C1563" r:id="rId1562" display="K2C8_HUMAN|P05787;K2C8_HUMAN|P05787-2" xr:uid="{FFD44B27-F4BD-40AA-81BA-B5B4E80FD3B3}"/>
    <hyperlink ref="C1564" r:id="rId1563" display="K2C8_HUMAN|P05787;K2C8_HUMAN|P05787-2" xr:uid="{198BE5DB-591B-43C7-BCE8-DA6D3AE51A48}"/>
    <hyperlink ref="C1565" r:id="rId1564" display="K2C8_HUMAN|P05787;K2C8_HUMAN|P05787-2" xr:uid="{82DDF8FF-A9F6-4880-BDEA-C7031131D4BD}"/>
    <hyperlink ref="C1566" r:id="rId1565" display="K2C8_HUMAN|P05787;K2C8_HUMAN|P05787-2" xr:uid="{C3B15189-65F6-467C-9D3F-3D7604BB3B5E}"/>
    <hyperlink ref="C1567" r:id="rId1566" display="K2C8_HUMAN|P05787;K2C8_HUMAN|P05787-2" xr:uid="{3D3DD0FA-6C0A-4B1F-B458-EE4FDD999902}"/>
    <hyperlink ref="C1568" r:id="rId1567" display="K2C8_HUMAN|P05787;K2C8_HUMAN|P05787-2" xr:uid="{0293FFB8-41B9-49CB-A7C4-A19540B6F0DB}"/>
    <hyperlink ref="C1569" r:id="rId1568" display="K2C8_HUMAN|P05787;K2C8_HUMAN|P05787-2" xr:uid="{BD8921BB-8A89-4CB2-90D3-E384CAEDC14D}"/>
    <hyperlink ref="C1570" r:id="rId1569" display="K2C8_HUMAN|P05787;K2C8_HUMAN|P05787-2" xr:uid="{E8399DBF-1C52-4D66-8BE0-24E04EA2AA79}"/>
    <hyperlink ref="C1571" r:id="rId1570" display="K2C8_HUMAN|P05787;K2C8_HUMAN|P05787-2" xr:uid="{570E512B-3EFA-49E1-B684-FE6DD2A599A8}"/>
    <hyperlink ref="C1572" r:id="rId1571" display="K2C8_HUMAN|P05787;K2C8_HUMAN|P05787-2" xr:uid="{32B9C1BE-77B7-46B8-9D84-05ABDB19FB2E}"/>
    <hyperlink ref="C1573" r:id="rId1572" display="K2C8_HUMAN|P05787;K2C8_HUMAN|P05787-2" xr:uid="{2421A781-E3FD-496D-8521-5B748E30CDA7}"/>
    <hyperlink ref="C1574" r:id="rId1573" display="K2C8_HUMAN|P05787;K2C8_HUMAN|P05787-2" xr:uid="{AB7D3EBA-91AF-4753-8CB9-391923BE38B3}"/>
    <hyperlink ref="C1575" r:id="rId1574" display="K2C8_HUMAN|P05787;K2C8_HUMAN|P05787-2" xr:uid="{9CFFEE3B-0ED6-4218-BE71-A85DE46A786C}"/>
    <hyperlink ref="C1576" r:id="rId1575" display="K2C8_HUMAN|P05787;K2C8_HUMAN|P05787-2" xr:uid="{D7FF7B0E-65B1-44D5-A65D-CB7EAC013C76}"/>
    <hyperlink ref="C1577" r:id="rId1576" display="K2C8_HUMAN|P05787;K2C8_HUMAN|P05787-2" xr:uid="{E4B70DAB-31EB-45B7-A211-63CDD3C14A4E}"/>
    <hyperlink ref="C1578" r:id="rId1577" display="K2C8_HUMAN|P05787;K2C8_HUMAN|P05787-2" xr:uid="{9D3649E0-CE28-4D2B-991C-B3AC952FC8FD}"/>
    <hyperlink ref="C1579" r:id="rId1578" display="K2C8_HUMAN|P05787;K2C8_HUMAN|P05787-2" xr:uid="{FF87896A-01C5-46D6-B215-C689C49BCF37}"/>
    <hyperlink ref="C1580" r:id="rId1579" display="K2C8_HUMAN|P05787;K2C8_HUMAN|P05787-2" xr:uid="{EEFB389E-2BFD-404F-9223-70797EF5FEBE}"/>
    <hyperlink ref="C1581" r:id="rId1580" display="K2C8_HUMAN|P05787;K2C8_HUMAN|P05787-2" xr:uid="{81606C3A-0CFE-4F07-88DE-87C7A3A2130C}"/>
    <hyperlink ref="C1582" r:id="rId1581" display="K2C8_HUMAN|P05787;K2C8_HUMAN|P05787-2" xr:uid="{E0BD8F99-F26B-4878-BEB4-03167E1CB9DA}"/>
    <hyperlink ref="C1583" r:id="rId1582" display="K2C8_HUMAN|P05787;K2C8_HUMAN|P05787-2" xr:uid="{2E72D37B-4732-4E59-A225-68A277B2AE94}"/>
    <hyperlink ref="C1584" r:id="rId1583" display="K2C8_HUMAN|P05787;K2C8_HUMAN|P05787-2" xr:uid="{F09C4357-61F5-4081-B27E-CDF6FABD1BCE}"/>
    <hyperlink ref="C1585" r:id="rId1584" display="K2C8_HUMAN|P05787;K2C8_HUMAN|P05787-2" xr:uid="{8AB22982-07C0-4BA2-9880-1E7ABE971AF7}"/>
    <hyperlink ref="C1586" r:id="rId1585" display="K2C8_HUMAN|P05787;K2C8_HUMAN|P05787-2" xr:uid="{3BA939AA-5525-4DBE-8F93-E516DADB4483}"/>
    <hyperlink ref="C1587" r:id="rId1586" display="K2C8_HUMAN|P05787;K2C8_HUMAN|P05787-2" xr:uid="{06A92137-9B6F-4531-B6B5-BAAE173C6F6B}"/>
    <hyperlink ref="C1588" r:id="rId1587" display="K2C8_HUMAN|P05787;K2C8_HUMAN|P05787-2" xr:uid="{E203F6E6-20E3-4290-8B58-56FDA6E34A1A}"/>
    <hyperlink ref="C1589" r:id="rId1588" display="K2C8_HUMAN|P05787;K2C8_HUMAN|P05787-2" xr:uid="{2ECAB003-95C3-4C76-8696-6DB5AC42F4BE}"/>
    <hyperlink ref="C1590" r:id="rId1589" display="K2C8_HUMAN|P05787;K2C8_HUMAN|P05787-2" xr:uid="{BA97FB18-CE26-4D12-9A81-413211D401B9}"/>
    <hyperlink ref="C1591" r:id="rId1590" display="K2C8_HUMAN|P05787;K2C8_HUMAN|P05787-2" xr:uid="{9583BBCF-841F-4B23-BBE5-C69EDB1E282C}"/>
    <hyperlink ref="C1592" r:id="rId1591" display="K2C8_HUMAN|P05787;K2C8_HUMAN|P05787-2" xr:uid="{386CAA61-BB41-4759-B59F-148B89FFB52E}"/>
    <hyperlink ref="C1593" r:id="rId1592" display="K2C8_HUMAN|P05787;K2C8_HUMAN|P05787-2" xr:uid="{FDB31DA5-3AA8-4836-BF81-98AE29DB0C8A}"/>
    <hyperlink ref="C1594" r:id="rId1593" display="K2C8_HUMAN|P05787;K2C8_HUMAN|P05787-2" xr:uid="{BE7DBCBF-F397-4F37-BE92-9A44A899BD7E}"/>
    <hyperlink ref="C1595" r:id="rId1594" display="K2C8_HUMAN|P05787;K2C8_HUMAN|P05787-2" xr:uid="{5BD49B4C-427A-4A93-A3E0-D6E5CF4A33F6}"/>
    <hyperlink ref="C1596" r:id="rId1595" display="K2C8_HUMAN|P05787;K2C8_HUMAN|P05787-2" xr:uid="{B9C747D5-E564-473F-99C3-3FBC4AC33B4A}"/>
    <hyperlink ref="C1597" r:id="rId1596" display="K2C8_HUMAN|P05787;K2C8_HUMAN|P05787-2" xr:uid="{44C06FDE-0F7F-46A2-8209-49D8347C22B7}"/>
    <hyperlink ref="C1598" r:id="rId1597" display="K2C8_HUMAN|P05787;K2C8_HUMAN|P05787-2" xr:uid="{41F77910-CE04-4F27-81CA-ECC1F703E886}"/>
    <hyperlink ref="C1599" r:id="rId1598" display="K2C8_HUMAN|P05787;K2C8_HUMAN|P05787-2" xr:uid="{819830E1-690E-410F-875E-F9CC9C7A6F6A}"/>
    <hyperlink ref="C1600" r:id="rId1599" display="K2C8_HUMAN|P05787;K2C8_HUMAN|P05787-2" xr:uid="{3919BE5F-4385-401B-9643-C79944CF42AA}"/>
    <hyperlink ref="C1601" r:id="rId1600" display="K2C8_HUMAN|P05787;K2C8_HUMAN|P05787-2" xr:uid="{0253049A-5DD5-405B-AF88-EDE5D17E0E6E}"/>
    <hyperlink ref="C1602" r:id="rId1601" display="K2C8_HUMAN|P05787;K2C8_HUMAN|P05787-2" xr:uid="{90215FB7-3B02-45F5-8CD7-EA734AD0F6EE}"/>
    <hyperlink ref="C1603" r:id="rId1602" display="K2C8_HUMAN|P05787;K2C8_HUMAN|P05787-2" xr:uid="{F943D993-1AA1-45AC-BA25-8AC44D1A7F9D}"/>
    <hyperlink ref="C1604" r:id="rId1603" display="K2C8_HUMAN|P05787;K2C8_HUMAN|P05787-2" xr:uid="{5021A850-24AB-43F7-AA2D-49056D50522E}"/>
    <hyperlink ref="C1605" r:id="rId1604" display="K2C8_HUMAN|P05787;K2C8_HUMAN|P05787-2" xr:uid="{2F06C7CE-6699-4FF3-979B-2930248A8297}"/>
    <hyperlink ref="C1606" r:id="rId1605" display="K2C8_HUMAN|P05787;K2C8_HUMAN|P05787-2" xr:uid="{5684E549-DA38-42EB-97CC-369A97870BDA}"/>
    <hyperlink ref="C1607" r:id="rId1606" display="K2C8_HUMAN|P05787;K2C8_HUMAN|P05787-2" xr:uid="{3E9A4348-E5F3-4E9A-90B8-BA73400890D3}"/>
    <hyperlink ref="C1608" r:id="rId1607" display="K2C8_HUMAN|P05787;K2C8_HUMAN|P05787-2" xr:uid="{AB9B17CC-E760-418D-9B4C-9DB02D7367AA}"/>
    <hyperlink ref="C1609" r:id="rId1608" display="K2C8_HUMAN|P05787;K2C8_HUMAN|P05787-2" xr:uid="{AACB84E3-308D-4540-B584-39CDE4A8360F}"/>
    <hyperlink ref="C1610" r:id="rId1609" display="K2C8_HUMAN|P05787;K2C8_HUMAN|P05787-2" xr:uid="{5150F723-4714-471C-AE55-B72340BE7F41}"/>
    <hyperlink ref="C1611" r:id="rId1610" display="K2C8_HUMAN|P05787;K2C8_HUMAN|P05787-2" xr:uid="{BA7197F8-292D-49AD-A3CE-7CB9F3BBD43B}"/>
    <hyperlink ref="C1612" r:id="rId1611" display="K2C8_HUMAN|P05787;K2C8_HUMAN|P05787-2" xr:uid="{E9096703-9B4B-4D4B-A79F-573DD41AF9A2}"/>
    <hyperlink ref="C1613" r:id="rId1612" display="K2C8_HUMAN|P05787;K2C8_HUMAN|P05787-2" xr:uid="{6F15610A-0B46-423B-B9A0-C048CF32E94A}"/>
    <hyperlink ref="C1614" r:id="rId1613" display="K2C8_HUMAN|P05787;K2C8_HUMAN|P05787-2" xr:uid="{CD2E0053-0AFA-49FE-B35A-C23C95FCB7FD}"/>
    <hyperlink ref="C1650" r:id="rId1614" display="FUS_HUMAN|P35637;FUS_HUMAN|P35637-2" xr:uid="{3FA54B5E-2F3D-4652-8FA1-150A29513721}"/>
    <hyperlink ref="C1651" r:id="rId1615" display="FUS_HUMAN|P35637;FUS_HUMAN|P35637-2" xr:uid="{C91F1F97-071F-4397-817E-E26660251313}"/>
    <hyperlink ref="C1652" r:id="rId1616" display="FUS_HUMAN|P35637;FUS_HUMAN|P35637-2" xr:uid="{952A630B-99A2-40C5-9FE9-33536387BCD7}"/>
    <hyperlink ref="C1653" r:id="rId1617" display="FUS_HUMAN|P35637;FUS_HUMAN|P35637-2" xr:uid="{FF900167-DEA7-4D94-AD01-7D87BDCD0DC1}"/>
    <hyperlink ref="C1654" r:id="rId1618" display="FUS_HUMAN|P35637;FUS_HUMAN|P35637-2" xr:uid="{A81A9B98-EE60-45A3-9A5D-29A345DF3AA5}"/>
    <hyperlink ref="C1655" r:id="rId1619" display="FUS_HUMAN|P35637;FUS_HUMAN|P35637-2" xr:uid="{CA826765-61DC-4F81-8FD8-B409A12490F7}"/>
    <hyperlink ref="C1656" r:id="rId1620" display="FUS_HUMAN|P35637;FUS_HUMAN|P35637-2" xr:uid="{BB04660F-8201-4EC8-AE81-4740E4A62B62}"/>
    <hyperlink ref="C1657" r:id="rId1621" display="FUS_HUMAN|P35637;FUS_HUMAN|P35637-2" xr:uid="{A01A2702-BE35-4196-A894-D720C174378C}"/>
    <hyperlink ref="C1769" r:id="rId1622" display="EWS_HUMAN|Q01844;EWS_HUMAN|Q01844-2;EWS_HUMAN|Q01844-3;EWS_HUMAN|Q01844-5;EWS_HUMAN|Q01844-6" xr:uid="{132DC695-49B9-4299-80E1-8F04E594801C}"/>
    <hyperlink ref="C1771" r:id="rId1623" display="EWS_HUMAN|Q01844;EWS_HUMAN|Q01844-2;EWS_HUMAN|Q01844-3;EWS_HUMAN|Q01844-5;EWS_HUMAN|Q01844-6" xr:uid="{4D429346-FF6D-4AA0-89BF-19FD57DB729F}"/>
    <hyperlink ref="C1772" r:id="rId1624" display="EWS_HUMAN|Q01844;EWS_HUMAN|Q01844-2;EWS_HUMAN|Q01844-3;EWS_HUMAN|Q01844-5;EWS_HUMAN|Q01844-6" xr:uid="{6A9750C1-6FC4-4D3C-AA89-CDD7668FE7B5}"/>
    <hyperlink ref="C1773" r:id="rId1625" display="EWS_HUMAN|Q01844;EWS_HUMAN|Q01844-2;EWS_HUMAN|Q01844-3;EWS_HUMAN|Q01844-5;EWS_HUMAN|Q01844-6" xr:uid="{63B6FB52-24BE-4F88-9AA1-5CD363C1A964}"/>
    <hyperlink ref="C1774" r:id="rId1626" display="EWS_HUMAN|Q01844;EWS_HUMAN|Q01844-2;EWS_HUMAN|Q01844-3;EWS_HUMAN|Q01844-5;EWS_HUMAN|Q01844-6" xr:uid="{7615A3A1-907B-49CB-AE4E-803CC9E3C162}"/>
    <hyperlink ref="C1775" r:id="rId1627" display="EWS_HUMAN|Q01844;EWS_HUMAN|Q01844-2;EWS_HUMAN|Q01844-3;EWS_HUMAN|Q01844-5;EWS_HUMAN|Q01844-6" xr:uid="{43BD7ABA-AD8F-43C0-A264-7C7B38941EB4}"/>
    <hyperlink ref="C1776" r:id="rId1628" display="EWS_HUMAN|Q01844;EWS_HUMAN|Q01844-2;EWS_HUMAN|Q01844-3;EWS_HUMAN|Q01844-5;EWS_HUMAN|Q01844-6" xr:uid="{4023AC1C-8F37-4E4C-ADB9-671696D22D23}"/>
    <hyperlink ref="C1777" r:id="rId1629" display="EWS_HUMAN|Q01844;EWS_HUMAN|Q01844-2;EWS_HUMAN|Q01844-3;EWS_HUMAN|Q01844-5;EWS_HUMAN|Q01844-6" xr:uid="{68CB1D31-B32D-4A94-B096-8491711F02E8}"/>
    <hyperlink ref="C1778" r:id="rId1630" display="EWS_HUMAN|Q01844;EWS_HUMAN|Q01844-2;EWS_HUMAN|Q01844-3;EWS_HUMAN|Q01844-5;EWS_HUMAN|Q01844-6" xr:uid="{1992C68F-1EC9-45BA-B31A-F4A26CF4C53B}"/>
    <hyperlink ref="C1779" r:id="rId1631" display="EWS_HUMAN|Q01844;EWS_HUMAN|Q01844-2;EWS_HUMAN|Q01844-3;EWS_HUMAN|Q01844-5;EWS_HUMAN|Q01844-6" xr:uid="{D2B7A7BF-61CE-420C-9CEA-1AED89E5F75D}"/>
    <hyperlink ref="C1780" r:id="rId1632" display="EWS_HUMAN|Q01844;EWS_HUMAN|Q01844-2;EWS_HUMAN|Q01844-3;EWS_HUMAN|Q01844-5;EWS_HUMAN|Q01844-6" xr:uid="{F2ADC7C2-2B58-4F96-9211-7EFEBAF62148}"/>
    <hyperlink ref="C1781" r:id="rId1633" display="EWS_HUMAN|Q01844;EWS_HUMAN|Q01844-2;EWS_HUMAN|Q01844-3;EWS_HUMAN|Q01844-5;EWS_HUMAN|Q01844-6" xr:uid="{7B864ED8-464F-4B1E-A2FC-3FD212025902}"/>
    <hyperlink ref="C1782" r:id="rId1634" display="EWS_HUMAN|Q01844;EWS_HUMAN|Q01844-2;EWS_HUMAN|Q01844-3;EWS_HUMAN|Q01844-5;EWS_HUMAN|Q01844-6" xr:uid="{D87C4F27-7E25-4480-B0AE-4558C9946B34}"/>
    <hyperlink ref="B1783" r:id="rId1635" display="ROA0_HUMAN|Q13151" xr:uid="{EBEE8BAD-BB91-42A1-BB41-782F32241CB8}"/>
    <hyperlink ref="B1784" r:id="rId1636" display="ROA0_HUMAN|Q13151" xr:uid="{A185EEBD-87DE-416A-831D-F42A13080957}"/>
    <hyperlink ref="C1783" r:id="rId1637" display="ROA1_HUMAN|P09651" xr:uid="{42F81764-17A8-4B4B-9CC9-0241AED56E84}"/>
    <hyperlink ref="C1784" r:id="rId1638" display="ROA1_HUMAN|P09651" xr:uid="{74AB22B2-FEB5-4457-B299-51B23423D051}"/>
    <hyperlink ref="B1798" r:id="rId1639" display="ROA1_HUMAN|P09651-2;ROA1_HUMAN|P09651" xr:uid="{4FDC4EBA-EFB0-4370-B04D-CC22105455EB}"/>
    <hyperlink ref="B1799" r:id="rId1640" display="ROA1_HUMAN|P09651-2;ROA1_HUMAN|P09651" xr:uid="{6CC65DCA-A9FC-47B4-8773-22E44BAAF4B0}"/>
    <hyperlink ref="B1800" r:id="rId1641" display="ROA1_HUMAN|P09651-2;ROA1_HUMAN|P09651" xr:uid="{4BB85A03-7054-41AE-B462-C4B4D897B87D}"/>
    <hyperlink ref="B1801" r:id="rId1642" display="ROA1_HUMAN|P09651-2;ROA1_HUMAN|P09651" xr:uid="{BBC4A138-D268-4D92-8DDD-C3AF12019F59}"/>
    <hyperlink ref="B1802" r:id="rId1643" display="ROA1_HUMAN|P09651-2;ROA1_HUMAN|P09651" xr:uid="{2C4A05B4-A440-4EF9-9ECE-3FA48A1E95A6}"/>
    <hyperlink ref="B1803" r:id="rId1644" display="ROA1_HUMAN|P09651-2;ROA1_HUMAN|P09651" xr:uid="{D3CC7B48-C4A3-4717-99EB-B04BCA29EAB1}"/>
    <hyperlink ref="B1804" r:id="rId1645" display="ROA1_HUMAN|P09651-2;ROA1_HUMAN|P09651" xr:uid="{08259499-2269-4594-8732-24501D9491CA}"/>
    <hyperlink ref="B1805" r:id="rId1646" display="ROA1_HUMAN|P09651-2;ROA1_HUMAN|P09651" xr:uid="{D4F773FC-8144-4E0F-AA66-C9B0927A2341}"/>
    <hyperlink ref="B1806" r:id="rId1647" display="ROA1_HUMAN|P09651-2;ROA1_HUMAN|P09651" xr:uid="{EF5473DD-B219-47B0-B301-734B1FBA15A9}"/>
    <hyperlink ref="B1807" r:id="rId1648" display="ROA1_HUMAN|P09651-2;ROA1_HUMAN|P09651" xr:uid="{4355C620-1FB7-484B-8C99-7A8F0228FC07}"/>
    <hyperlink ref="B1808" r:id="rId1649" display="ROA1_HUMAN|P09651-2;ROA1_HUMAN|P09651" xr:uid="{50180230-FE5A-48EC-BFAE-81F1918B93F8}"/>
    <hyperlink ref="C1798" r:id="rId1650" display="ROA1_HUMAN|P09651-2;ROA1_HUMAN|P09651" xr:uid="{C3029F1F-EC98-4E5C-87B6-6558C87FB903}"/>
    <hyperlink ref="C1799" r:id="rId1651" display="ROA1_HUMAN|P09651-2;ROA1_HUMAN|P09651" xr:uid="{A24E6DED-2F31-4535-ABBA-503AA9188FBD}"/>
    <hyperlink ref="C1800" r:id="rId1652" display="ROA1_HUMAN|P09651-2;ROA1_HUMAN|P09651" xr:uid="{056650BB-2F6B-4DFB-B8FC-FBC2FA4DA5BB}"/>
    <hyperlink ref="C1801" r:id="rId1653" display="ROA1_HUMAN|P09651-2;ROA1_HUMAN|P09651" xr:uid="{2BF439CE-74C3-4814-AFA0-1B9923B4FF46}"/>
    <hyperlink ref="C1802" r:id="rId1654" display="ROA1_HUMAN|P09651-2;ROA1_HUMAN|P09651" xr:uid="{EE74E4FC-B17B-4227-84A4-4FB7F543E1B7}"/>
    <hyperlink ref="C1803" r:id="rId1655" display="ROA1_HUMAN|P09651-2;ROA1_HUMAN|P09651" xr:uid="{415EA1CB-C301-4678-B8BC-EB9E4E33CAC9}"/>
    <hyperlink ref="C1804" r:id="rId1656" display="ROA1_HUMAN|P09651-2;ROA1_HUMAN|P09651" xr:uid="{E860C346-FE81-4705-99BE-993739EAC6B7}"/>
    <hyperlink ref="C1805" r:id="rId1657" display="ROA1_HUMAN|P09651-2;ROA1_HUMAN|P09651" xr:uid="{1250F4B2-508E-4CA7-A2A7-B60CC3C1D1A6}"/>
    <hyperlink ref="C1806" r:id="rId1658" display="ROA1_HUMAN|P09651-2;ROA1_HUMAN|P09651" xr:uid="{0C6AF498-E456-4BFC-8BA7-7FEEE1B5FFB2}"/>
    <hyperlink ref="C1807" r:id="rId1659" display="ROA1_HUMAN|P09651-2;ROA1_HUMAN|P09651" xr:uid="{2F0C107B-A3F8-4913-A303-F293D3365584}"/>
    <hyperlink ref="C1808" r:id="rId1660" display="ROA1_HUMAN|P09651-2;ROA1_HUMAN|P09651" xr:uid="{B9546DB4-01FB-44E3-AFE9-DC2FD59C2271}"/>
    <hyperlink ref="C1809" r:id="rId1661" display="ROA2_HUMAN|P22626;ROA2_HUMAN|P22626-2" xr:uid="{746F9BA8-372C-464D-B746-EA822F4A2131}"/>
    <hyperlink ref="C1810" r:id="rId1662" display="ROA2_HUMAN|P22626;ROA2_HUMAN|P22626-2" xr:uid="{9193A27D-59D1-4130-8344-F02392FF8449}"/>
    <hyperlink ref="C1811" r:id="rId1663" display="ROA2_HUMAN|P22626;ROA2_HUMAN|P22626-2" xr:uid="{40EAA33E-7BA6-4EF7-AA8D-2CEBF1C00D36}"/>
    <hyperlink ref="C1812" r:id="rId1664" display="ROA2_HUMAN|P22626;ROA2_HUMAN|P22626-2" xr:uid="{D18DB06A-ABC2-4B4A-AEF7-309C98661262}"/>
    <hyperlink ref="C1813" r:id="rId1665" display="ROA2_HUMAN|P22626;ROA2_HUMAN|P22626-2" xr:uid="{9E241F2D-2C65-4AC2-A344-3527D3C793C6}"/>
    <hyperlink ref="C1814" r:id="rId1666" display="ROA2_HUMAN|P22626;ROA2_HUMAN|P22626-2" xr:uid="{09E3FCD4-9831-4240-8C71-1F77A216F936}"/>
    <hyperlink ref="C1815" r:id="rId1667" display="ROA2_HUMAN|P22626;ROA2_HUMAN|P22626-2" xr:uid="{2D04181C-6BAB-4AC1-8F54-C711BE969679}"/>
    <hyperlink ref="C1816" r:id="rId1668" display="ROA2_HUMAN|P22626;ROA2_HUMAN|P22626-2" xr:uid="{1E4563E9-F515-42DF-AD53-B82C8EF8BD7C}"/>
    <hyperlink ref="C1817" r:id="rId1669" display="ROA2_HUMAN|P22626;ROA2_HUMAN|P22626-2" xr:uid="{50F3B192-0518-44D9-9705-B5D61274F9BD}"/>
    <hyperlink ref="C1818" r:id="rId1670" display="ROA2_HUMAN|P22626;ROA2_HUMAN|P22626-2" xr:uid="{AC71D294-FEA9-47A2-8B2B-C4AC5A4006C7}"/>
    <hyperlink ref="C1819" r:id="rId1671" display="ROA2_HUMAN|P22626;ROA2_HUMAN|P22626-2" xr:uid="{F62F88E9-32ED-4777-999E-202DBA1167D4}"/>
    <hyperlink ref="C1820" r:id="rId1672" display="ROA2_HUMAN|P22626;ROA2_HUMAN|P22626-2" xr:uid="{B89C0287-680A-4FE6-B7B7-8D788BC0482E}"/>
    <hyperlink ref="C1821" r:id="rId1673" display="ROA2_HUMAN|P22626;ROA2_HUMAN|P22626-2" xr:uid="{60073057-02BB-4AA5-B129-84A21567B347}"/>
    <hyperlink ref="C1822" r:id="rId1674" display="ROA2_HUMAN|P22626;ROA2_HUMAN|P22626-2" xr:uid="{DA45CC4F-91D4-4AFC-ACCC-375B59E3EDD8}"/>
    <hyperlink ref="C1823" r:id="rId1675" display="ROA2_HUMAN|P22626;ROA2_HUMAN|P22626-2" xr:uid="{60F99119-1797-438C-A031-4E949D7B9CDC}"/>
    <hyperlink ref="C1824" r:id="rId1676" display="ROA2_HUMAN|P22626;ROA2_HUMAN|P22626-2" xr:uid="{2F9D9C49-946E-411F-8331-AC132DF87D07}"/>
    <hyperlink ref="C1825" r:id="rId1677" display="ROA2_HUMAN|P22626;ROA2_HUMAN|P22626-2" xr:uid="{625C3247-ED1C-43F5-B468-D8B56174D665}"/>
    <hyperlink ref="C1826" r:id="rId1678" display="ROA2_HUMAN|P22626;ROA2_HUMAN|P22626-2" xr:uid="{A4560EDC-A731-4D09-87FA-75156514B92A}"/>
    <hyperlink ref="C1827" r:id="rId1679" display="ROA2_HUMAN|P22626;ROA2_HUMAN|P22626-2" xr:uid="{DEB00A43-E4F2-41A8-BA95-D030E882535B}"/>
    <hyperlink ref="C1828" r:id="rId1680" display="ROA2_HUMAN|P22626;ROA2_HUMAN|P22626-2" xr:uid="{2C1CB2B9-72A3-4616-836D-F3F05C251293}"/>
    <hyperlink ref="C1829" r:id="rId1681" display="ROA2_HUMAN|P22626;ROA2_HUMAN|P22626-2" xr:uid="{BCDC56C7-269A-470B-ADDA-6A2221C3857E}"/>
    <hyperlink ref="C1830" r:id="rId1682" display="ROA2_HUMAN|P22626;ROA2_HUMAN|P22626-2" xr:uid="{D8286723-243C-486A-B8F0-8FDD3C249046}"/>
    <hyperlink ref="C1831" r:id="rId1683" display="ROA2_HUMAN|P22626;ROA2_HUMAN|P22626-2" xr:uid="{3680396F-CA07-4975-BD75-45D71608D272}"/>
    <hyperlink ref="C1832" r:id="rId1684" display="ROA2_HUMAN|P22626;ROA2_HUMAN|P22626-2" xr:uid="{62A9B99B-2546-46BF-9105-50BFE112C477}"/>
    <hyperlink ref="C1833" r:id="rId1685" display="ROA2_HUMAN|P22626;ROA2_HUMAN|P22626-2" xr:uid="{E5D9643F-958A-42D1-99F6-9C5F2B6FEB86}"/>
    <hyperlink ref="C1834" r:id="rId1686" display="ROA2_HUMAN|P22626;ROA2_HUMAN|P22626-2" xr:uid="{4EA00BA9-E9FE-4D02-8605-4C2D43341E7E}"/>
    <hyperlink ref="C1835" r:id="rId1687" display="ROA2_HUMAN|P22626;ROA2_HUMAN|P22626-2" xr:uid="{3A63D91A-313D-448C-8F3F-386A068FBD06}"/>
    <hyperlink ref="C1836" r:id="rId1688" display="ROA2_HUMAN|P22626;ROA2_HUMAN|P22626-2" xr:uid="{00C3AAC8-EE3D-400C-88DC-3270B72E6F8A}"/>
    <hyperlink ref="C1837" r:id="rId1689" display="ROA2_HUMAN|P22626;ROA2_HUMAN|P22626-2" xr:uid="{9092577B-FC8C-4430-BBC1-BB6736098AE7}"/>
    <hyperlink ref="C1838" r:id="rId1690" display="ROA2_HUMAN|P22626;ROA2_HUMAN|P22626-2" xr:uid="{621FA15F-4B19-4997-A7AB-B1E44D2EFE1D}"/>
    <hyperlink ref="C1839" r:id="rId1691" display="ROA2_HUMAN|P22626;ROA2_HUMAN|P22626-2" xr:uid="{CA058E86-9DA3-4D0A-8FA4-6A88AFF26242}"/>
    <hyperlink ref="C1840" r:id="rId1692" display="ROA2_HUMAN|P22626;ROA2_HUMAN|P22626-2" xr:uid="{980961DA-067D-4358-BD20-927D520ECBB8}"/>
    <hyperlink ref="C1841" r:id="rId1693" display="ROA2_HUMAN|P22626;ROA2_HUMAN|P22626-2" xr:uid="{DE487A67-4D70-48E3-A57D-1137E8F508F0}"/>
    <hyperlink ref="C1842" r:id="rId1694" display="ROA2_HUMAN|P22626;ROA2_HUMAN|P22626-2" xr:uid="{38CEE669-3DD2-4947-B818-7C71C2D4B3A3}"/>
    <hyperlink ref="C1843" r:id="rId1695" display="ROA2_HUMAN|P22626;ROA2_HUMAN|P22626-2" xr:uid="{B0221778-FDAC-48C1-9184-19B4C6E2D13E}"/>
    <hyperlink ref="C1844" r:id="rId1696" display="ROA2_HUMAN|P22626;ROA2_HUMAN|P22626-2" xr:uid="{EC787859-7C26-443E-B8BD-5E0535763702}"/>
    <hyperlink ref="C1845" r:id="rId1697" display="ROA2_HUMAN|P22626;ROA2_HUMAN|P22626-2" xr:uid="{DAAD29F9-0A8A-4BF7-8E9E-7BA55C4EC5C4}"/>
    <hyperlink ref="C1846" r:id="rId1698" display="ROA2_HUMAN|P22626;ROA2_HUMAN|P22626-2" xr:uid="{CAED0F04-A2F0-4DFA-9A73-4A7A10BF8EDD}"/>
    <hyperlink ref="C1847" r:id="rId1699" display="ROA2_HUMAN|P22626;ROA2_HUMAN|P22626-2" xr:uid="{D08DAEC3-BCCA-44EB-8B21-C9C4FE53005F}"/>
    <hyperlink ref="C1848" r:id="rId1700" display="ROA2_HUMAN|P22626;ROA2_HUMAN|P22626-2" xr:uid="{7AFC2E2F-C6B9-42AE-A51F-E94F4E3AD20E}"/>
    <hyperlink ref="C1849" r:id="rId1701" display="ROA2_HUMAN|P22626;ROA2_HUMAN|P22626-2" xr:uid="{91B2EB38-2FC3-4177-AC3D-865F3C957619}"/>
    <hyperlink ref="C1850" r:id="rId1702" display="ROA2_HUMAN|P22626;ROA2_HUMAN|P22626-2" xr:uid="{2648C0E3-79BE-420F-9CEE-AF442EDF66E6}"/>
    <hyperlink ref="C1851" r:id="rId1703" display="ROA2_HUMAN|P22626;ROA2_HUMAN|P22626-2" xr:uid="{26368C4B-E39D-4FA6-8C66-E0F6547A5043}"/>
    <hyperlink ref="C1852" r:id="rId1704" display="ROA2_HUMAN|P22626;ROA2_HUMAN|P22626-2" xr:uid="{6255BB73-6188-455D-8B20-8BAA2D263A8C}"/>
    <hyperlink ref="C1853" r:id="rId1705" display="ROA2_HUMAN|P22626;ROA2_HUMAN|P22626-2" xr:uid="{55438395-3EB0-4BBC-8634-2F1E9A8275C4}"/>
    <hyperlink ref="C1854" r:id="rId1706" display="ROA2_HUMAN|P22626;ROA2_HUMAN|P22626-2" xr:uid="{17C10F1A-CB6D-4A08-AB9C-D750EBAB30BD}"/>
    <hyperlink ref="C1855" r:id="rId1707" display="ROA2_HUMAN|P22626;ROA2_HUMAN|P22626-2" xr:uid="{04E2943F-B0C7-47C4-8F2D-1409AC3FFE55}"/>
    <hyperlink ref="C1856" r:id="rId1708" display="ROA2_HUMAN|P22626;ROA2_HUMAN|P22626-2" xr:uid="{9F7E0ADE-F3EA-4DC7-A20D-DD9CA55E1550}"/>
    <hyperlink ref="C1857" r:id="rId1709" display="ROA2_HUMAN|P22626;ROA2_HUMAN|P22626-2" xr:uid="{F3ED069C-4E4A-4A75-8680-1472BBEE7F84}"/>
    <hyperlink ref="C1858" r:id="rId1710" display="ROA2_HUMAN|P22626;ROA2_HUMAN|P22626-2" xr:uid="{C0053837-8EE6-4C19-9822-3007C3FB3ADC}"/>
    <hyperlink ref="C1859" r:id="rId1711" display="ROA2_HUMAN|P22626;ROA2_HUMAN|P22626-2" xr:uid="{081F66F2-9018-44EB-951E-D43B68C79E79}"/>
    <hyperlink ref="C1860" r:id="rId1712" display="ROA2_HUMAN|P22626;ROA2_HUMAN|P22626-2" xr:uid="{95923783-8802-4CD5-A72B-8C0E62D4A626}"/>
    <hyperlink ref="C1861" r:id="rId1713" display="ROA2_HUMAN|P22626;ROA2_HUMAN|P22626-2" xr:uid="{E8ABD495-3713-4D95-8DF0-8F9B3D8B5C81}"/>
    <hyperlink ref="C1862" r:id="rId1714" display="ROA2_HUMAN|P22626;ROA2_HUMAN|P22626-2" xr:uid="{27F03B96-D51C-45A9-83FD-721188B89FD8}"/>
    <hyperlink ref="C1863" r:id="rId1715" display="ROA2_HUMAN|P22626;ROA2_HUMAN|P22626-2" xr:uid="{97D3829C-4554-486A-B002-41F50F5375C5}"/>
    <hyperlink ref="C1864" r:id="rId1716" display="ROA2_HUMAN|P22626;ROA2_HUMAN|P22626-2" xr:uid="{810AE8E3-FAA8-4F35-BE39-FB5FE2656C8A}"/>
    <hyperlink ref="C1865" r:id="rId1717" display="ROA2_HUMAN|P22626;ROA2_HUMAN|P22626-2" xr:uid="{1616E448-C0E4-4E97-9E14-11C505707D92}"/>
    <hyperlink ref="C1866" r:id="rId1718" display="ROA2_HUMAN|P22626;ROA2_HUMAN|P22626-2" xr:uid="{BCB0CFE9-114C-4804-92E7-30378E7AF3B4}"/>
    <hyperlink ref="C1867" r:id="rId1719" display="ROA2_HUMAN|P22626;ROA2_HUMAN|P22626-2" xr:uid="{F7117AF4-B3C5-4158-9012-09E718718254}"/>
    <hyperlink ref="C1868" r:id="rId1720" display="ROA2_HUMAN|P22626;ROA2_HUMAN|P22626-2" xr:uid="{803B7C9B-A680-4A2B-B04B-BB2F23FE9157}"/>
    <hyperlink ref="C1869" r:id="rId1721" display="ROA2_HUMAN|P22626;ROA2_HUMAN|P22626-2" xr:uid="{CA85BDC9-AB8F-4068-808F-D5E22A2D544C}"/>
    <hyperlink ref="C1870" r:id="rId1722" display="ROA2_HUMAN|P22626;ROA2_HUMAN|P22626-2" xr:uid="{9048232F-E320-4BBF-B4F1-737EC783EBE8}"/>
    <hyperlink ref="C1871" r:id="rId1723" display="ROA2_HUMAN|P22626;ROA2_HUMAN|P22626-2" xr:uid="{EF2EC909-863E-48FB-8D27-2FF91D8AEB19}"/>
    <hyperlink ref="C1872" r:id="rId1724" display="ROA2_HUMAN|P22626;ROA2_HUMAN|P22626-2" xr:uid="{7E9EC6A9-FE50-4686-9064-C105CFFBF6CE}"/>
    <hyperlink ref="C1873" r:id="rId1725" display="ROA2_HUMAN|P22626;ROA2_HUMAN|P22626-2" xr:uid="{286D83D2-BC06-4472-9690-0410D9FBC911}"/>
    <hyperlink ref="C1874" r:id="rId1726" display="ROA2_HUMAN|P22626;ROA2_HUMAN|P22626-2" xr:uid="{86DDFE58-977E-4F46-A616-A7AA60DEF710}"/>
    <hyperlink ref="C1875" r:id="rId1727" display="ROA2_HUMAN|P22626;ROA2_HUMAN|P22626-2" xr:uid="{095E9507-B547-49AF-8064-69FA1A352E7F}"/>
    <hyperlink ref="C1876" r:id="rId1728" display="ROA2_HUMAN|P22626;ROA2_HUMAN|P22626-2" xr:uid="{CC5C7472-93C0-4530-B947-520D7FFB70B4}"/>
    <hyperlink ref="C1877" r:id="rId1729" display="ROA2_HUMAN|P22626;ROA2_HUMAN|P22626-2" xr:uid="{96A366C4-26EC-4BEF-BCDF-A46C6A47899D}"/>
    <hyperlink ref="C1878" r:id="rId1730" display="ROA2_HUMAN|P22626;ROA2_HUMAN|P22626-2" xr:uid="{230B0AF8-AE05-49F6-8720-9C7C63409A01}"/>
    <hyperlink ref="C1879" r:id="rId1731" display="ROA2_HUMAN|P22626;ROA2_HUMAN|P22626-2" xr:uid="{2044889E-0042-43D9-994B-DCDA47FD187B}"/>
    <hyperlink ref="C1880" r:id="rId1732" display="ROA2_HUMAN|P22626;ROA2_HUMAN|P22626-2" xr:uid="{5B8F1A61-0864-4756-9D1D-8FE5B09BCD85}"/>
    <hyperlink ref="C1881" r:id="rId1733" display="ROA2_HUMAN|P22626;ROA2_HUMAN|P22626-2" xr:uid="{78E3E350-CEA4-4388-AA12-EF54D7D6D092}"/>
    <hyperlink ref="C1882" r:id="rId1734" display="ROA2_HUMAN|P22626;ROA2_HUMAN|P22626-2" xr:uid="{3817B006-6215-4B38-A940-7E8AB8C870DD}"/>
    <hyperlink ref="C1883" r:id="rId1735" display="ROA2_HUMAN|P22626;ROA2_HUMAN|P22626-2" xr:uid="{5B1EC6CC-9A40-425B-ACF9-D8165D484055}"/>
    <hyperlink ref="C1884" r:id="rId1736" display="ROA2_HUMAN|P22626;ROA2_HUMAN|P22626-2" xr:uid="{639F3A2C-FB42-4570-B4F8-6BBD22298F66}"/>
    <hyperlink ref="C1885" r:id="rId1737" display="ROA2_HUMAN|P22626;ROA2_HUMAN|P22626-2" xr:uid="{BFF9FBDC-9DFA-4A85-B09D-9A74854EF3C1}"/>
    <hyperlink ref="C1886" r:id="rId1738" display="ROA2_HUMAN|P22626;ROA2_HUMAN|P22626-2" xr:uid="{52E54A93-B74A-4676-8856-E18672152AF5}"/>
    <hyperlink ref="C1887" r:id="rId1739" display="ROA2_HUMAN|P22626;ROA2_HUMAN|P22626-2" xr:uid="{1729DB75-8B8E-4EF4-9005-F18786FF7A96}"/>
    <hyperlink ref="C1888" r:id="rId1740" display="ROA2_HUMAN|P22626;ROA2_HUMAN|P22626-2" xr:uid="{F959D3DB-BFB5-457C-ACC8-B2E14E1D1231}"/>
    <hyperlink ref="C1889" r:id="rId1741" display="ROA2_HUMAN|P22626;ROA2_HUMAN|P22626-2" xr:uid="{DB920067-1A51-4778-A785-79048A973AAC}"/>
    <hyperlink ref="C1890" r:id="rId1742" display="ROA2_HUMAN|P22626;ROA2_HUMAN|P22626-2" xr:uid="{37EEB02A-831E-4613-BFC8-96392C230840}"/>
    <hyperlink ref="C1891" r:id="rId1743" display="ROA2_HUMAN|P22626;ROA2_HUMAN|P22626-2" xr:uid="{56B88954-7436-4352-8E49-C8B29E948B9D}"/>
    <hyperlink ref="C1892" r:id="rId1744" display="ROA2_HUMAN|P22626;ROA2_HUMAN|P22626-2" xr:uid="{5DA3C96D-AF30-4C7D-83CB-BDD0D70292DA}"/>
    <hyperlink ref="C1893" r:id="rId1745" display="ROA2_HUMAN|P22626;ROA2_HUMAN|P22626-2" xr:uid="{BB530A65-EC5E-46EC-BD6E-EF7F1EE7DB73}"/>
    <hyperlink ref="C1894" r:id="rId1746" display="ROA2_HUMAN|P22626;ROA2_HUMAN|P22626-2" xr:uid="{0251E8D8-F186-4FE7-99B0-CC973A7BD950}"/>
    <hyperlink ref="C1895" r:id="rId1747" display="ROA2_HUMAN|P22626;ROA2_HUMAN|P22626-2" xr:uid="{68FC74DC-3996-4B14-8154-39C9E2315A48}"/>
    <hyperlink ref="C1896" r:id="rId1748" display="ROA2_HUMAN|P22626;ROA2_HUMAN|P22626-2" xr:uid="{0AA9668D-A6CA-4C79-B12D-EA26CDD3F512}"/>
    <hyperlink ref="C1897" r:id="rId1749" display="ROA2_HUMAN|P22626;ROA2_HUMAN|P22626-2" xr:uid="{0B692053-34E5-4D25-B882-552C9A612962}"/>
    <hyperlink ref="C1898" r:id="rId1750" display="ROA2_HUMAN|P22626;ROA2_HUMAN|P22626-2" xr:uid="{085FF6A8-8CDA-4D5E-8D39-EC76179FA8B1}"/>
    <hyperlink ref="C1899" r:id="rId1751" display="ROA2_HUMAN|P22626;ROA2_HUMAN|P22626-2" xr:uid="{EED758DB-5717-4F37-B5A6-58BD756CB106}"/>
    <hyperlink ref="C1900" r:id="rId1752" display="ROA2_HUMAN|P22626;ROA2_HUMAN|P22626-2" xr:uid="{8F18279C-F88F-475B-9E99-5DBD01B8107D}"/>
    <hyperlink ref="C1901" r:id="rId1753" display="ROA2_HUMAN|P22626;ROA2_HUMAN|P22626-2" xr:uid="{5F6869E0-CEAC-4682-8DB1-714DAC038AAC}"/>
    <hyperlink ref="C1902" r:id="rId1754" display="ROA2_HUMAN|P22626;ROA2_HUMAN|P22626-2" xr:uid="{97DCE9BB-C88C-4EAB-91C9-594B4D2E50A1}"/>
    <hyperlink ref="C1903" r:id="rId1755" display="ROA2_HUMAN|P22626;ROA2_HUMAN|P22626-2" xr:uid="{C9900FC3-C963-4690-B9B8-C42E2CE8E788}"/>
    <hyperlink ref="C1904" r:id="rId1756" display="ROA2_HUMAN|P22626;ROA2_HUMAN|P22626-2" xr:uid="{20F88351-D597-4E0C-94DD-18002D5F60D8}"/>
    <hyperlink ref="C1905" r:id="rId1757" display="ROA2_HUMAN|P22626;ROA2_HUMAN|P22626-2" xr:uid="{DFE78EF9-5995-41C7-AEF7-61303F990523}"/>
    <hyperlink ref="C1906" r:id="rId1758" display="ROA2_HUMAN|P22626;ROA2_HUMAN|P22626-2" xr:uid="{AB097D23-5442-4EBD-AAD8-C026F2146E3F}"/>
    <hyperlink ref="C1907" r:id="rId1759" display="ROA2_HUMAN|P22626;ROA2_HUMAN|P22626-2" xr:uid="{FEBA9AE1-A7AF-43AD-BCED-1CCFECA2ABB6}"/>
    <hyperlink ref="C1908" r:id="rId1760" display="ROA2_HUMAN|P22626;ROA2_HUMAN|P22626-2" xr:uid="{18DF0D75-7486-48F4-BE3E-B0D0732C0D88}"/>
    <hyperlink ref="C1909" r:id="rId1761" display="ROA2_HUMAN|P22626;ROA2_HUMAN|P22626-2" xr:uid="{C6FC3BFF-5801-475D-AC88-EF4894E0ABCD}"/>
    <hyperlink ref="C1910" r:id="rId1762" display="ROA2_HUMAN|P22626;ROA2_HUMAN|P22626-2" xr:uid="{38D77BA5-BBE9-442E-81F3-CB403C7A5983}"/>
    <hyperlink ref="C1911" r:id="rId1763" display="ROA2_HUMAN|P22626;ROA2_HUMAN|P22626-2" xr:uid="{24AB5429-44A2-42E4-BA66-C46C15E98F4C}"/>
    <hyperlink ref="C1912" r:id="rId1764" display="ROA2_HUMAN|P22626;ROA2_HUMAN|P22626-2" xr:uid="{B2AE0C5B-C214-43F6-BAA7-6348EA957DFD}"/>
    <hyperlink ref="C1913" r:id="rId1765" display="ROA2_HUMAN|P22626;ROA2_HUMAN|P22626-2" xr:uid="{D90C162D-9594-4E61-A91D-8143A5AC0EFA}"/>
    <hyperlink ref="C1914" r:id="rId1766" display="ROA2_HUMAN|P22626;ROA2_HUMAN|P22626-2" xr:uid="{7D7672C0-7C5C-40B3-BB88-7B65CC6A646C}"/>
    <hyperlink ref="C1915" r:id="rId1767" display="ROA2_HUMAN|P22626;ROA2_HUMAN|P22626-2" xr:uid="{87E698D7-32D2-44D3-80B4-D3F8B8937665}"/>
    <hyperlink ref="C1916" r:id="rId1768" display="ROA2_HUMAN|P22626;ROA2_HUMAN|P22626-2" xr:uid="{FC55A5B3-2160-464B-9055-90A1F33B17F2}"/>
    <hyperlink ref="C1917" r:id="rId1769" display="ROA2_HUMAN|P22626;ROA2_HUMAN|P22626-2" xr:uid="{8E2D192B-EB62-4F06-BE9D-C5E4A1F2CD69}"/>
    <hyperlink ref="C1918" r:id="rId1770" display="ROA2_HUMAN|P22626;ROA2_HUMAN|P22626-2" xr:uid="{1B5EEA00-31BB-4DC8-B971-8F3BD6416AA4}"/>
    <hyperlink ref="C1919" r:id="rId1771" display="ROA2_HUMAN|P22626;ROA2_HUMAN|P22626-2" xr:uid="{D9ADA254-BC4F-4795-890C-D4FAA9F31ADE}"/>
    <hyperlink ref="C1920" r:id="rId1772" display="ROA2_HUMAN|P22626;ROA2_HUMAN|P22626-2" xr:uid="{DA933059-EAAB-43B0-A98A-3E48A6F7581D}"/>
    <hyperlink ref="C1921" r:id="rId1773" display="ROA2_HUMAN|P22626;ROA2_HUMAN|P22626-2" xr:uid="{3AF270A0-615F-4A73-AD0B-CEDF246D6F4C}"/>
    <hyperlink ref="C1922" r:id="rId1774" display="ROA2_HUMAN|P22626;ROA2_HUMAN|P22626-2" xr:uid="{89F3CF8E-7AE3-4430-90AA-F5620DB3C161}"/>
    <hyperlink ref="C1923" r:id="rId1775" display="ROA2_HUMAN|P22626;ROA2_HUMAN|P22626-2" xr:uid="{96EFACF1-E064-4242-BFF2-4A4B7DE2B417}"/>
    <hyperlink ref="C1924" r:id="rId1776" display="ROA2_HUMAN|P22626;ROA2_HUMAN|P22626-2" xr:uid="{7DC4BE2C-BB5E-407E-B275-445A5E515E98}"/>
    <hyperlink ref="C1925" r:id="rId1777" display="ROA2_HUMAN|P22626;ROA2_HUMAN|P22626-2" xr:uid="{4FCE9460-CC3B-4FCA-9988-FEBAA616A021}"/>
    <hyperlink ref="C1926" r:id="rId1778" display="ROA2_HUMAN|P22626;ROA2_HUMAN|P22626-2" xr:uid="{F7F1C706-E623-46CB-9221-4C535B13E63E}"/>
    <hyperlink ref="C1927" r:id="rId1779" display="ROA2_HUMAN|P22626;ROA2_HUMAN|P22626-2" xr:uid="{939CD91B-450D-41B7-8596-8182B8F5905E}"/>
    <hyperlink ref="C1928" r:id="rId1780" display="ROA2_HUMAN|P22626;ROA2_HUMAN|P22626-2" xr:uid="{E6C5D472-8AA3-4EAB-9823-4BD2B2CE059E}"/>
    <hyperlink ref="C1929" r:id="rId1781" display="ROA2_HUMAN|P22626;ROA2_HUMAN|P22626-2" xr:uid="{C22BBC5C-7C42-47CE-A2D7-CD419E04E036}"/>
    <hyperlink ref="C1930" r:id="rId1782" display="ROA2_HUMAN|P22626;ROA2_HUMAN|P22626-2" xr:uid="{8820E0DD-DF24-4570-957E-F50F84861618}"/>
    <hyperlink ref="C1931" r:id="rId1783" display="ROA2_HUMAN|P22626;ROA2_HUMAN|P22626-2" xr:uid="{40297DAE-BBFB-4EF5-ACE2-CE7E57950A0C}"/>
    <hyperlink ref="C1932" r:id="rId1784" display="ROA2_HUMAN|P22626;ROA2_HUMAN|P22626-2" xr:uid="{243E2435-1DE3-4853-97C6-C20411B39B84}"/>
    <hyperlink ref="C1933" r:id="rId1785" display="ROA2_HUMAN|P22626;ROA2_HUMAN|P22626-2" xr:uid="{3EAFC185-AB79-4D6B-A675-72B427AD8B8F}"/>
    <hyperlink ref="C1934" r:id="rId1786" display="ROA2_HUMAN|P22626;ROA2_HUMAN|P22626-2" xr:uid="{914A464C-5BAA-48E4-91FE-B8248A6BA222}"/>
    <hyperlink ref="C1935" r:id="rId1787" display="ROA2_HUMAN|P22626;ROA2_HUMAN|P22626-2" xr:uid="{5E98D4A6-1649-48F9-A989-C39E9E6A220F}"/>
    <hyperlink ref="C1936" r:id="rId1788" display="ROA2_HUMAN|P22626;ROA2_HUMAN|P22626-2" xr:uid="{FD903D23-5180-42CD-8E2F-F5F7000811A7}"/>
    <hyperlink ref="C1937" r:id="rId1789" display="ROA2_HUMAN|P22626;ROA2_HUMAN|P22626-2" xr:uid="{55C5E58C-DA67-4AE4-A4DC-7EC1BB54F06E}"/>
    <hyperlink ref="C1938" r:id="rId1790" display="ROA2_HUMAN|P22626;ROA2_HUMAN|P22626-2" xr:uid="{DCFF9DA5-C4DD-4D62-B0AC-651BC312A6C6}"/>
    <hyperlink ref="C1939" r:id="rId1791" display="ROA2_HUMAN|P22626;ROA2_HUMAN|P22626-2" xr:uid="{4637C93B-9695-45FA-AD6A-5192BBD7EEFE}"/>
    <hyperlink ref="C1940" r:id="rId1792" display="ROA2_HUMAN|P22626;ROA2_HUMAN|P22626-2" xr:uid="{99E96CEA-C14A-42D3-9662-B3D365D3E4BC}"/>
    <hyperlink ref="C1941" r:id="rId1793" display="ROA2_HUMAN|P22626;ROA2_HUMAN|P22626-2" xr:uid="{43BC2CAF-D175-4272-BC2D-DC33C4E978DF}"/>
    <hyperlink ref="C1942" r:id="rId1794" display="ROA2_HUMAN|P22626;ROA2_HUMAN|P22626-2" xr:uid="{D40C9047-C8A3-446E-86F0-260E7A827368}"/>
    <hyperlink ref="C1943" r:id="rId1795" display="ROA2_HUMAN|P22626;ROA2_HUMAN|P22626-2" xr:uid="{7798A8CF-E7D4-412D-BF21-6B1908125862}"/>
    <hyperlink ref="C1944" r:id="rId1796" display="ROA2_HUMAN|P22626;ROA2_HUMAN|P22626-2" xr:uid="{ABA36C1A-0E5D-42C2-AC87-414A89DCD384}"/>
    <hyperlink ref="C1945" r:id="rId1797" display="ROA2_HUMAN|P22626;ROA2_HUMAN|P22626-2" xr:uid="{88FBFF45-6B4B-4841-AA65-BD39F0A42EFF}"/>
    <hyperlink ref="C2130" r:id="rId1798" display="HNRPK_HUMAN|P61978;HNRPK_HUMAN|P61978-2;HNRPK_HUMAN|P61978-3" xr:uid="{1216EE90-7C79-465A-99A6-77DC2DB8B7CB}"/>
    <hyperlink ref="C2131" r:id="rId1799" display="HNRPK_HUMAN|P61978;HNRPK_HUMAN|P61978-2;HNRPK_HUMAN|P61978-3" xr:uid="{D9718424-B730-4500-A51C-B89FED1DA204}"/>
    <hyperlink ref="C2132" r:id="rId1800" display="HNRPK_HUMAN|P61978;HNRPK_HUMAN|P61978-2;HNRPK_HUMAN|P61978-3" xr:uid="{366EC524-A533-40BB-93C1-6F84B9AD151E}"/>
    <hyperlink ref="C2133" r:id="rId1801" display="HNRPK_HUMAN|P61978;HNRPK_HUMAN|P61978-2;HNRPK_HUMAN|P61978-3" xr:uid="{3319FC0A-D8CF-44D3-8171-36D3E2714181}"/>
    <hyperlink ref="C2134" r:id="rId1802" display="HNRPK_HUMAN|P61978;HNRPK_HUMAN|P61978-2;HNRPK_HUMAN|P61978-3" xr:uid="{9DB7ED75-483E-4AFF-A961-9DFBCA078BC4}"/>
    <hyperlink ref="C2238" r:id="rId1803" display="DBPB" xr:uid="{426D512D-FCA6-4CD1-AD07-907B97F95C3B}"/>
    <hyperlink ref="C2239" r:id="rId1804" display="DBPB" xr:uid="{734260EE-AC2F-4DF2-A500-6F963DF8C156}"/>
    <hyperlink ref="C2240" r:id="rId1805" display="DBPB" xr:uid="{CF4DB55D-ACF5-4872-8725-7BD376D4B6F7}"/>
    <hyperlink ref="C2241" r:id="rId1806" display="DBPB" xr:uid="{47205CB5-0B2E-4502-A499-72014E884A5E}"/>
    <hyperlink ref="C2242" r:id="rId1807" display="DBPB" xr:uid="{A47A8428-0F94-4F90-8BC3-246DEAA2EAF3}"/>
    <hyperlink ref="C2243" r:id="rId1808" display="DBPB" xr:uid="{3FE2BFC9-89E1-44EA-B958-0AC3B7CF5927}"/>
    <hyperlink ref="C2244" r:id="rId1809" display="DBPB" xr:uid="{5C93E1F0-CC93-4785-9A5F-726709DBA0FC}"/>
    <hyperlink ref="C2245" r:id="rId1810" display="DBPB" xr:uid="{5B641E24-B7C3-48E3-84C3-CF7C6651C54D}"/>
    <hyperlink ref="C2246" r:id="rId1811" display="DBPB" xr:uid="{2EA3BD55-0252-4CBF-8D93-294590634105}"/>
    <hyperlink ref="B2326" r:id="rId1812" display="SPT5;SPT5 iso 2" xr:uid="{C020F421-0EA8-480F-A5DD-6BA4C2DC4031}"/>
    <hyperlink ref="C2326" r:id="rId1813" display="TP53B;TP53B iso 2;TP53B iso 3" xr:uid="{31287897-8274-4232-8614-B6B10DC7B85C}"/>
    <hyperlink ref="C2389" r:id="rId1814" display="IF4H;IF4H iso 2" xr:uid="{2F9B125A-9D9C-4DDC-A880-E293492815CC}"/>
    <hyperlink ref="C2390" r:id="rId1815" display="IF4H;IF4H iso 2" xr:uid="{EC66289B-77CB-4719-9260-5E21140066A3}"/>
    <hyperlink ref="C2391" r:id="rId1816" display="IF4H;IF4H iso 2" xr:uid="{DC6B0C1C-1BA1-404E-BCB6-EC4CD0DCAE38}"/>
    <hyperlink ref="C2392" r:id="rId1817" display="IF4H;IF4H iso 2" xr:uid="{90BBA853-58F8-4CEE-AED5-253B4CC7BAB1}"/>
    <hyperlink ref="C2393" r:id="rId1818" display="IF4H;IF4H iso 2" xr:uid="{CA373CA9-87E4-4AF3-ABFD-83D6312C385F}"/>
    <hyperlink ref="C2394" r:id="rId1819" display="IF4H;IF4H iso 2" xr:uid="{2996A7BB-A09E-4BE3-907E-11E5421FDB61}"/>
    <hyperlink ref="C2395" r:id="rId1820" display="IF4H;IF4H iso 2" xr:uid="{70C8CF6F-3E33-4041-83AA-1A2C9024C27B}"/>
    <hyperlink ref="C2396" r:id="rId1821" display="IF4H;IF4H iso 2" xr:uid="{F7F91DD8-5298-4C09-A255-2AC11A7744B8}"/>
    <hyperlink ref="C2397" r:id="rId1822" display="IF4H;IF4H iso 2" xr:uid="{CBF8951D-326A-43C4-87E0-CB97FF342A41}"/>
    <hyperlink ref="C2398" r:id="rId1823" display="IF4H;IF4H iso 2" xr:uid="{185ADCBF-8671-4D97-9D24-9EBFE417702C}"/>
    <hyperlink ref="C2399" r:id="rId1824" display="IF4H;IF4H iso 2" xr:uid="{D9227827-470B-44CA-A15C-28AC91E7122C}"/>
    <hyperlink ref="C2400" r:id="rId1825" display="IF4H;IF4H iso 2" xr:uid="{55766637-13D6-4ED7-A234-33D50A1D0F3D}"/>
    <hyperlink ref="C2402" r:id="rId1826" display="WIPF1_HUMAN|O43516;WIPF1_HUMAN|O43516-2;WIPF1_HUMAN|O43516-3;WIPF1_HUMAN|O43516-4" xr:uid="{D001A870-60D4-4A3D-804F-F8FFB15BEB4F}"/>
    <hyperlink ref="C2403" r:id="rId1827" display="WIPF1_HUMAN|O43516;WIPF1_HUMAN|O43516-2;WIPF1_HUMAN|O43516-3;WIPF1_HUMAN|O43516-4" xr:uid="{E7A463F5-7111-4DB7-9B24-C7430931C60E}"/>
    <hyperlink ref="C2404" r:id="rId1828" display="WIPF1_HUMAN|O43516;WIPF1_HUMAN|O43516-2;WIPF1_HUMAN|O43516-3;WIPF1_HUMAN|O43516-4" xr:uid="{517409B4-4DE3-4A40-8C71-87E559E317D5}"/>
    <hyperlink ref="C2406" r:id="rId1829" display="WIPF1_HUMAN|O43516;WIPF1_HUMAN|O43516-2;WIPF1_HUMAN|O43516-3;WIPF1_HUMAN|O43516-4" xr:uid="{465298D3-C2E0-45F5-B2B7-0AF3305EDD52}"/>
    <hyperlink ref="F1708" r:id="rId1830" display="K2C8_HUMAN|P05787;K2C8_HUMAN|P05787-2" xr:uid="{5461986D-7549-4594-9C7E-937FF2B4826A}"/>
    <hyperlink ref="F1711" r:id="rId1831" display="K2C8_HUMAN|P05787;K2C8_HUMAN|P05787-2" xr:uid="{7247D4FA-5F79-4EED-8DBC-1A9EE01E7451}"/>
    <hyperlink ref="F1730" r:id="rId1832" display="K2C8_HUMAN|P05787;K2C8_HUMAN|P05787-2" xr:uid="{A50405C6-A215-41C4-97D6-2337166802A3}"/>
    <hyperlink ref="F1733" r:id="rId1833" display="K2C8_HUMAN|P05787;K2C8_HUMAN|P05787-2" xr:uid="{8407850C-C6C9-4353-9339-B79F51CF04AC}"/>
    <hyperlink ref="F1741" r:id="rId1834" display="K2C8_HUMAN|P05787;K2C8_HUMAN|P05787-2" xr:uid="{278B64D5-672D-4A0C-9C20-67A419E24236}"/>
    <hyperlink ref="F1743" r:id="rId1835" display="K2C8_HUMAN|P05787;K2C8_HUMAN|P05787-2" xr:uid="{420A4C0D-7E6F-47D9-91C2-A9B92ED618CB}"/>
    <hyperlink ref="F1749" r:id="rId1836" display="K2C8_HUMAN|P05787;K2C8_HUMAN|P05787-2" xr:uid="{1A9D42FE-F5F9-48C8-84B1-104D29B30B09}"/>
    <hyperlink ref="F1756" r:id="rId1837" display="K2C8_HUMAN|P05787;K2C8_HUMAN|P05787-2" xr:uid="{7E3DC438-2003-496F-832C-DE5883E0B5E5}"/>
    <hyperlink ref="F1759" r:id="rId1838" display="K2C8_HUMAN|P05787;K2C8_HUMAN|P05787-2" xr:uid="{0677E1D6-7A41-4F21-BBDE-57EF8AA6D7C6}"/>
    <hyperlink ref="C1761" r:id="rId1839" display="DDX5;DDX5 iso 2" xr:uid="{F291BE2D-6494-4E55-8653-3657F751B8E9}"/>
    <hyperlink ref="B1761" r:id="rId1840" display="DDX5;DDX5" xr:uid="{4E72F4DE-D86A-4BDF-BF40-2464DA758524}"/>
    <hyperlink ref="F1761" r:id="rId1841" display="K2C8_HUMAN|P05787;K2C8_HUMAN|P05787-2" xr:uid="{96BA9881-75CB-422C-9E2F-72D7FD1F7F71}"/>
    <hyperlink ref="F1763" r:id="rId1842" display="K2C8_HUMAN|P05787;K2C8_HUMAN|P05787-2" xr:uid="{88046BFF-FD05-4D2F-B612-6F9060FB7841}"/>
    <hyperlink ref="C1766" r:id="rId1843" display="EWS;EWS iso 2;EWS iso 3;EWS iso 5;EWS iso 6" xr:uid="{60725949-8711-4C9B-ADB6-978CEA19ECC2}"/>
    <hyperlink ref="F1766" r:id="rId1844" display="K2C8_HUMAN|P05787;K2C8_HUMAN|P05787-2" xr:uid="{B2AB9727-A4D2-48C5-9007-02BB455A62F7}"/>
    <hyperlink ref="C1770" r:id="rId1845" display="EWS_HUMAN|Q01844;EWS_HUMAN|Q01844-2;EWS_HUMAN|Q01844-3;EWS_HUMAN|Q01844-5;EWS_HUMAN|Q01844-6" xr:uid="{6DFC3CAF-230A-4881-B036-C0C97A24F3AB}"/>
    <hyperlink ref="F1770" r:id="rId1846" display="K2C8_HUMAN|P05787;K2C8_HUMAN|P05787-2" xr:uid="{AFE7A33A-9F26-4F56-A6BC-C731F75B4D47}"/>
    <hyperlink ref="F2265" r:id="rId1847" display="HNRPD_HUMAN|Q14103-2;HNRPD_HUMAN|Q14103;HNRPD_HUMAN|Q14103-3;HNRPD_HUMAN|Q14103-4" xr:uid="{243F6701-FAFD-4F14-B668-27CC6125E044}"/>
    <hyperlink ref="F2314" r:id="rId1848" display="HNRH3_HUMAN|P31942;HNRH3_HUMAN|P31942-3;HNRH3_HUMAN|P31942-4;HNRH3_HUMAN|P31942-2" xr:uid="{7A3B950C-702B-48B3-AAFF-EFE6A5ABF8AD}"/>
    <hyperlink ref="C2325" r:id="rId1849" display="TP53B;TP53B iso 2;TP53B iso 3" xr:uid="{D121C45D-D3DF-463F-AEE2-0D01DED24F54}"/>
    <hyperlink ref="B2325" r:id="rId1850" display="SPT5;SPT5 iso 2" xr:uid="{47117DB9-EBB2-470B-84BA-BBCB21958BD8}"/>
    <hyperlink ref="F2325" r:id="rId1851" display="HNRH3_HUMAN|P31942;HNRH3_HUMAN|P31942-3;HNRH3_HUMAN|P31942-4;HNRH3_HUMAN|P31942-2" xr:uid="{82DD9905-522F-428B-9574-056D9BA3325F}"/>
    <hyperlink ref="F2344" r:id="rId1852" display="HNRH3_HUMAN|P31942;HNRH3_HUMAN|P31942-3;HNRH3_HUMAN|P31942-4;HNRH3_HUMAN|P31942-2" xr:uid="{7FB4F334-AE94-4A00-A433-F03FB776124E}"/>
    <hyperlink ref="F2364" r:id="rId1853" display="HNRH3_HUMAN|P31942;HNRH3_HUMAN|P31942-3;HNRH3_HUMAN|P31942-4;HNRH3_HUMAN|P31942-2" xr:uid="{ACDFA281-64C2-4690-B1CB-B1C6F6B8CC5C}"/>
    <hyperlink ref="F2368" r:id="rId1854" display="HNRH3_HUMAN|P31942;HNRH3_HUMAN|P31942-3;HNRH3_HUMAN|P31942-4;HNRH3_HUMAN|P31942-2" xr:uid="{374DCBC8-6437-411D-AE37-E9D4CBF33338}"/>
    <hyperlink ref="C2405" r:id="rId1855" display="WIPF1_HUMAN|O43516;WIPF1_HUMAN|O43516-2;WIPF1_HUMAN|O43516-3;WIPF1_HUMAN|O43516-4" xr:uid="{14DEA361-0A7B-409A-9DB6-D41A53C26C52}"/>
    <hyperlink ref="F2405" r:id="rId1856" display="HNRH3_HUMAN|P31942;HNRH3_HUMAN|P31942-3;HNRH3_HUMAN|P31942-4;HNRH3_HUMAN|P31942-2" xr:uid="{0AAC8019-E590-4283-BCB7-4E5AB307101E}"/>
    <hyperlink ref="F2408" r:id="rId1857" display="HNRH3_HUMAN|P31942;HNRH3_HUMAN|P31942-3;HNRH3_HUMAN|P31942-4;HNRH3_HUMAN|P31942-2" xr:uid="{436E70ED-0D68-4DB6-BEC0-809432D1F5F3}"/>
    <hyperlink ref="F2448" r:id="rId1858" display="FUBP2_HUMAN|Q92945" xr:uid="{F2374452-F96F-4029-86F1-BEAE1D96C81D}"/>
    <hyperlink ref="F2450" r:id="rId1859" display="FUBP2_HUMAN|Q92945" xr:uid="{8E3AC04E-4A87-49BF-809B-E80FE1E4D8E3}"/>
    <hyperlink ref="F2454" r:id="rId1860" display="FUBP2_HUMAN|Q92945" xr:uid="{8C5B1C39-3254-4F6A-99CA-9526AAF9210C}"/>
    <hyperlink ref="F1707" r:id="rId1861" display="K2C8_HUMAN|P05787;K2C8_HUMAN|P05787-2" xr:uid="{8FA13DF5-5B50-4EA8-87BB-DB94CFA3C5F8}"/>
    <hyperlink ref="F1709" r:id="rId1862" display="K2C8_HUMAN|P05787;K2C8_HUMAN|P05787-2" xr:uid="{0AB7DEF2-0888-47AA-AED3-A5E2F5901667}"/>
    <hyperlink ref="F1726" r:id="rId1863" display="K2C8_HUMAN|P05787;K2C8_HUMAN|P05787-2" xr:uid="{D01294C0-C575-462B-962F-DA5A5732FF82}"/>
    <hyperlink ref="F1729" r:id="rId1864" display="K2C8_HUMAN|P05787;K2C8_HUMAN|P05787-2" xr:uid="{48A1D31D-2020-4AB2-8FCE-7CA26DB2B8E6}"/>
    <hyperlink ref="C1734" r:id="rId1865" display="GLUD" xr:uid="{125628C9-5419-4883-AA65-08445A77F015}"/>
    <hyperlink ref="F1734" r:id="rId1866" display="K2C8_HUMAN|P05787;K2C8_HUMAN|P05787-2" xr:uid="{31F74B4F-9053-4F36-B27D-DDC41BB3F65C}"/>
    <hyperlink ref="F1736" r:id="rId1867" display="K2C8_HUMAN|P05787;K2C8_HUMAN|P05787-2" xr:uid="{A62FEE90-1350-4547-BD48-A0BE823D8548}"/>
    <hyperlink ref="F1739" r:id="rId1868" display="K2C8_HUMAN|P05787;K2C8_HUMAN|P05787-2" xr:uid="{D12DA4FA-669A-4B38-AFDC-46A22036C7FE}"/>
    <hyperlink ref="F1744" r:id="rId1869" display="K2C8_HUMAN|P05787;K2C8_HUMAN|P05787-2" xr:uid="{0E9F2A8F-8D85-4059-826E-1DC1EDD428AB}"/>
    <hyperlink ref="F1746" r:id="rId1870" display="K2C8_HUMAN|P05787;K2C8_HUMAN|P05787-2" xr:uid="{7A6D41E2-FEE0-4766-9D6A-3B7B6238EC40}"/>
    <hyperlink ref="F1748" r:id="rId1871" display="K2C8_HUMAN|P05787;K2C8_HUMAN|P05787-2" xr:uid="{C2E49832-5F22-4C78-BE37-8CF1912AF4E8}"/>
    <hyperlink ref="F1750" r:id="rId1872" display="K2C8_HUMAN|P05787;K2C8_HUMAN|P05787-2" xr:uid="{1D9D7828-1C8E-4DED-9A69-23AE4833D2C8}"/>
    <hyperlink ref="F1753" r:id="rId1873" display="K2C8_HUMAN|P05787;K2C8_HUMAN|P05787-2" xr:uid="{72D9972B-4A7F-4545-8927-E438F9A0F609}"/>
    <hyperlink ref="F1757" r:id="rId1874" display="K2C8_HUMAN|P05787;K2C8_HUMAN|P05787-2" xr:uid="{4156E16C-A575-4751-B1AC-320B0ECFA40B}"/>
  </hyperlinks>
  <pageMargins left="0.7" right="0.7" top="0.75" bottom="0.75" header="0.3" footer="0.3"/>
  <pageSetup paperSize="9" orientation="portrait" horizontalDpi="4294967293" r:id="rId18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Maxim Maron</cp:lastModifiedBy>
  <dcterms:created xsi:type="dcterms:W3CDTF">2015-05-02T22:07:17Z</dcterms:created>
  <dcterms:modified xsi:type="dcterms:W3CDTF">2021-05-21T15:27:06Z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FF64AAAE54D7A678DECD76BC4D1DA0A7CD32A7051770A227105165A50D679AC8</vt:lpwstr>
  </property>
  <property fmtid="{D5CDD505-2E9C-101B-9397-08002B2CF9AE}" pid="2" name="NSCPROP">
    <vt:lpwstr>NSCCustomProperty</vt:lpwstr>
  </property>
</Properties>
</file>