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ns\Desktop\"/>
    </mc:Choice>
  </mc:AlternateContent>
  <xr:revisionPtr revIDLastSave="0" documentId="13_ncr:1_{7E60AA3F-F5F0-4DBE-AECB-5EE243499E20}" xr6:coauthVersionLast="47" xr6:coauthVersionMax="47" xr10:uidLastSave="{00000000-0000-0000-0000-000000000000}"/>
  <bookViews>
    <workbookView xWindow="-120" yWindow="-16320" windowWidth="29040" windowHeight="15840" activeTab="2" xr2:uid="{5129814B-ACA7-45D6-B2EC-F0AF8FACA946}"/>
  </bookViews>
  <sheets>
    <sheet name="viktor-input-sheet" sheetId="1" r:id="rId1"/>
    <sheet name="Sheet2" sheetId="2" r:id="rId2"/>
    <sheet name="viktor-output-sheet" sheetId="3" r:id="rId3"/>
  </sheets>
  <externalReferences>
    <externalReference r:id="rId4"/>
  </externalReferences>
  <definedNames>
    <definedName name="along" localSheetId="1">Sheet2!$BG$10</definedName>
    <definedName name="ashort" localSheetId="1">Sheet2!$BA$10</definedName>
    <definedName name="bo" localSheetId="1">Sheet2!$T$19</definedName>
    <definedName name="cover" localSheetId="1">Sheet2!$B$19</definedName>
    <definedName name="d" localSheetId="1">Sheet2!$AB$22</definedName>
    <definedName name="fc" localSheetId="1">Sheet2!$B$18</definedName>
    <definedName name="h" localSheetId="1">Sheet2!$B$20</definedName>
    <definedName name="PDL" localSheetId="1">Sheet2!$B$6</definedName>
    <definedName name="PDL" localSheetId="0">'viktor-input-sheet'!$B$6</definedName>
    <definedName name="phiblong" localSheetId="1">Sheet2!$BG$15</definedName>
    <definedName name="phibshort" localSheetId="1">Sheet2!$BA$15</definedName>
    <definedName name="phiv" localSheetId="1">Sheet2!$AB$17</definedName>
    <definedName name="PLL" localSheetId="1">Sheet2!$B$7</definedName>
    <definedName name="PLL" localSheetId="0">'viktor-input-sheet'!$B$7</definedName>
    <definedName name="Pu" localSheetId="1">Sheet2!$AN$5</definedName>
    <definedName name="qu" localSheetId="1">Sheet2!$AN$6</definedName>
    <definedName name="rhomin" localSheetId="1">Sheet2!$BA$4</definedName>
    <definedName name="Xcol" localSheetId="1">Sheet2!$B$16</definedName>
    <definedName name="Xftg" localSheetId="1">Sheet2!$B$14</definedName>
    <definedName name="Ycol" localSheetId="1">Sheet2!$B$17</definedName>
    <definedName name="Yftg" localSheetId="1">Sheet2!$B$15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9" i="2" l="1"/>
  <c r="B33" i="2"/>
  <c r="T23" i="2" s="1"/>
  <c r="B32" i="2"/>
  <c r="T22" i="2" s="1"/>
  <c r="B31" i="2"/>
  <c r="B30" i="2"/>
  <c r="T20" i="2" s="1"/>
  <c r="B28" i="2"/>
  <c r="B27" i="2"/>
  <c r="B26" i="2"/>
  <c r="B24" i="2"/>
  <c r="B23" i="2"/>
  <c r="C23" i="2" s="1"/>
  <c r="B22" i="2"/>
  <c r="B20" i="2"/>
  <c r="B19" i="2"/>
  <c r="B18" i="2"/>
  <c r="BA3" i="2" s="1"/>
  <c r="B17" i="2"/>
  <c r="B16" i="2"/>
  <c r="B15" i="2"/>
  <c r="B14" i="2"/>
  <c r="B12" i="2"/>
  <c r="B11" i="2"/>
  <c r="B8" i="2"/>
  <c r="B7" i="2"/>
  <c r="C7" i="2" s="1"/>
  <c r="B6" i="2"/>
  <c r="B5" i="1"/>
  <c r="B4" i="1"/>
  <c r="B3" i="1"/>
  <c r="B2" i="1"/>
  <c r="T9" i="2" a="1"/>
  <c r="T9" i="2" s="1"/>
  <c r="N9" i="2" a="1"/>
  <c r="N9" i="2" s="1"/>
  <c r="C8" i="2"/>
  <c r="BA4" i="2"/>
  <c r="H3" i="2"/>
  <c r="H2" i="2"/>
  <c r="C2" i="2"/>
  <c r="T6" i="2" l="1"/>
  <c r="AB21" i="2"/>
  <c r="AC23" i="2" s="1"/>
  <c r="C27" i="2"/>
  <c r="N6" i="2"/>
  <c r="AB22" i="2"/>
  <c r="N22" i="2" s="1"/>
  <c r="AN21" i="2" s="1"/>
  <c r="P9" i="2"/>
  <c r="T8" i="2"/>
  <c r="V8" i="2" s="1"/>
  <c r="N8" i="2"/>
  <c r="P8" i="2" s="1"/>
  <c r="V9" i="2"/>
  <c r="P14" i="2"/>
  <c r="M15" i="2" s="1"/>
  <c r="AZ41" i="2" s="1"/>
  <c r="V14" i="2"/>
  <c r="AN3" i="2"/>
  <c r="T7" i="2"/>
  <c r="N15" i="2"/>
  <c r="BB41" i="2" s="1"/>
  <c r="T15" i="2"/>
  <c r="BH41" i="2" s="1"/>
  <c r="AN4" i="2"/>
  <c r="AN5" i="2"/>
  <c r="AN6" i="2" s="1"/>
  <c r="C6" i="2"/>
  <c r="N7" i="2"/>
  <c r="V7" i="2" l="1"/>
  <c r="N2" i="2"/>
  <c r="N3" i="2" s="1"/>
  <c r="D2" i="3" s="1"/>
  <c r="G20" i="2"/>
  <c r="V22" i="2"/>
  <c r="V23" i="2"/>
  <c r="AN16" i="2"/>
  <c r="AT16" i="2"/>
  <c r="P22" i="2"/>
  <c r="N29" i="2"/>
  <c r="AT21" i="2" s="1"/>
  <c r="N31" i="2"/>
  <c r="AT35" i="2" s="1"/>
  <c r="T19" i="2"/>
  <c r="AB19" i="2" s="1"/>
  <c r="AC24" i="2" s="1"/>
  <c r="BF40" i="2"/>
  <c r="AZ40" i="2"/>
  <c r="S15" i="2"/>
  <c r="BF41" i="2" s="1"/>
  <c r="N11" i="2"/>
  <c r="BG29" i="2" s="1"/>
  <c r="T11" i="2"/>
  <c r="BA29" i="2" s="1"/>
  <c r="T27" i="2"/>
  <c r="AB32" i="2" s="1"/>
  <c r="N24" i="2"/>
  <c r="P24" i="2" s="1"/>
  <c r="BG10" i="2"/>
  <c r="BG12" i="2" s="1"/>
  <c r="BG14" i="2" s="1"/>
  <c r="BG15" i="2" s="1"/>
  <c r="N10" i="2" s="1"/>
  <c r="BG17" i="2" s="1"/>
  <c r="BG7" i="2"/>
  <c r="AN14" i="2"/>
  <c r="P7" i="2"/>
  <c r="AT14" i="2"/>
  <c r="N27" i="2" s="1"/>
  <c r="N28" i="2" s="1"/>
  <c r="BA10" i="2"/>
  <c r="BA12" i="2" s="1"/>
  <c r="BA14" i="2" s="1"/>
  <c r="BA15" i="2" s="1"/>
  <c r="T10" i="2" s="1"/>
  <c r="BA17" i="2" s="1"/>
  <c r="BA7" i="2"/>
  <c r="N20" i="2" l="1"/>
  <c r="N21" i="2" s="1"/>
  <c r="N23" i="2" s="1"/>
  <c r="P32" i="2"/>
  <c r="AB9" i="2"/>
  <c r="AB12" i="2"/>
  <c r="AD14" i="2" s="1"/>
  <c r="P3" i="2"/>
  <c r="P29" i="2"/>
  <c r="P31" i="2"/>
  <c r="T25" i="2"/>
  <c r="T21" i="2" s="1"/>
  <c r="T24" i="2" s="1"/>
  <c r="AN35" i="2"/>
  <c r="V27" i="2"/>
  <c r="AT18" i="2"/>
  <c r="P28" i="2"/>
  <c r="AT17" i="2"/>
  <c r="N30" i="2"/>
  <c r="N12" i="2"/>
  <c r="T12" i="2"/>
  <c r="D3" i="3" s="1"/>
  <c r="AN17" i="2" l="1"/>
  <c r="P21" i="2"/>
  <c r="AN18" i="2"/>
  <c r="P25" i="2"/>
  <c r="BB45" i="2"/>
  <c r="AA14" i="2"/>
  <c r="BD45" i="2" s="1"/>
  <c r="BG34" i="2"/>
  <c r="BJ36" i="2" s="1"/>
  <c r="D4" i="3"/>
  <c r="V25" i="2"/>
  <c r="V28" i="2"/>
  <c r="AB28" i="2"/>
  <c r="V24" i="2"/>
  <c r="T26" i="2"/>
  <c r="AB25" i="2"/>
  <c r="BA34" i="2"/>
  <c r="V12" i="2"/>
  <c r="AN23" i="2"/>
  <c r="P23" i="2"/>
  <c r="N25" i="2"/>
  <c r="AT23" i="2"/>
  <c r="P30" i="2"/>
  <c r="N32" i="2"/>
  <c r="AT40" i="2" s="1"/>
  <c r="AS42" i="2" s="1"/>
  <c r="P12" i="2"/>
  <c r="BF36" i="2" l="1"/>
  <c r="T30" i="2"/>
  <c r="D6" i="3" s="1"/>
  <c r="AB30" i="2"/>
  <c r="V26" i="2"/>
  <c r="N34" i="2"/>
  <c r="D5" i="3" s="1"/>
  <c r="AN40" i="2"/>
  <c r="AM42" i="2" s="1"/>
  <c r="BB48" i="2"/>
  <c r="BD48" i="2" s="1"/>
  <c r="BD36" i="2"/>
  <c r="AZ36" i="2"/>
  <c r="AB35" i="2" l="1"/>
  <c r="V30" i="2"/>
  <c r="P34" i="2"/>
  <c r="T32" i="2"/>
  <c r="AP44" i="2"/>
  <c r="T33" i="2" l="1"/>
  <c r="D7" i="3" s="1"/>
  <c r="AE37" i="2"/>
  <c r="AA37" i="2"/>
  <c r="BD46" i="2" s="1"/>
  <c r="BB46" i="2"/>
  <c r="BB47" i="2"/>
  <c r="AQ46" i="2"/>
  <c r="AM46" i="2"/>
  <c r="BD4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Ian McFarlane</author>
    <author>Tanakij Hanmongkolpipat</author>
    <author>ISM</author>
    <author>Tim Matthews</author>
    <author>Robert P. Baxter</author>
    <author>Stephan S. deMers</author>
  </authors>
  <commentList>
    <comment ref="M2" authorId="0" shapeId="0" xr:uid="{5063D1AD-26C1-45E4-82EA-D3CC4BB00959}">
      <text>
        <r>
          <rPr>
            <b/>
            <sz val="8"/>
            <color rgb="FF000000"/>
            <rFont val="Tahoma"/>
            <family val="2"/>
          </rPr>
          <t>Notes to Engineers:</t>
        </r>
        <r>
          <rPr>
            <sz val="8"/>
            <color rgb="FF000000"/>
            <rFont val="Tahoma"/>
            <family val="2"/>
          </rPr>
          <t xml:space="preserve">
</t>
        </r>
        <r>
          <rPr>
            <sz val="8"/>
            <color rgb="FF000000"/>
            <rFont val="Tahoma"/>
            <family val="2"/>
          </rPr>
          <t xml:space="preserve">
</t>
        </r>
        <r>
          <rPr>
            <sz val="8"/>
            <color rgb="FF000000"/>
            <rFont val="Tahoma"/>
            <family val="2"/>
          </rPr>
          <t>Gross service bearing pressure includes dead and live loads, overburden, and footing self weight (if selected)</t>
        </r>
      </text>
    </comment>
    <comment ref="E4" authorId="1" shapeId="0" xr:uid="{4408229E-2DE2-494C-8197-C4D1B0404C84}">
      <text>
        <r>
          <rPr>
            <b/>
            <sz val="9"/>
            <color rgb="FF000000"/>
            <rFont val="Tahoma"/>
            <family val="2"/>
          </rPr>
          <t xml:space="preserve">Notes to Engineer:
</t>
        </r>
        <r>
          <rPr>
            <b/>
            <sz val="9"/>
            <color rgb="FF000000"/>
            <rFont val="Tahoma"/>
            <family val="2"/>
          </rPr>
          <t xml:space="preserve">
</t>
        </r>
        <r>
          <rPr>
            <sz val="9"/>
            <color rgb="FF000000"/>
            <rFont val="Tahoma"/>
            <family val="2"/>
          </rPr>
          <t>Import Column Mark Inofrmation button is for pulling information from "Batch Solver" sheet based on selected column on cell C3</t>
        </r>
      </text>
    </comment>
    <comment ref="M7" authorId="0" shapeId="0" xr:uid="{E447473B-6B64-4742-A704-28E149FCA72D}">
      <text>
        <r>
          <rPr>
            <b/>
            <sz val="8"/>
            <color rgb="FF000000"/>
            <rFont val="Tahoma"/>
            <family val="2"/>
          </rPr>
          <t>Notes to Engineers:</t>
        </r>
        <r>
          <rPr>
            <sz val="8"/>
            <color rgb="FF000000"/>
            <rFont val="Tahoma"/>
            <family val="2"/>
          </rPr>
          <t xml:space="preserve">
</t>
        </r>
        <r>
          <rPr>
            <sz val="8"/>
            <color rgb="FF000000"/>
            <rFont val="Tahoma"/>
            <family val="2"/>
          </rPr>
          <t xml:space="preserve">
</t>
        </r>
        <r>
          <rPr>
            <sz val="8"/>
            <color rgb="FF000000"/>
            <rFont val="Tahoma"/>
            <family val="2"/>
          </rPr>
          <t>Per ACI 318-19 7.6.1.1 &amp; 24.4,</t>
        </r>
        <r>
          <rPr>
            <sz val="8"/>
            <color rgb="FF000000"/>
            <rFont val="Symbol"/>
            <family val="1"/>
            <charset val="2"/>
          </rPr>
          <t xml:space="preserve"> r</t>
        </r>
        <r>
          <rPr>
            <vertAlign val="subscript"/>
            <sz val="8"/>
            <color rgb="FF000000"/>
            <rFont val="Tahoma"/>
            <family val="2"/>
          </rPr>
          <t>min</t>
        </r>
        <r>
          <rPr>
            <sz val="8"/>
            <color rgb="FF000000"/>
            <rFont val="Tahoma"/>
            <family val="2"/>
          </rPr>
          <t xml:space="preserve"> = 0.0018
</t>
        </r>
        <r>
          <rPr>
            <sz val="8"/>
            <color rgb="FF000000"/>
            <rFont val="Tahoma"/>
            <family val="2"/>
          </rPr>
          <t>-&gt; A</t>
        </r>
        <r>
          <rPr>
            <vertAlign val="subscript"/>
            <sz val="8"/>
            <color rgb="FF000000"/>
            <rFont val="Tahoma"/>
            <family val="2"/>
          </rPr>
          <t>st_min</t>
        </r>
        <r>
          <rPr>
            <sz val="8"/>
            <color rgb="FF000000"/>
            <rFont val="Tahoma"/>
            <family val="2"/>
          </rPr>
          <t xml:space="preserve"> = </t>
        </r>
        <r>
          <rPr>
            <sz val="8"/>
            <color rgb="FF000000"/>
            <rFont val="Symbol"/>
            <family val="1"/>
            <charset val="2"/>
          </rPr>
          <t>r</t>
        </r>
        <r>
          <rPr>
            <vertAlign val="subscript"/>
            <sz val="8"/>
            <color rgb="FF000000"/>
            <rFont val="Tahoma"/>
            <family val="2"/>
          </rPr>
          <t>min</t>
        </r>
        <r>
          <rPr>
            <sz val="8"/>
            <color rgb="FF000000"/>
            <rFont val="Tahoma"/>
            <family val="2"/>
          </rPr>
          <t>*Y</t>
        </r>
        <r>
          <rPr>
            <vertAlign val="subscript"/>
            <sz val="8"/>
            <color rgb="FF000000"/>
            <rFont val="Tahoma"/>
            <family val="2"/>
          </rPr>
          <t>ftg</t>
        </r>
        <r>
          <rPr>
            <sz val="8"/>
            <color rgb="FF000000"/>
            <rFont val="Tahoma"/>
            <family val="2"/>
          </rPr>
          <t>*h</t>
        </r>
      </text>
    </comment>
    <comment ref="S7" authorId="0" shapeId="0" xr:uid="{F0EADEAA-96FC-4316-9AC2-8B251770B5BB}">
      <text>
        <r>
          <rPr>
            <b/>
            <sz val="8"/>
            <color rgb="FF000000"/>
            <rFont val="Tahoma"/>
            <family val="2"/>
          </rPr>
          <t>Notes to Engineers:</t>
        </r>
        <r>
          <rPr>
            <sz val="8"/>
            <color rgb="FF000000"/>
            <rFont val="Tahoma"/>
            <family val="2"/>
          </rPr>
          <t xml:space="preserve">
</t>
        </r>
        <r>
          <rPr>
            <sz val="8"/>
            <color rgb="FF000000"/>
            <rFont val="Tahoma"/>
            <family val="2"/>
          </rPr>
          <t xml:space="preserve">
</t>
        </r>
        <r>
          <rPr>
            <sz val="8"/>
            <color rgb="FF000000"/>
            <rFont val="Tahoma"/>
            <family val="2"/>
          </rPr>
          <t>Per ACI 318-19 7.6.1.1 &amp; 24.4,</t>
        </r>
        <r>
          <rPr>
            <sz val="8"/>
            <color rgb="FF000000"/>
            <rFont val="Symbol"/>
            <family val="1"/>
            <charset val="2"/>
          </rPr>
          <t xml:space="preserve"> r</t>
        </r>
        <r>
          <rPr>
            <vertAlign val="subscript"/>
            <sz val="8"/>
            <color rgb="FF000000"/>
            <rFont val="Tahoma"/>
            <family val="2"/>
          </rPr>
          <t>min</t>
        </r>
        <r>
          <rPr>
            <sz val="8"/>
            <color rgb="FF000000"/>
            <rFont val="Tahoma"/>
            <family val="2"/>
          </rPr>
          <t xml:space="preserve"> = 0.0018
</t>
        </r>
        <r>
          <rPr>
            <sz val="8"/>
            <color rgb="FF000000"/>
            <rFont val="Tahoma"/>
            <family val="2"/>
          </rPr>
          <t>-&gt; A</t>
        </r>
        <r>
          <rPr>
            <vertAlign val="subscript"/>
            <sz val="8"/>
            <color rgb="FF000000"/>
            <rFont val="Tahoma"/>
            <family val="2"/>
          </rPr>
          <t>st_min</t>
        </r>
        <r>
          <rPr>
            <sz val="8"/>
            <color rgb="FF000000"/>
            <rFont val="Tahoma"/>
            <family val="2"/>
          </rPr>
          <t xml:space="preserve"> = </t>
        </r>
        <r>
          <rPr>
            <sz val="8"/>
            <color rgb="FF000000"/>
            <rFont val="Symbol"/>
            <family val="1"/>
            <charset val="2"/>
          </rPr>
          <t>r</t>
        </r>
        <r>
          <rPr>
            <vertAlign val="subscript"/>
            <sz val="8"/>
            <color rgb="FF000000"/>
            <rFont val="Tahoma"/>
            <family val="2"/>
          </rPr>
          <t>min</t>
        </r>
        <r>
          <rPr>
            <sz val="8"/>
            <color rgb="FF000000"/>
            <rFont val="Tahoma"/>
            <family val="2"/>
          </rPr>
          <t>*X</t>
        </r>
        <r>
          <rPr>
            <vertAlign val="subscript"/>
            <sz val="8"/>
            <color rgb="FF000000"/>
            <rFont val="Tahoma"/>
            <family val="2"/>
          </rPr>
          <t>ftg</t>
        </r>
        <r>
          <rPr>
            <sz val="8"/>
            <color rgb="FF000000"/>
            <rFont val="Tahoma"/>
            <family val="2"/>
          </rPr>
          <t>*h</t>
        </r>
      </text>
    </comment>
    <comment ref="A8" authorId="0" shapeId="0" xr:uid="{9241ED3B-4445-4C8A-AF6E-5B6A6864A1C5}">
      <text>
        <r>
          <rPr>
            <b/>
            <sz val="8"/>
            <color rgb="FF000000"/>
            <rFont val="Tahoma"/>
            <family val="2"/>
          </rPr>
          <t>Notes to Engineer:</t>
        </r>
        <r>
          <rPr>
            <sz val="8"/>
            <color rgb="FF000000"/>
            <rFont val="Tahoma"/>
            <family val="2"/>
          </rPr>
          <t xml:space="preserve">
</t>
        </r>
        <r>
          <rPr>
            <sz val="8"/>
            <color rgb="FF000000"/>
            <rFont val="Tahoma"/>
            <family val="2"/>
          </rPr>
          <t xml:space="preserve">
</t>
        </r>
        <r>
          <rPr>
            <sz val="8"/>
            <color rgb="FF000000"/>
            <rFont val="Tahoma"/>
            <family val="2"/>
          </rPr>
          <t>Footing overburden for use in bearing check; not used in concrete design.  Consists of dead + live area loads (at service level) above footing.</t>
        </r>
      </text>
    </comment>
    <comment ref="M8" authorId="0" shapeId="0" xr:uid="{72DD4B91-0D84-4A4A-8813-F221F2CF64B2}">
      <text>
        <r>
          <rPr>
            <b/>
            <sz val="8"/>
            <color indexed="81"/>
            <rFont val="Tahoma"/>
            <family val="2"/>
          </rPr>
          <t>Notes to Engineers:</t>
        </r>
        <r>
          <rPr>
            <sz val="8"/>
            <color indexed="81"/>
            <rFont val="Tahoma"/>
            <family val="2"/>
          </rPr>
          <t xml:space="preserve">
Per ACI 318-19 7.7.2.3, bar spacing must be less than the minimum of 18 in and 3*h</t>
        </r>
      </text>
    </comment>
    <comment ref="S8" authorId="0" shapeId="0" xr:uid="{3D6E45B0-CD62-4705-BC1A-A2AFB66E4431}">
      <text>
        <r>
          <rPr>
            <b/>
            <sz val="8"/>
            <color indexed="81"/>
            <rFont val="Tahoma"/>
            <family val="2"/>
          </rPr>
          <t>Notes to Engineers:</t>
        </r>
        <r>
          <rPr>
            <sz val="8"/>
            <color indexed="81"/>
            <rFont val="Tahoma"/>
            <family val="2"/>
          </rPr>
          <t xml:space="preserve">
Per ACI 318-14 7.7.2.3, bar spacing must be less than the minimum of 18 in and 3*h</t>
        </r>
      </text>
    </comment>
    <comment ref="M9" authorId="0" shapeId="0" xr:uid="{2B4FAED8-1920-4BFC-8666-3151062C5C59}">
      <text>
        <r>
          <rPr>
            <b/>
            <sz val="8"/>
            <color rgb="FF000000"/>
            <rFont val="Tahoma"/>
            <family val="2"/>
          </rPr>
          <t xml:space="preserve">Notes to Engineers:
</t>
        </r>
        <r>
          <rPr>
            <b/>
            <sz val="8"/>
            <color rgb="FF000000"/>
            <rFont val="Tahoma"/>
            <family val="2"/>
          </rPr>
          <t xml:space="preserve">
</t>
        </r>
        <r>
          <rPr>
            <sz val="8"/>
            <color rgb="FF000000"/>
            <rFont val="Tahoma"/>
            <family val="2"/>
          </rPr>
          <t xml:space="preserve">Values come from MKA TYP REINF Tables and assumptions (per ACI 318-19)
</t>
        </r>
        <r>
          <rPr>
            <sz val="8"/>
            <color rgb="FF000000"/>
            <rFont val="Tahoma"/>
            <family val="2"/>
          </rPr>
          <t xml:space="preserve">
</t>
        </r>
        <r>
          <rPr>
            <sz val="8"/>
            <color rgb="FF000000"/>
            <rFont val="Tahoma"/>
            <family val="2"/>
          </rPr>
          <t>In some cases, footing size is increased or bar diameter is decreased to eliminate need for hooked bars.</t>
        </r>
      </text>
    </comment>
    <comment ref="S9" authorId="0" shapeId="0" xr:uid="{D60E0C72-4372-4A2E-9095-A235DFFE7D82}">
      <text>
        <r>
          <rPr>
            <b/>
            <sz val="8"/>
            <color indexed="81"/>
            <rFont val="Tahoma"/>
            <family val="2"/>
          </rPr>
          <t xml:space="preserve">Notes to Engineers:
</t>
        </r>
        <r>
          <rPr>
            <sz val="8"/>
            <color indexed="81"/>
            <rFont val="Tahoma"/>
            <family val="2"/>
          </rPr>
          <t>Values come from MKA TYP REINF Tables and assumptions (per ACI 318-19)
In some cases, footing size is increased or bar diameter is decreased to eliminate need for hooked bars.</t>
        </r>
      </text>
    </comment>
    <comment ref="A11" authorId="0" shapeId="0" xr:uid="{F40962DD-AA1D-45D8-B18B-FF0183A2DCBD}">
      <text>
        <r>
          <rPr>
            <b/>
            <sz val="8"/>
            <color indexed="81"/>
            <rFont val="Tahoma"/>
            <family val="2"/>
          </rPr>
          <t>Notes to Engineer:</t>
        </r>
        <r>
          <rPr>
            <sz val="8"/>
            <color indexed="81"/>
            <rFont val="Tahoma"/>
            <family val="2"/>
          </rPr>
          <t xml:space="preserve">
Allowable bearing pressure per geotechnical engineer's report</t>
        </r>
      </text>
    </comment>
    <comment ref="A12" authorId="2" shapeId="0" xr:uid="{7995CE52-E0E0-47A7-8B68-F2CB840D1A5A}">
      <text>
        <r>
          <rPr>
            <b/>
            <sz val="8"/>
            <color rgb="FF000000"/>
            <rFont val="Tahoma"/>
            <family val="2"/>
          </rPr>
          <t xml:space="preserve">Notes to Engineer:
</t>
        </r>
        <r>
          <rPr>
            <sz val="8"/>
            <color rgb="FF000000"/>
            <rFont val="Tahoma"/>
            <family val="2"/>
          </rPr>
          <t xml:space="preserve">
</t>
        </r>
        <r>
          <rPr>
            <sz val="8"/>
            <color rgb="FF000000"/>
            <rFont val="Tahoma"/>
            <family val="2"/>
          </rPr>
          <t>The geotechnical report may permit ignoring footing self weight for the soil bearing check.</t>
        </r>
      </text>
    </comment>
    <comment ref="O14" authorId="0" shapeId="0" xr:uid="{A29BE8BD-A962-4897-979B-06EB13310024}">
      <text>
        <r>
          <rPr>
            <b/>
            <sz val="8"/>
            <color indexed="81"/>
            <rFont val="Tahoma"/>
            <family val="2"/>
          </rPr>
          <t xml:space="preserve">Notes to Engineers:
</t>
        </r>
        <r>
          <rPr>
            <sz val="8"/>
            <color indexed="81"/>
            <rFont val="Tahoma"/>
            <family val="2"/>
          </rPr>
          <t>Per ACI 318-19 13.3.3.3, for non-square footings, a portion of the reinforcement in the short direction must be placed in a center band with width equal to the shorter footing dimension
MKA recommendation is to increase the bar count by the value shown and provide equal spacing between the bars in order to satisfy this requirment (in lieu of adding a center band of bars) . See ACI commentary R13.3.3.3</t>
        </r>
      </text>
    </comment>
    <comment ref="U14" authorId="0" shapeId="0" xr:uid="{FB49634B-D604-4D6B-8096-296D4B0A8695}">
      <text>
        <r>
          <rPr>
            <b/>
            <sz val="8"/>
            <color indexed="81"/>
            <rFont val="Tahoma"/>
            <family val="2"/>
          </rPr>
          <t>Notes to Engineers:</t>
        </r>
        <r>
          <rPr>
            <sz val="8"/>
            <color indexed="81"/>
            <rFont val="Tahoma"/>
            <family val="2"/>
          </rPr>
          <t xml:space="preserve">
Per ACI 318-19 13.3.3.3, for non-square footings, a portion of the reinforcement in the short direction must be placed in a center band with width equal to the shorter footing dimension
MKA recommendation is to increase the bar count by the value shown in order to satisfy this requirment. See ACI commentary R13.3.3.3</t>
        </r>
      </text>
    </comment>
    <comment ref="A18" authorId="1" shapeId="0" xr:uid="{4A95ECA2-B106-4ED8-A401-EE22F90DFDF4}">
      <text>
        <r>
          <rPr>
            <b/>
            <sz val="9"/>
            <color indexed="81"/>
            <rFont val="Tahoma"/>
            <family val="2"/>
          </rPr>
          <t xml:space="preserve">Note to Engineer:
</t>
        </r>
        <r>
          <rPr>
            <sz val="9"/>
            <color indexed="81"/>
            <rFont val="Tahoma"/>
            <family val="2"/>
          </rPr>
          <t>Maximum f'c for two-way shear is 10 ksi per ACI 318-18 section 22.6.3.1</t>
        </r>
      </text>
    </comment>
    <comment ref="A19" authorId="0" shapeId="0" xr:uid="{D47B974F-90F3-4E8D-91DD-A3B7AC2561F2}">
      <text>
        <r>
          <rPr>
            <b/>
            <sz val="8"/>
            <color indexed="81"/>
            <rFont val="Tahoma"/>
            <family val="2"/>
          </rPr>
          <t>Notes to Engineer:</t>
        </r>
        <r>
          <rPr>
            <sz val="8"/>
            <color indexed="81"/>
            <rFont val="Tahoma"/>
            <family val="2"/>
          </rPr>
          <t xml:space="preserve">
Cover to bottom layer of reinforcing, 3" TYP if cast against earth.</t>
        </r>
      </text>
    </comment>
    <comment ref="A20" authorId="3" shapeId="0" xr:uid="{DFCAEBC6-D96A-47AD-9228-9C27FCDC57A8}">
      <text>
        <r>
          <rPr>
            <b/>
            <sz val="8"/>
            <color indexed="81"/>
            <rFont val="Tahoma"/>
            <family val="2"/>
          </rPr>
          <t>Notes to Engineer:</t>
        </r>
        <r>
          <rPr>
            <sz val="8"/>
            <color indexed="81"/>
            <rFont val="Tahoma"/>
            <family val="2"/>
          </rPr>
          <t xml:space="preserve">
Height of footing</t>
        </r>
        <r>
          <rPr>
            <sz val="9"/>
            <color indexed="81"/>
            <rFont val="Tahoma"/>
            <family val="2"/>
          </rPr>
          <t xml:space="preserve">
</t>
        </r>
      </text>
    </comment>
    <comment ref="F20" authorId="0" shapeId="0" xr:uid="{2872738B-8B87-4914-8358-76556DBB0434}">
      <text>
        <r>
          <rPr>
            <b/>
            <sz val="8"/>
            <color rgb="FF000000"/>
            <rFont val="Tahoma"/>
            <family val="2"/>
          </rPr>
          <t>Notes to Engineer:</t>
        </r>
        <r>
          <rPr>
            <sz val="8"/>
            <color rgb="FF000000"/>
            <rFont val="Tahoma"/>
            <family val="2"/>
          </rPr>
          <t xml:space="preserve">
</t>
        </r>
        <r>
          <rPr>
            <sz val="8"/>
            <color rgb="FF000000"/>
            <rFont val="Tahoma"/>
            <family val="2"/>
          </rPr>
          <t xml:space="preserve">
</t>
        </r>
        <r>
          <rPr>
            <sz val="8"/>
            <color rgb="FF000000"/>
            <rFont val="Tahoma"/>
            <family val="2"/>
          </rPr>
          <t xml:space="preserve">Size effect factor per ACI318-19 22.5.5.1.3 is not required for foundation per section 13.2.6.2
</t>
        </r>
        <r>
          <rPr>
            <sz val="8"/>
            <color rgb="FF000000"/>
            <rFont val="Tahoma"/>
            <family val="2"/>
          </rPr>
          <t xml:space="preserve">
</t>
        </r>
        <r>
          <rPr>
            <u/>
            <sz val="8"/>
            <color rgb="FF000000"/>
            <rFont val="Tahoma"/>
            <family val="2"/>
          </rPr>
          <t>Conc TST Notes:</t>
        </r>
        <r>
          <rPr>
            <sz val="8"/>
            <color rgb="FF000000"/>
            <rFont val="Tahoma"/>
            <family val="2"/>
          </rPr>
          <t xml:space="preserve">
</t>
        </r>
        <r>
          <rPr>
            <sz val="8"/>
            <color rgb="FF000000"/>
            <rFont val="Tahoma"/>
            <family val="2"/>
          </rPr>
          <t xml:space="preserve">ACI 318-19 includes a size effect factor.  The factor was developed for slabs.  At the time of printing, insufficient data existed to support applying this factor to foundations (mats or footings).
</t>
        </r>
        <r>
          <rPr>
            <sz val="8"/>
            <color rgb="FF000000"/>
            <rFont val="Tahoma"/>
            <family val="2"/>
          </rPr>
          <t xml:space="preserve">
</t>
        </r>
        <r>
          <rPr>
            <sz val="8"/>
            <color rgb="FF000000"/>
            <rFont val="Tahoma"/>
            <family val="2"/>
          </rPr>
          <t xml:space="preserve">In MKA opinion, it is acceptable to disable / not apply this size effect factor for gravity system footings and mats (i.e. set the value to 1).  
</t>
        </r>
        <r>
          <rPr>
            <sz val="8"/>
            <color rgb="FF000000"/>
            <rFont val="Tahoma"/>
            <family val="2"/>
          </rPr>
          <t xml:space="preserve">
</t>
        </r>
        <r>
          <rPr>
            <sz val="8"/>
            <color rgb="FF000000"/>
            <rFont val="Tahoma"/>
            <family val="2"/>
          </rPr>
          <t xml:space="preserve">However,for concentrated load lateral system foundation elements such as braced or moment frame footings or mats its recommended that the the size effect reduction be included
</t>
        </r>
        <r>
          <rPr>
            <sz val="8"/>
            <color rgb="FF000000"/>
            <rFont val="Tahoma"/>
            <family val="2"/>
          </rPr>
          <t xml:space="preserve">
</t>
        </r>
        <r>
          <rPr>
            <sz val="8"/>
            <color rgb="FF000000"/>
            <rFont val="Tahoma"/>
            <family val="2"/>
          </rPr>
          <t>Discuss with PM</t>
        </r>
      </text>
    </comment>
    <comment ref="M20" authorId="4" shapeId="0" xr:uid="{6AEB7287-6879-42C1-AE7F-0FEC33371506}">
      <text>
        <r>
          <rPr>
            <b/>
            <sz val="9"/>
            <color rgb="FF000000"/>
            <rFont val="Tahoma"/>
            <family val="2"/>
          </rPr>
          <t>Notes to Engineers:</t>
        </r>
        <r>
          <rPr>
            <sz val="9"/>
            <color rgb="FF000000"/>
            <rFont val="Tahoma"/>
            <family val="2"/>
          </rPr>
          <t xml:space="preserve">
</t>
        </r>
        <r>
          <rPr>
            <sz val="9"/>
            <color rgb="FF000000"/>
            <rFont val="Tahoma"/>
            <family val="2"/>
          </rPr>
          <t xml:space="preserve">
</t>
        </r>
        <r>
          <rPr>
            <sz val="9"/>
            <color rgb="FF000000"/>
            <rFont val="Tahoma"/>
            <family val="2"/>
          </rPr>
          <t xml:space="preserve">Ref ACI318-19 Table 22.5.5.1(c),
</t>
        </r>
        <r>
          <rPr>
            <sz val="9"/>
            <color rgb="FF000000"/>
            <rFont val="Tahoma"/>
            <family val="2"/>
          </rPr>
          <t xml:space="preserve">c.f. 2 per previous ACI318.
</t>
        </r>
        <r>
          <rPr>
            <sz val="9"/>
            <color rgb="FF000000"/>
            <rFont val="Tahoma"/>
            <family val="2"/>
          </rPr>
          <t>Until further review, MKA will not take this factor to be less than 1.0.</t>
        </r>
      </text>
    </comment>
    <comment ref="M21" authorId="5" shapeId="0" xr:uid="{EBA9BE83-BEA1-4640-B1DF-72011B71007A}">
      <text>
        <r>
          <rPr>
            <b/>
            <sz val="9"/>
            <color indexed="81"/>
            <rFont val="Tahoma"/>
            <family val="2"/>
          </rPr>
          <t xml:space="preserve">Notes to Engineers:
</t>
        </r>
        <r>
          <rPr>
            <sz val="9"/>
            <color indexed="81"/>
            <rFont val="Tahoma"/>
            <family val="2"/>
          </rPr>
          <t>Vc per ACI 318-19 Table 22.5.5.1</t>
        </r>
      </text>
    </comment>
    <comment ref="S21" authorId="1" shapeId="0" xr:uid="{11200868-CBF2-487E-AB69-5075F37EFC38}">
      <text>
        <r>
          <rPr>
            <b/>
            <sz val="9"/>
            <color indexed="81"/>
            <rFont val="Tahoma"/>
            <family val="2"/>
          </rPr>
          <t xml:space="preserve">Note to Engineers:
</t>
        </r>
        <r>
          <rPr>
            <sz val="9"/>
            <color indexed="81"/>
            <rFont val="Tahoma"/>
            <family val="2"/>
          </rPr>
          <t>ACI318 Section 22.6.5.2
ACI318 Section 22.6.6.1</t>
        </r>
      </text>
    </comment>
    <comment ref="M22" authorId="5" shapeId="0" xr:uid="{945A3C22-F96D-464E-83C0-837A23E87BD5}">
      <text>
        <r>
          <rPr>
            <b/>
            <sz val="9"/>
            <color indexed="81"/>
            <rFont val="Tahoma"/>
            <family val="2"/>
          </rPr>
          <t xml:space="preserve">Notes to Engineers:
</t>
        </r>
        <r>
          <rPr>
            <sz val="9"/>
            <color indexed="81"/>
            <rFont val="Tahoma"/>
            <family val="2"/>
          </rPr>
          <t xml:space="preserve">
Vs per ACI 318-19 22.5.8.5.3</t>
        </r>
      </text>
    </comment>
    <comment ref="A24" authorId="5" shapeId="0" xr:uid="{A1609FC5-573C-472E-B2EF-A7636AD4CE4D}">
      <text>
        <r>
          <rPr>
            <b/>
            <sz val="9"/>
            <color rgb="FF000000"/>
            <rFont val="Tahoma"/>
            <family val="2"/>
          </rPr>
          <t xml:space="preserve">Notes to Engineer:
</t>
        </r>
        <r>
          <rPr>
            <sz val="9"/>
            <color rgb="FF000000"/>
            <rFont val="Tahoma"/>
            <family val="2"/>
          </rPr>
          <t xml:space="preserve">
</t>
        </r>
        <r>
          <rPr>
            <sz val="9"/>
            <color rgb="FF000000"/>
            <rFont val="Tahoma"/>
            <family val="2"/>
          </rPr>
          <t>fy must not exceed limits per ACI 318-19, Table 20.2.2.4(a)</t>
        </r>
      </text>
    </comment>
    <comment ref="M25" authorId="5" shapeId="0" xr:uid="{894730C3-8FC8-4E28-B0DD-E11FD0C84B70}">
      <text>
        <r>
          <rPr>
            <b/>
            <sz val="9"/>
            <color indexed="81"/>
            <rFont val="Tahoma"/>
            <family val="2"/>
          </rPr>
          <t xml:space="preserve">Notes to Engineers:
</t>
        </r>
        <r>
          <rPr>
            <sz val="9"/>
            <color indexed="81"/>
            <rFont val="Tahoma"/>
            <family val="2"/>
          </rPr>
          <t>Vu max is calculated per ACI 318-19 22.5.1.2</t>
        </r>
      </text>
    </comment>
    <comment ref="S26" authorId="1" shapeId="0" xr:uid="{7D6FFFEE-DE8B-4C9F-9957-94F704750DF4}">
      <text>
        <r>
          <rPr>
            <b/>
            <sz val="9"/>
            <color indexed="81"/>
            <rFont val="Tahoma"/>
            <family val="2"/>
          </rPr>
          <t xml:space="preserve">Notes to Engineers:
</t>
        </r>
        <r>
          <rPr>
            <sz val="9"/>
            <color indexed="81"/>
            <rFont val="Tahoma"/>
            <family val="2"/>
          </rPr>
          <t xml:space="preserve">
Maximum phi*Vn is calculated per ACI 318-19 22.6.6.3</t>
        </r>
      </text>
    </comment>
    <comment ref="M27" authorId="4" shapeId="0" xr:uid="{C2002C41-0ACC-4E28-BB70-06AFAD2040E8}">
      <text>
        <r>
          <rPr>
            <b/>
            <sz val="9"/>
            <color indexed="81"/>
            <rFont val="Tahoma"/>
            <family val="2"/>
          </rPr>
          <t>Notes to Engineers:</t>
        </r>
        <r>
          <rPr>
            <sz val="9"/>
            <color indexed="81"/>
            <rFont val="Tahoma"/>
            <family val="2"/>
          </rPr>
          <t xml:space="preserve">
Ref ACI318-19 Table 22.5.5.1(c),
c.f. 2 per previous ACI318.
Until further review, MKA will not take this factor to be less than 1.0.</t>
        </r>
      </text>
    </comment>
    <comment ref="A28" authorId="5" shapeId="0" xr:uid="{1A541A00-239C-4E7E-9F8B-1B01280CE5C8}">
      <text>
        <r>
          <rPr>
            <b/>
            <sz val="9"/>
            <color indexed="81"/>
            <rFont val="Tahoma"/>
            <family val="2"/>
          </rPr>
          <t xml:space="preserve">Notes to Engineer:
</t>
        </r>
        <r>
          <rPr>
            <sz val="9"/>
            <color indexed="81"/>
            <rFont val="Tahoma"/>
            <family val="2"/>
          </rPr>
          <t>fy must not exceed limits per ACI 318-19, Table 20.2.2.4(a)</t>
        </r>
      </text>
    </comment>
    <comment ref="M28" authorId="5" shapeId="0" xr:uid="{116DB97F-2074-42FF-8E7D-7913A8FF3FCC}">
      <text>
        <r>
          <rPr>
            <b/>
            <sz val="9"/>
            <color indexed="81"/>
            <rFont val="Tahoma"/>
            <family val="2"/>
          </rPr>
          <t xml:space="preserve">Notes to Engineers:
</t>
        </r>
        <r>
          <rPr>
            <sz val="9"/>
            <color indexed="81"/>
            <rFont val="Tahoma"/>
            <family val="2"/>
          </rPr>
          <t>Vc per ACI 318-19Table 22.5.5.1</t>
        </r>
      </text>
    </comment>
    <comment ref="M29" authorId="5" shapeId="0" xr:uid="{CF586088-06C4-4D46-A524-7CD2069801DC}">
      <text>
        <r>
          <rPr>
            <b/>
            <sz val="9"/>
            <color rgb="FF000000"/>
            <rFont val="Tahoma"/>
            <family val="2"/>
          </rPr>
          <t xml:space="preserve">Notes to Engineers:
</t>
        </r>
        <r>
          <rPr>
            <sz val="9"/>
            <color rgb="FF000000"/>
            <rFont val="Tahoma"/>
            <family val="2"/>
          </rPr>
          <t xml:space="preserve">
</t>
        </r>
        <r>
          <rPr>
            <sz val="9"/>
            <color rgb="FF000000"/>
            <rFont val="Tahoma"/>
            <family val="2"/>
          </rPr>
          <t>Vs per ACI 318-19 22.5.8.5.3</t>
        </r>
      </text>
    </comment>
    <comment ref="A30" authorId="5" shapeId="0" xr:uid="{4DED20D1-351C-4754-848B-2EE48FE6595D}">
      <text>
        <r>
          <rPr>
            <b/>
            <sz val="9"/>
            <color indexed="81"/>
            <rFont val="Tahoma"/>
            <family val="2"/>
          </rPr>
          <t xml:space="preserve">Notes to Engineer:
</t>
        </r>
        <r>
          <rPr>
            <sz val="9"/>
            <color indexed="81"/>
            <rFont val="Tahoma"/>
            <family val="2"/>
          </rPr>
          <t>fy must not exceed limits per ACI 318-19, Table 20.2.2.4(a)</t>
        </r>
      </text>
    </comment>
    <comment ref="A32" authorId="5" shapeId="0" xr:uid="{69D3EC66-8C3C-4F56-8D97-9E98506F5C4A}">
      <text>
        <r>
          <rPr>
            <b/>
            <sz val="9"/>
            <color indexed="81"/>
            <rFont val="Tahoma"/>
            <family val="2"/>
          </rPr>
          <t xml:space="preserve">Notes to Engineers:
</t>
        </r>
        <r>
          <rPr>
            <sz val="9"/>
            <color indexed="81"/>
            <rFont val="Tahoma"/>
            <family val="2"/>
          </rPr>
          <t xml:space="preserve">
Per ACI Table 8.7.6.3 spacing must be greater than d/2
</t>
        </r>
      </text>
    </comment>
    <comment ref="M32" authorId="5" shapeId="0" xr:uid="{B39BBC12-0162-4BE9-A974-2DCA39D0C146}">
      <text>
        <r>
          <rPr>
            <b/>
            <sz val="9"/>
            <color indexed="81"/>
            <rFont val="Tahoma"/>
            <family val="2"/>
          </rPr>
          <t xml:space="preserve">Notes to Engineers:
</t>
        </r>
        <r>
          <rPr>
            <sz val="9"/>
            <color indexed="81"/>
            <rFont val="Tahoma"/>
            <family val="2"/>
          </rPr>
          <t>Vu max is calculated per ACI 318-19 22.5.1.2</t>
        </r>
      </text>
    </comment>
    <comment ref="A33" authorId="5" shapeId="0" xr:uid="{2FADEB74-E052-4DAC-A4F8-CED6903EDB2C}">
      <text>
        <r>
          <rPr>
            <b/>
            <sz val="9"/>
            <color indexed="81"/>
            <rFont val="Tahoma"/>
            <family val="2"/>
          </rPr>
          <t xml:space="preserve">Notes to Engineers:
</t>
        </r>
        <r>
          <rPr>
            <sz val="9"/>
            <color indexed="81"/>
            <rFont val="Tahoma"/>
            <family val="2"/>
          </rPr>
          <t xml:space="preserve">
Per ACI Table 8.7.6.3 spacing must be greater than d/2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<sst xmlns="http://schemas.openxmlformats.org/spreadsheetml/2006/main" count="334" uniqueCount="179">
  <si>
    <t>Spread Footing Design: Single Concentrically Loaded Rectangular Footing</t>
  </si>
  <si>
    <t>Bearing</t>
  </si>
  <si>
    <t>Example Calculation</t>
  </si>
  <si>
    <t>One-Way Shear Check</t>
  </si>
  <si>
    <t>Flexure Check</t>
  </si>
  <si>
    <t>Project Name:</t>
  </si>
  <si>
    <t>Engineer:</t>
  </si>
  <si>
    <r>
      <t>q</t>
    </r>
    <r>
      <rPr>
        <vertAlign val="subscript"/>
        <sz val="8"/>
        <rFont val="Futura Lt BT"/>
        <family val="2"/>
      </rPr>
      <t>svc-gross</t>
    </r>
    <r>
      <rPr>
        <sz val="8"/>
        <rFont val="Futura Lt BT"/>
        <family val="2"/>
      </rPr>
      <t xml:space="preserve"> =</t>
    </r>
  </si>
  <si>
    <t>ksf</t>
  </si>
  <si>
    <t>Column Mark:</t>
  </si>
  <si>
    <t>Col08</t>
  </si>
  <si>
    <t>Date:</t>
  </si>
  <si>
    <t>DCR =</t>
  </si>
  <si>
    <r>
      <t>P</t>
    </r>
    <r>
      <rPr>
        <vertAlign val="subscript"/>
        <sz val="10"/>
        <rFont val="Futura Lt BT"/>
        <family val="2"/>
      </rPr>
      <t>SW</t>
    </r>
    <r>
      <rPr>
        <sz val="11"/>
        <color theme="1"/>
        <rFont val="Calibri"/>
        <family val="2"/>
        <scheme val="minor"/>
      </rPr>
      <t xml:space="preserve"> =</t>
    </r>
  </si>
  <si>
    <t>k</t>
  </si>
  <si>
    <t>β =</t>
  </si>
  <si>
    <r>
      <t>P</t>
    </r>
    <r>
      <rPr>
        <vertAlign val="subscript"/>
        <sz val="10"/>
        <rFont val="Futura Lt BT"/>
        <family val="2"/>
      </rPr>
      <t>service-net</t>
    </r>
    <r>
      <rPr>
        <sz val="11"/>
        <color theme="1"/>
        <rFont val="Calibri"/>
        <family val="2"/>
        <scheme val="minor"/>
      </rPr>
      <t xml:space="preserve"> =</t>
    </r>
  </si>
  <si>
    <r>
      <t>ρ</t>
    </r>
    <r>
      <rPr>
        <vertAlign val="subscript"/>
        <sz val="10"/>
        <rFont val="Arial"/>
        <family val="2"/>
      </rPr>
      <t>min</t>
    </r>
    <r>
      <rPr>
        <sz val="11"/>
        <color theme="1"/>
        <rFont val="Calibri"/>
        <family val="2"/>
        <scheme val="minor"/>
      </rPr>
      <t xml:space="preserve"> = </t>
    </r>
  </si>
  <si>
    <t>Loading Input</t>
  </si>
  <si>
    <t>Footing Mark:</t>
  </si>
  <si>
    <t>F1</t>
  </si>
  <si>
    <t>Flexure - About Y-Axis</t>
  </si>
  <si>
    <t>Flexure - About X-Axis</t>
  </si>
  <si>
    <t>Bearing Check</t>
  </si>
  <si>
    <r>
      <t>P</t>
    </r>
    <r>
      <rPr>
        <vertAlign val="subscript"/>
        <sz val="10"/>
        <rFont val="Futura Lt BT"/>
        <family val="2"/>
      </rPr>
      <t>u-net</t>
    </r>
    <r>
      <rPr>
        <sz val="11"/>
        <color theme="1"/>
        <rFont val="Calibri"/>
        <family val="2"/>
        <scheme val="minor"/>
      </rPr>
      <t xml:space="preserve"> =</t>
    </r>
  </si>
  <si>
    <r>
      <t>P</t>
    </r>
    <r>
      <rPr>
        <vertAlign val="subscript"/>
        <sz val="8"/>
        <rFont val="Futura Lt BT"/>
        <family val="2"/>
      </rPr>
      <t>DL</t>
    </r>
    <r>
      <rPr>
        <sz val="8"/>
        <rFont val="Futura Lt BT"/>
        <family val="2"/>
      </rPr>
      <t xml:space="preserve"> =</t>
    </r>
    <r>
      <rPr>
        <vertAlign val="subscript"/>
        <sz val="8"/>
        <rFont val="Futura Lt BT"/>
        <family val="2"/>
      </rPr>
      <t xml:space="preserve"> </t>
    </r>
  </si>
  <si>
    <r>
      <t>A</t>
    </r>
    <r>
      <rPr>
        <vertAlign val="subscript"/>
        <sz val="8"/>
        <rFont val="Futura Lt BT"/>
        <family val="2"/>
      </rPr>
      <t xml:space="preserve">st_prov'd </t>
    </r>
    <r>
      <rPr>
        <sz val="8"/>
        <rFont val="Futura Lt BT"/>
        <family val="2"/>
      </rPr>
      <t>=</t>
    </r>
  </si>
  <si>
    <r>
      <t>in</t>
    </r>
    <r>
      <rPr>
        <vertAlign val="superscript"/>
        <sz val="8"/>
        <rFont val="Futura Lt BT"/>
        <family val="2"/>
      </rPr>
      <t>2</t>
    </r>
  </si>
  <si>
    <r>
      <t>q</t>
    </r>
    <r>
      <rPr>
        <vertAlign val="subscript"/>
        <sz val="10"/>
        <rFont val="Futura Lt BT"/>
        <family val="2"/>
      </rPr>
      <t>u-net</t>
    </r>
    <r>
      <rPr>
        <sz val="11"/>
        <color theme="1"/>
        <rFont val="Calibri"/>
        <family val="2"/>
        <scheme val="minor"/>
      </rPr>
      <t xml:space="preserve"> = </t>
    </r>
  </si>
  <si>
    <t>About X-Axis</t>
  </si>
  <si>
    <t>About Y-Axis</t>
  </si>
  <si>
    <r>
      <t>P</t>
    </r>
    <r>
      <rPr>
        <vertAlign val="subscript"/>
        <sz val="8"/>
        <rFont val="Futura Lt BT"/>
        <family val="2"/>
      </rPr>
      <t>LL</t>
    </r>
    <r>
      <rPr>
        <sz val="8"/>
        <rFont val="Futura Lt BT"/>
        <family val="2"/>
      </rPr>
      <t xml:space="preserve"> =</t>
    </r>
  </si>
  <si>
    <r>
      <t>A</t>
    </r>
    <r>
      <rPr>
        <vertAlign val="subscript"/>
        <sz val="8"/>
        <rFont val="Futura Lt BT"/>
        <family val="2"/>
      </rPr>
      <t>st_min</t>
    </r>
    <r>
      <rPr>
        <sz val="8"/>
        <rFont val="Futura Lt BT"/>
        <family val="2"/>
      </rPr>
      <t xml:space="preserve"> =</t>
    </r>
  </si>
  <si>
    <t>Ast_prov'd =</t>
  </si>
  <si>
    <r>
      <t>w</t>
    </r>
    <r>
      <rPr>
        <vertAlign val="subscript"/>
        <sz val="8"/>
        <rFont val="Futura Lt BT"/>
        <family val="2"/>
      </rPr>
      <t>overburden</t>
    </r>
    <r>
      <rPr>
        <sz val="8"/>
        <rFont val="Futura Lt BT"/>
        <family val="2"/>
      </rPr>
      <t xml:space="preserve"> =</t>
    </r>
  </si>
  <si>
    <t>Bar Spacing =</t>
  </si>
  <si>
    <t>in</t>
  </si>
  <si>
    <t>Фv =</t>
  </si>
  <si>
    <r>
      <t>Bar L</t>
    </r>
    <r>
      <rPr>
        <vertAlign val="subscript"/>
        <sz val="8"/>
        <rFont val="Futura Lt BT"/>
        <family val="2"/>
      </rPr>
      <t>d</t>
    </r>
    <r>
      <rPr>
        <sz val="8"/>
        <rFont val="Futura Lt BT"/>
        <family val="2"/>
      </rPr>
      <t xml:space="preserve"> =</t>
    </r>
  </si>
  <si>
    <r>
      <t>q</t>
    </r>
    <r>
      <rPr>
        <vertAlign val="subscript"/>
        <sz val="8"/>
        <color theme="1"/>
        <rFont val="Futura Lt BT"/>
        <family val="2"/>
      </rPr>
      <t>svc−gross</t>
    </r>
    <r>
      <rPr>
        <sz val="11"/>
        <color theme="1"/>
        <rFont val="Calibri"/>
        <family val="2"/>
        <scheme val="minor"/>
      </rPr>
      <t xml:space="preserve"> =</t>
    </r>
  </si>
  <si>
    <r>
      <t>V</t>
    </r>
    <r>
      <rPr>
        <vertAlign val="subscript"/>
        <sz val="8"/>
        <rFont val="Arial"/>
        <family val="2"/>
      </rPr>
      <t>c</t>
    </r>
    <r>
      <rPr>
        <sz val="8"/>
        <rFont val="Arial"/>
        <family val="2"/>
      </rPr>
      <t xml:space="preserve"> = </t>
    </r>
  </si>
  <si>
    <r>
      <rPr>
        <sz val="8"/>
        <rFont val="Arial"/>
        <family val="2"/>
      </rPr>
      <t xml:space="preserve"> 8</t>
    </r>
    <r>
      <rPr>
        <sz val="8"/>
        <rFont val="GreekC"/>
      </rPr>
      <t>l</t>
    </r>
    <r>
      <rPr>
        <vertAlign val="subscript"/>
        <sz val="8"/>
        <rFont val="Arial"/>
        <family val="2"/>
      </rPr>
      <t>s</t>
    </r>
    <r>
      <rPr>
        <sz val="8"/>
        <rFont val="Arial"/>
        <family val="2"/>
      </rPr>
      <t>(</t>
    </r>
    <r>
      <rPr>
        <sz val="8"/>
        <rFont val="GreekC"/>
      </rPr>
      <t>r</t>
    </r>
    <r>
      <rPr>
        <vertAlign val="subscript"/>
        <sz val="8"/>
        <rFont val="Arial"/>
        <family val="2"/>
      </rPr>
      <t>w</t>
    </r>
    <r>
      <rPr>
        <sz val="8"/>
        <rFont val="Arial"/>
        <family val="2"/>
      </rPr>
      <t>)</t>
    </r>
    <r>
      <rPr>
        <vertAlign val="superscript"/>
        <sz val="8"/>
        <rFont val="Arial"/>
        <family val="2"/>
      </rPr>
      <t>1/3</t>
    </r>
    <r>
      <rPr>
        <sz val="8"/>
        <rFont val="Arial"/>
        <family val="2"/>
      </rPr>
      <t>√(f'</t>
    </r>
    <r>
      <rPr>
        <vertAlign val="subscript"/>
        <sz val="8"/>
        <rFont val="Arial"/>
        <family val="2"/>
      </rPr>
      <t>c</t>
    </r>
    <r>
      <rPr>
        <sz val="8"/>
        <rFont val="Arial"/>
        <family val="2"/>
      </rPr>
      <t>)bd</t>
    </r>
  </si>
  <si>
    <t>Footing Parameter Input</t>
  </si>
  <si>
    <r>
      <t>ФM</t>
    </r>
    <r>
      <rPr>
        <vertAlign val="subscript"/>
        <sz val="8"/>
        <rFont val="Futura Lt BT"/>
        <family val="2"/>
      </rPr>
      <t>n</t>
    </r>
    <r>
      <rPr>
        <sz val="8"/>
        <rFont val="Futura Lt BT"/>
        <family val="2"/>
      </rPr>
      <t xml:space="preserve"> =</t>
    </r>
  </si>
  <si>
    <t>k-in</t>
  </si>
  <si>
    <t>a =</t>
  </si>
  <si>
    <t>in.</t>
  </si>
  <si>
    <r>
      <t>q</t>
    </r>
    <r>
      <rPr>
        <vertAlign val="subscript"/>
        <sz val="8"/>
        <rFont val="Futura Lt BT"/>
        <family val="2"/>
      </rPr>
      <t>allow</t>
    </r>
    <r>
      <rPr>
        <sz val="8"/>
        <rFont val="Futura Lt BT"/>
        <family val="2"/>
      </rPr>
      <t xml:space="preserve"> =</t>
    </r>
  </si>
  <si>
    <r>
      <t>M</t>
    </r>
    <r>
      <rPr>
        <vertAlign val="subscript"/>
        <sz val="8"/>
        <rFont val="Futura Lt BT"/>
        <family val="2"/>
      </rPr>
      <t>u</t>
    </r>
    <r>
      <rPr>
        <sz val="8"/>
        <rFont val="Futura Lt BT"/>
        <family val="2"/>
      </rPr>
      <t xml:space="preserve"> =</t>
    </r>
  </si>
  <si>
    <t>X Direction</t>
  </si>
  <si>
    <t>Y Direction</t>
  </si>
  <si>
    <t>c =</t>
  </si>
  <si>
    <t>a / β</t>
  </si>
  <si>
    <t xml:space="preserve">Include Ftg SW? </t>
  </si>
  <si>
    <t>NO</t>
  </si>
  <si>
    <t>DCR</t>
  </si>
  <si>
    <t>CONCRETE</t>
  </si>
  <si>
    <r>
      <t>ε</t>
    </r>
    <r>
      <rPr>
        <vertAlign val="subscript"/>
        <sz val="10"/>
        <rFont val="Arial"/>
        <family val="2"/>
      </rPr>
      <t>t</t>
    </r>
    <r>
      <rPr>
        <sz val="11"/>
        <color theme="1"/>
        <rFont val="Calibri"/>
        <family val="2"/>
        <scheme val="minor"/>
      </rPr>
      <t xml:space="preserve"> =</t>
    </r>
  </si>
  <si>
    <t>( d - c ) / c * 0.003</t>
  </si>
  <si>
    <r>
      <t>X</t>
    </r>
    <r>
      <rPr>
        <vertAlign val="subscript"/>
        <sz val="8"/>
        <rFont val="Futura Lt BT"/>
        <family val="2"/>
      </rPr>
      <t>ftg</t>
    </r>
    <r>
      <rPr>
        <sz val="8"/>
        <rFont val="Futura Lt BT"/>
        <family val="2"/>
      </rPr>
      <t xml:space="preserve"> =</t>
    </r>
  </si>
  <si>
    <t>Addl rebar required to avoid banding?</t>
  </si>
  <si>
    <r>
      <rPr>
        <sz val="8"/>
        <rFont val="GreekC"/>
      </rPr>
      <t>r</t>
    </r>
    <r>
      <rPr>
        <vertAlign val="subscript"/>
        <sz val="8"/>
        <rFont val="Arial"/>
        <family val="2"/>
      </rPr>
      <t>w</t>
    </r>
    <r>
      <rPr>
        <sz val="8"/>
        <rFont val="Futura Lt BT"/>
        <family val="2"/>
      </rPr>
      <t xml:space="preserve"> = </t>
    </r>
  </si>
  <si>
    <r>
      <t>Y</t>
    </r>
    <r>
      <rPr>
        <vertAlign val="subscript"/>
        <sz val="8"/>
        <rFont val="Futura Lt BT"/>
        <family val="2"/>
      </rPr>
      <t>ftg</t>
    </r>
    <r>
      <rPr>
        <sz val="8"/>
        <rFont val="Futura Lt BT"/>
        <family val="2"/>
      </rPr>
      <t xml:space="preserve"> =</t>
    </r>
  </si>
  <si>
    <t>d =</t>
  </si>
  <si>
    <r>
      <t>h - cover - 1.5*d</t>
    </r>
    <r>
      <rPr>
        <vertAlign val="subscript"/>
        <sz val="8"/>
        <color theme="1"/>
        <rFont val="Futura Lt BT"/>
        <family val="2"/>
      </rPr>
      <t>b</t>
    </r>
  </si>
  <si>
    <r>
      <t>Ф</t>
    </r>
    <r>
      <rPr>
        <vertAlign val="subscript"/>
        <sz val="10"/>
        <rFont val="Arial"/>
        <family val="2"/>
      </rPr>
      <t>b</t>
    </r>
    <r>
      <rPr>
        <sz val="11"/>
        <color theme="1"/>
        <rFont val="Calibri"/>
        <family val="2"/>
        <scheme val="minor"/>
      </rPr>
      <t xml:space="preserve"> =</t>
    </r>
  </si>
  <si>
    <r>
      <t>X</t>
    </r>
    <r>
      <rPr>
        <vertAlign val="subscript"/>
        <sz val="8"/>
        <rFont val="Futura Lt BT"/>
        <family val="2"/>
      </rPr>
      <t>col</t>
    </r>
    <r>
      <rPr>
        <sz val="8"/>
        <rFont val="Futura Lt BT"/>
        <family val="2"/>
      </rPr>
      <t xml:space="preserve"> =</t>
    </r>
  </si>
  <si>
    <t>Two-Way Shear Check</t>
  </si>
  <si>
    <r>
      <t>ФM</t>
    </r>
    <r>
      <rPr>
        <vertAlign val="subscript"/>
        <sz val="8"/>
        <rFont val="Futura Lt BT"/>
        <family val="2"/>
      </rPr>
      <t>n-x</t>
    </r>
    <r>
      <rPr>
        <sz val="8"/>
        <rFont val="Futura Lt BT"/>
        <family val="2"/>
      </rPr>
      <t xml:space="preserve"> =</t>
    </r>
  </si>
  <si>
    <r>
      <t xml:space="preserve"> ФA</t>
    </r>
    <r>
      <rPr>
        <vertAlign val="subscript"/>
        <sz val="8"/>
        <color theme="1"/>
        <rFont val="Futura Lt BT"/>
        <family val="2"/>
      </rPr>
      <t>s</t>
    </r>
    <r>
      <rPr>
        <sz val="11"/>
        <color theme="1"/>
        <rFont val="Calibri"/>
        <family val="2"/>
        <scheme val="minor"/>
      </rPr>
      <t xml:space="preserve"> * f</t>
    </r>
    <r>
      <rPr>
        <vertAlign val="subscript"/>
        <sz val="8"/>
        <color theme="1"/>
        <rFont val="Futura Lt BT"/>
        <family val="2"/>
      </rPr>
      <t>y</t>
    </r>
    <r>
      <rPr>
        <sz val="11"/>
        <color theme="1"/>
        <rFont val="Calibri"/>
        <family val="2"/>
        <scheme val="minor"/>
      </rPr>
      <t xml:space="preserve"> ( d - a/2 )</t>
    </r>
  </si>
  <si>
    <r>
      <t>ФM</t>
    </r>
    <r>
      <rPr>
        <vertAlign val="subscript"/>
        <sz val="8"/>
        <rFont val="Futura Lt BT"/>
        <family val="2"/>
      </rPr>
      <t>n-y</t>
    </r>
    <r>
      <rPr>
        <sz val="8"/>
        <rFont val="Futura Lt BT"/>
        <family val="2"/>
      </rPr>
      <t xml:space="preserve"> =</t>
    </r>
  </si>
  <si>
    <r>
      <t>Y</t>
    </r>
    <r>
      <rPr>
        <vertAlign val="subscript"/>
        <sz val="8"/>
        <rFont val="Futura Lt BT"/>
        <family val="2"/>
      </rPr>
      <t>col</t>
    </r>
    <r>
      <rPr>
        <sz val="8"/>
        <rFont val="Futura Lt BT"/>
        <family val="2"/>
      </rPr>
      <t xml:space="preserve"> =</t>
    </r>
  </si>
  <si>
    <r>
      <t>Ф</t>
    </r>
    <r>
      <rPr>
        <vertAlign val="subscript"/>
        <sz val="10"/>
        <rFont val="Arial"/>
        <family val="2"/>
      </rPr>
      <t>v</t>
    </r>
    <r>
      <rPr>
        <sz val="11"/>
        <color theme="1"/>
        <rFont val="Calibri"/>
        <family val="2"/>
        <scheme val="minor"/>
      </rPr>
      <t xml:space="preserve"> =</t>
    </r>
  </si>
  <si>
    <r>
      <t>V</t>
    </r>
    <r>
      <rPr>
        <vertAlign val="subscript"/>
        <sz val="8"/>
        <rFont val="Futura Lt BT"/>
        <family val="2"/>
      </rPr>
      <t>c-x</t>
    </r>
    <r>
      <rPr>
        <sz val="8"/>
        <rFont val="Futura Lt BT"/>
        <family val="2"/>
      </rPr>
      <t xml:space="preserve"> / d =</t>
    </r>
  </si>
  <si>
    <t>k/in.</t>
  </si>
  <si>
    <r>
      <t>f'</t>
    </r>
    <r>
      <rPr>
        <vertAlign val="subscript"/>
        <sz val="8"/>
        <rFont val="Futura Lt BT"/>
        <family val="2"/>
      </rPr>
      <t>c</t>
    </r>
    <r>
      <rPr>
        <sz val="8"/>
        <rFont val="Futura Lt BT"/>
        <family val="2"/>
      </rPr>
      <t xml:space="preserve"> =</t>
    </r>
  </si>
  <si>
    <t>ksi</t>
  </si>
  <si>
    <t>Size Effect Factor</t>
  </si>
  <si>
    <r>
      <t>One-Way Shear:</t>
    </r>
    <r>
      <rPr>
        <sz val="10"/>
        <rFont val="Arial"/>
        <family val="2"/>
      </rPr>
      <t xml:space="preserve">  V</t>
    </r>
    <r>
      <rPr>
        <vertAlign val="subscript"/>
        <sz val="10"/>
        <rFont val="Arial"/>
        <family val="2"/>
      </rPr>
      <t>c</t>
    </r>
    <r>
      <rPr>
        <sz val="10"/>
        <rFont val="Arial"/>
        <family val="2"/>
      </rPr>
      <t xml:space="preserve"> = 8</t>
    </r>
    <r>
      <rPr>
        <sz val="10"/>
        <rFont val="GreekC"/>
      </rPr>
      <t>l</t>
    </r>
    <r>
      <rPr>
        <vertAlign val="subscript"/>
        <sz val="10"/>
        <rFont val="Arial"/>
        <family val="2"/>
      </rPr>
      <t>s</t>
    </r>
    <r>
      <rPr>
        <sz val="10"/>
        <rFont val="Arial"/>
        <family val="2"/>
      </rPr>
      <t>(</t>
    </r>
    <r>
      <rPr>
        <sz val="10"/>
        <rFont val="GreekC"/>
      </rPr>
      <t>r</t>
    </r>
    <r>
      <rPr>
        <vertAlign val="subscript"/>
        <sz val="10"/>
        <rFont val="Arial"/>
        <family val="2"/>
      </rPr>
      <t>w</t>
    </r>
    <r>
      <rPr>
        <sz val="10"/>
        <rFont val="Arial"/>
        <family val="2"/>
      </rPr>
      <t>)</t>
    </r>
    <r>
      <rPr>
        <vertAlign val="superscript"/>
        <sz val="10"/>
        <rFont val="Arial"/>
        <family val="2"/>
      </rPr>
      <t>1/3</t>
    </r>
    <r>
      <rPr>
        <sz val="10"/>
        <rFont val="Arial"/>
        <family val="2"/>
      </rPr>
      <t>√(f'</t>
    </r>
    <r>
      <rPr>
        <vertAlign val="subscript"/>
        <sz val="10"/>
        <rFont val="Arial"/>
        <family val="2"/>
      </rPr>
      <t>c</t>
    </r>
    <r>
      <rPr>
        <sz val="10"/>
        <rFont val="Arial"/>
        <family val="2"/>
      </rPr>
      <t>)bd</t>
    </r>
  </si>
  <si>
    <r>
      <t xml:space="preserve">Two-Way Shear:  </t>
    </r>
    <r>
      <rPr>
        <sz val="10"/>
        <rFont val="Arial"/>
        <family val="2"/>
      </rPr>
      <t>V</t>
    </r>
    <r>
      <rPr>
        <vertAlign val="subscript"/>
        <sz val="10"/>
        <rFont val="Arial"/>
        <family val="2"/>
      </rPr>
      <t>c</t>
    </r>
    <r>
      <rPr>
        <sz val="10"/>
        <rFont val="Arial"/>
        <family val="2"/>
      </rPr>
      <t>=min[4,2+4/</t>
    </r>
    <r>
      <rPr>
        <sz val="10"/>
        <rFont val="Symbol"/>
        <family val="1"/>
        <charset val="2"/>
      </rPr>
      <t>b</t>
    </r>
    <r>
      <rPr>
        <sz val="10"/>
        <rFont val="Arial"/>
        <family val="2"/>
      </rPr>
      <t>,40d/b</t>
    </r>
    <r>
      <rPr>
        <vertAlign val="subscript"/>
        <sz val="10"/>
        <rFont val="Arial"/>
        <family val="2"/>
      </rPr>
      <t>o</t>
    </r>
    <r>
      <rPr>
        <sz val="10"/>
        <rFont val="Arial"/>
        <family val="2"/>
      </rPr>
      <t>+2]*</t>
    </r>
    <r>
      <rPr>
        <sz val="10"/>
        <rFont val="GreekC"/>
      </rPr>
      <t>l</t>
    </r>
    <r>
      <rPr>
        <vertAlign val="subscript"/>
        <sz val="10"/>
        <rFont val="Arial"/>
        <family val="2"/>
      </rPr>
      <t>s</t>
    </r>
    <r>
      <rPr>
        <sz val="10"/>
        <rFont val="Arial"/>
        <family val="2"/>
      </rPr>
      <t>√(f'</t>
    </r>
    <r>
      <rPr>
        <vertAlign val="subscript"/>
        <sz val="10"/>
        <rFont val="Arial"/>
        <family val="2"/>
      </rPr>
      <t>c</t>
    </r>
    <r>
      <rPr>
        <sz val="10"/>
        <rFont val="Arial"/>
        <family val="2"/>
      </rPr>
      <t>)b</t>
    </r>
    <r>
      <rPr>
        <vertAlign val="subscript"/>
        <sz val="10"/>
        <rFont val="Arial"/>
        <family val="2"/>
      </rPr>
      <t>o</t>
    </r>
    <r>
      <rPr>
        <sz val="10"/>
        <rFont val="Arial"/>
        <family val="2"/>
      </rPr>
      <t>d</t>
    </r>
  </si>
  <si>
    <r>
      <t>b</t>
    </r>
    <r>
      <rPr>
        <vertAlign val="subscript"/>
        <sz val="8"/>
        <rFont val="Futura Lt BT"/>
        <family val="2"/>
      </rPr>
      <t>o</t>
    </r>
    <r>
      <rPr>
        <sz val="8"/>
        <rFont val="Futura Lt BT"/>
        <family val="2"/>
      </rPr>
      <t xml:space="preserve"> =</t>
    </r>
  </si>
  <si>
    <r>
      <t>( X</t>
    </r>
    <r>
      <rPr>
        <vertAlign val="subscript"/>
        <sz val="8"/>
        <color theme="1"/>
        <rFont val="Futura Lt BT"/>
        <family val="2"/>
      </rPr>
      <t>col</t>
    </r>
    <r>
      <rPr>
        <sz val="11"/>
        <color theme="1"/>
        <rFont val="Calibri"/>
        <family val="2"/>
        <scheme val="minor"/>
      </rPr>
      <t xml:space="preserve"> + Y</t>
    </r>
    <r>
      <rPr>
        <vertAlign val="subscript"/>
        <sz val="8"/>
        <color theme="1"/>
        <rFont val="Futura Lt BT"/>
        <family val="2"/>
      </rPr>
      <t>col</t>
    </r>
    <r>
      <rPr>
        <sz val="11"/>
        <color theme="1"/>
        <rFont val="Calibri"/>
        <family val="2"/>
        <scheme val="minor"/>
      </rPr>
      <t xml:space="preserve"> +2*d ) * 2</t>
    </r>
  </si>
  <si>
    <r>
      <t>ФV</t>
    </r>
    <r>
      <rPr>
        <vertAlign val="subscript"/>
        <sz val="8"/>
        <rFont val="Futura Lt BT"/>
        <family val="2"/>
      </rPr>
      <t>c-x</t>
    </r>
    <r>
      <rPr>
        <sz val="8"/>
        <rFont val="Futura Lt BT"/>
        <family val="2"/>
      </rPr>
      <t xml:space="preserve"> =</t>
    </r>
  </si>
  <si>
    <r>
      <t>ФV</t>
    </r>
    <r>
      <rPr>
        <vertAlign val="subscript"/>
        <sz val="8"/>
        <rFont val="Futura Lt BT"/>
        <family val="2"/>
      </rPr>
      <t>c-y</t>
    </r>
    <r>
      <rPr>
        <sz val="8"/>
        <rFont val="Futura Lt BT"/>
        <family val="2"/>
      </rPr>
      <t xml:space="preserve"> =</t>
    </r>
  </si>
  <si>
    <t>Cover =</t>
  </si>
  <si>
    <t>Include?</t>
  </si>
  <si>
    <t>X DIRECTION</t>
  </si>
  <si>
    <t>h =</t>
  </si>
  <si>
    <r>
      <t>λ</t>
    </r>
    <r>
      <rPr>
        <vertAlign val="subscript"/>
        <sz val="8"/>
        <rFont val="Futura Lt BT"/>
        <family val="2"/>
      </rPr>
      <t>s</t>
    </r>
    <r>
      <rPr>
        <sz val="8"/>
        <rFont val="Futura Lt BT"/>
        <family val="2"/>
      </rPr>
      <t xml:space="preserve"> =</t>
    </r>
  </si>
  <si>
    <r>
      <t>8λ</t>
    </r>
    <r>
      <rPr>
        <vertAlign val="subscript"/>
        <sz val="8"/>
        <rFont val="Futura Lt BT"/>
        <family val="2"/>
      </rPr>
      <t>s</t>
    </r>
    <r>
      <rPr>
        <sz val="8"/>
        <rFont val="Futura Lt BT"/>
        <family val="2"/>
      </rPr>
      <t>(p</t>
    </r>
    <r>
      <rPr>
        <vertAlign val="subscript"/>
        <sz val="8"/>
        <rFont val="Futura Lt BT"/>
        <family val="2"/>
      </rPr>
      <t>w,x</t>
    </r>
    <r>
      <rPr>
        <sz val="8"/>
        <rFont val="Futura Lt BT"/>
        <family val="2"/>
      </rPr>
      <t>)</t>
    </r>
    <r>
      <rPr>
        <vertAlign val="superscript"/>
        <sz val="8"/>
        <rFont val="Futura Lt BT"/>
        <family val="2"/>
      </rPr>
      <t>1/3</t>
    </r>
    <r>
      <rPr>
        <sz val="8"/>
        <rFont val="Futura Lt BT"/>
        <family val="2"/>
      </rPr>
      <t xml:space="preserve"> = </t>
    </r>
  </si>
  <si>
    <r>
      <t>f</t>
    </r>
    <r>
      <rPr>
        <vertAlign val="subscript"/>
        <sz val="8"/>
        <rFont val="Futura Lt BT"/>
        <family val="2"/>
      </rPr>
      <t>yt</t>
    </r>
    <r>
      <rPr>
        <sz val="8"/>
        <rFont val="Futura Lt BT"/>
        <family val="2"/>
      </rPr>
      <t xml:space="preserve"> =</t>
    </r>
  </si>
  <si>
    <r>
      <rPr>
        <sz val="8"/>
        <rFont val="Futura Lt BT"/>
        <family val="2"/>
      </rPr>
      <t>V</t>
    </r>
    <r>
      <rPr>
        <vertAlign val="subscript"/>
        <sz val="8"/>
        <rFont val="Futura Lt BT"/>
        <family val="2"/>
      </rPr>
      <t xml:space="preserve">c </t>
    </r>
    <r>
      <rPr>
        <sz val="8"/>
        <rFont val="Futura Lt BT"/>
        <family val="2"/>
      </rPr>
      <t>=</t>
    </r>
  </si>
  <si>
    <r>
      <t>min[4,2+4/</t>
    </r>
    <r>
      <rPr>
        <sz val="8"/>
        <color theme="1"/>
        <rFont val="Symbol"/>
        <family val="1"/>
        <charset val="2"/>
      </rPr>
      <t>b</t>
    </r>
    <r>
      <rPr>
        <sz val="11"/>
        <color theme="1"/>
        <rFont val="Calibri"/>
        <family val="2"/>
        <scheme val="minor"/>
      </rPr>
      <t>,40d/b</t>
    </r>
    <r>
      <rPr>
        <vertAlign val="subscript"/>
        <sz val="8"/>
        <color theme="1"/>
        <rFont val="Futura Lt BT"/>
        <family val="2"/>
      </rPr>
      <t>o</t>
    </r>
    <r>
      <rPr>
        <sz val="11"/>
        <color theme="1"/>
        <rFont val="Calibri"/>
        <family val="2"/>
        <scheme val="minor"/>
      </rPr>
      <t>+2]*</t>
    </r>
    <r>
      <rPr>
        <sz val="8"/>
        <color theme="1"/>
        <rFont val="Symbol"/>
        <family val="1"/>
        <charset val="2"/>
      </rPr>
      <t>l</t>
    </r>
    <r>
      <rPr>
        <vertAlign val="subscript"/>
        <sz val="8"/>
        <color theme="1"/>
        <rFont val="Futura Lt BT"/>
        <family val="2"/>
      </rPr>
      <t>s</t>
    </r>
    <r>
      <rPr>
        <sz val="11"/>
        <color theme="1"/>
        <rFont val="Calibri"/>
        <family val="2"/>
        <scheme val="minor"/>
      </rPr>
      <t>√(f'</t>
    </r>
    <r>
      <rPr>
        <vertAlign val="subscript"/>
        <sz val="8"/>
        <color theme="1"/>
        <rFont val="Futura Lt BT"/>
        <family val="2"/>
      </rPr>
      <t>c</t>
    </r>
    <r>
      <rPr>
        <sz val="11"/>
        <color theme="1"/>
        <rFont val="Calibri"/>
        <family val="2"/>
        <scheme val="minor"/>
      </rPr>
      <t>)b</t>
    </r>
    <r>
      <rPr>
        <vertAlign val="subscript"/>
        <sz val="8"/>
        <color theme="1"/>
        <rFont val="Futura Lt BT"/>
        <family val="2"/>
      </rPr>
      <t>o</t>
    </r>
    <r>
      <rPr>
        <sz val="11"/>
        <color theme="1"/>
        <rFont val="Calibri"/>
        <family val="2"/>
        <scheme val="minor"/>
      </rPr>
      <t>d</t>
    </r>
  </si>
  <si>
    <t>Flexure Reinforcment (X-direction)</t>
  </si>
  <si>
    <t>k/in</t>
  </si>
  <si>
    <t>sqrtf'c</t>
  </si>
  <si>
    <t xml:space="preserve">2 Way Factor = </t>
  </si>
  <si>
    <t xml:space="preserve">b = </t>
  </si>
  <si>
    <t>ФVs-x =</t>
  </si>
  <si>
    <t>ФVs-y =</t>
  </si>
  <si>
    <t>Bar Size =</t>
  </si>
  <si>
    <r>
      <t>ФV</t>
    </r>
    <r>
      <rPr>
        <vertAlign val="subscript"/>
        <sz val="8"/>
        <rFont val="Futura Lt BT"/>
        <family val="2"/>
      </rPr>
      <t>s-x</t>
    </r>
    <r>
      <rPr>
        <sz val="8"/>
        <rFont val="Futura Lt BT"/>
        <family val="2"/>
      </rPr>
      <t xml:space="preserve"> =</t>
    </r>
  </si>
  <si>
    <t>Bar Spacing - x =</t>
  </si>
  <si>
    <r>
      <t>ФV</t>
    </r>
    <r>
      <rPr>
        <vertAlign val="subscript"/>
        <sz val="8"/>
        <rFont val="Futura Lt BT"/>
        <family val="2"/>
      </rPr>
      <t>n-x</t>
    </r>
    <r>
      <rPr>
        <sz val="8"/>
        <rFont val="Futura Lt BT"/>
        <family val="2"/>
      </rPr>
      <t xml:space="preserve"> =</t>
    </r>
  </si>
  <si>
    <r>
      <t xml:space="preserve"> ФV</t>
    </r>
    <r>
      <rPr>
        <vertAlign val="subscript"/>
        <sz val="8"/>
        <color theme="1"/>
        <rFont val="Futura Lt BT"/>
        <family val="2"/>
      </rPr>
      <t>c-x</t>
    </r>
    <r>
      <rPr>
        <sz val="11"/>
        <color theme="1"/>
        <rFont val="Calibri"/>
        <family val="2"/>
        <scheme val="minor"/>
      </rPr>
      <t xml:space="preserve"> + ФV</t>
    </r>
    <r>
      <rPr>
        <vertAlign val="subscript"/>
        <sz val="8"/>
        <color theme="1"/>
        <rFont val="Futura Lt BT"/>
        <family val="2"/>
      </rPr>
      <t xml:space="preserve">s-x </t>
    </r>
  </si>
  <si>
    <r>
      <t>ФV</t>
    </r>
    <r>
      <rPr>
        <vertAlign val="subscript"/>
        <sz val="8"/>
        <rFont val="Futura Lt BT"/>
        <family val="2"/>
      </rPr>
      <t>n-y</t>
    </r>
    <r>
      <rPr>
        <sz val="8"/>
        <rFont val="Futura Lt BT"/>
        <family val="2"/>
      </rPr>
      <t xml:space="preserve"> =</t>
    </r>
  </si>
  <si>
    <t># Bars =</t>
  </si>
  <si>
    <t>Bar Spacing - y =</t>
  </si>
  <si>
    <r>
      <t>2+4/</t>
    </r>
    <r>
      <rPr>
        <sz val="8"/>
        <color theme="1"/>
        <rFont val="Symbol"/>
        <family val="1"/>
        <charset val="2"/>
      </rPr>
      <t>b</t>
    </r>
    <r>
      <rPr>
        <sz val="11"/>
        <color theme="1"/>
        <rFont val="Calibri"/>
        <family val="2"/>
        <scheme val="minor"/>
      </rPr>
      <t xml:space="preserve"> = </t>
    </r>
  </si>
  <si>
    <r>
      <t>f</t>
    </r>
    <r>
      <rPr>
        <vertAlign val="subscript"/>
        <sz val="8"/>
        <rFont val="Futura Lt BT"/>
        <family val="2"/>
      </rPr>
      <t>y</t>
    </r>
    <r>
      <rPr>
        <sz val="8"/>
        <rFont val="Futura Lt BT"/>
        <family val="2"/>
      </rPr>
      <t xml:space="preserve"> =</t>
    </r>
  </si>
  <si>
    <r>
      <t>V</t>
    </r>
    <r>
      <rPr>
        <vertAlign val="subscript"/>
        <sz val="8"/>
        <rFont val="Futura Lt BT"/>
        <family val="2"/>
      </rPr>
      <t>u-x</t>
    </r>
    <r>
      <rPr>
        <sz val="8"/>
        <rFont val="Futura Lt BT"/>
        <family val="2"/>
      </rPr>
      <t xml:space="preserve"> =</t>
    </r>
  </si>
  <si>
    <r>
      <t>ФV</t>
    </r>
    <r>
      <rPr>
        <vertAlign val="subscript"/>
        <sz val="8"/>
        <rFont val="Futura Lt BT"/>
        <family val="2"/>
      </rPr>
      <t>c</t>
    </r>
    <r>
      <rPr>
        <sz val="8"/>
        <rFont val="Futura Lt BT"/>
        <family val="2"/>
      </rPr>
      <t xml:space="preserve"> =</t>
    </r>
  </si>
  <si>
    <t>sqrt f'c</t>
  </si>
  <si>
    <r>
      <t>40d/b</t>
    </r>
    <r>
      <rPr>
        <vertAlign val="subscript"/>
        <sz val="10"/>
        <rFont val="Arial"/>
        <family val="2"/>
      </rPr>
      <t>o</t>
    </r>
    <r>
      <rPr>
        <sz val="8"/>
        <rFont val="Futura Lt BT"/>
        <family val="2"/>
      </rPr>
      <t xml:space="preserve">+2 = </t>
    </r>
  </si>
  <si>
    <t>Flexure Reinforcment (Y-direction)</t>
  </si>
  <si>
    <r>
      <t>ФV</t>
    </r>
    <r>
      <rPr>
        <vertAlign val="subscript"/>
        <sz val="8"/>
        <rFont val="Futura Lt BT"/>
        <family val="2"/>
      </rPr>
      <t>s</t>
    </r>
    <r>
      <rPr>
        <sz val="8"/>
        <rFont val="Futura Lt BT"/>
        <family val="2"/>
      </rPr>
      <t xml:space="preserve"> =</t>
    </r>
  </si>
  <si>
    <t>Y DIRECTION</t>
  </si>
  <si>
    <r>
      <t>ФV</t>
    </r>
    <r>
      <rPr>
        <vertAlign val="subscript"/>
        <sz val="8"/>
        <rFont val="Futura Lt BT"/>
        <family val="2"/>
      </rPr>
      <t>n</t>
    </r>
    <r>
      <rPr>
        <sz val="8"/>
        <rFont val="Futura Lt BT"/>
        <family val="2"/>
      </rPr>
      <t xml:space="preserve"> =</t>
    </r>
  </si>
  <si>
    <r>
      <t>8λ</t>
    </r>
    <r>
      <rPr>
        <vertAlign val="subscript"/>
        <sz val="8"/>
        <rFont val="Futura Lt BT"/>
        <family val="2"/>
      </rPr>
      <t>s</t>
    </r>
    <r>
      <rPr>
        <sz val="8"/>
        <rFont val="Futura Lt BT"/>
        <family val="2"/>
      </rPr>
      <t>(p</t>
    </r>
    <r>
      <rPr>
        <vertAlign val="subscript"/>
        <sz val="8"/>
        <rFont val="Futura Lt BT"/>
        <family val="2"/>
      </rPr>
      <t>w,y</t>
    </r>
    <r>
      <rPr>
        <sz val="8"/>
        <rFont val="Futura Lt BT"/>
        <family val="2"/>
      </rPr>
      <t>)</t>
    </r>
    <r>
      <rPr>
        <vertAlign val="superscript"/>
        <sz val="8"/>
        <rFont val="Futura Lt BT"/>
        <family val="2"/>
      </rPr>
      <t>1/3</t>
    </r>
    <r>
      <rPr>
        <sz val="8"/>
        <rFont val="Futura Lt BT"/>
        <family val="2"/>
      </rPr>
      <t xml:space="preserve"> = </t>
    </r>
  </si>
  <si>
    <r>
      <t>V</t>
    </r>
    <r>
      <rPr>
        <vertAlign val="subscript"/>
        <sz val="8"/>
        <rFont val="Futura Lt BT"/>
        <family val="2"/>
      </rPr>
      <t>u</t>
    </r>
    <r>
      <rPr>
        <sz val="8"/>
        <rFont val="Futura Lt BT"/>
        <family val="2"/>
      </rPr>
      <t xml:space="preserve"> =</t>
    </r>
  </si>
  <si>
    <t>Shear Reinforcement (optional)</t>
  </si>
  <si>
    <r>
      <t>ФV</t>
    </r>
    <r>
      <rPr>
        <vertAlign val="subscript"/>
        <sz val="8"/>
        <rFont val="Futura Lt BT"/>
        <family val="2"/>
      </rPr>
      <t>s-y</t>
    </r>
    <r>
      <rPr>
        <sz val="8"/>
        <rFont val="Futura Lt BT"/>
        <family val="2"/>
      </rPr>
      <t xml:space="preserve"> =</t>
    </r>
  </si>
  <si>
    <r>
      <t xml:space="preserve"> ФV</t>
    </r>
    <r>
      <rPr>
        <vertAlign val="subscript"/>
        <sz val="8"/>
        <color theme="1"/>
        <rFont val="Futura Lt BT"/>
        <family val="2"/>
      </rPr>
      <t>c</t>
    </r>
    <r>
      <rPr>
        <sz val="11"/>
        <color theme="1"/>
        <rFont val="Calibri"/>
        <family val="2"/>
        <scheme val="minor"/>
      </rPr>
      <t xml:space="preserve"> + ФV</t>
    </r>
    <r>
      <rPr>
        <vertAlign val="subscript"/>
        <sz val="8"/>
        <color theme="1"/>
        <rFont val="Futura Lt BT"/>
        <family val="2"/>
      </rPr>
      <t>s</t>
    </r>
  </si>
  <si>
    <r>
      <t>M</t>
    </r>
    <r>
      <rPr>
        <vertAlign val="subscript"/>
        <sz val="8"/>
        <rFont val="Futura Lt BT"/>
        <family val="2"/>
      </rPr>
      <t>u,x</t>
    </r>
    <r>
      <rPr>
        <sz val="8"/>
        <rFont val="Futura Lt BT"/>
        <family val="2"/>
      </rPr>
      <t xml:space="preserve"> =</t>
    </r>
  </si>
  <si>
    <t>k-in.</t>
  </si>
  <si>
    <r>
      <t>M</t>
    </r>
    <r>
      <rPr>
        <vertAlign val="subscript"/>
        <sz val="8"/>
        <rFont val="Futura Lt BT"/>
        <family val="2"/>
      </rPr>
      <t>u,y</t>
    </r>
    <r>
      <rPr>
        <sz val="8"/>
        <rFont val="Futura Lt BT"/>
        <family val="2"/>
      </rPr>
      <t xml:space="preserve"> =</t>
    </r>
  </si>
  <si>
    <r>
      <t>V</t>
    </r>
    <r>
      <rPr>
        <vertAlign val="subscript"/>
        <sz val="8"/>
        <rFont val="Futura Lt BT"/>
        <family val="2"/>
      </rPr>
      <t>u-y</t>
    </r>
    <r>
      <rPr>
        <sz val="8"/>
        <rFont val="Futura Lt BT"/>
        <family val="2"/>
      </rPr>
      <t xml:space="preserve"> =</t>
    </r>
  </si>
  <si>
    <r>
      <t>P</t>
    </r>
    <r>
      <rPr>
        <vertAlign val="subscript"/>
        <sz val="8"/>
        <color theme="1"/>
        <rFont val="Futura Lt BT"/>
        <family val="2"/>
      </rPr>
      <t>u</t>
    </r>
    <r>
      <rPr>
        <sz val="11"/>
        <color theme="1"/>
        <rFont val="Calibri"/>
        <family val="2"/>
        <scheme val="minor"/>
      </rPr>
      <t xml:space="preserve"> - q</t>
    </r>
    <r>
      <rPr>
        <vertAlign val="subscript"/>
        <sz val="8"/>
        <color theme="1"/>
        <rFont val="Futura Lt BT"/>
        <family val="2"/>
      </rPr>
      <t xml:space="preserve">u </t>
    </r>
    <r>
      <rPr>
        <sz val="11"/>
        <color theme="1"/>
        <rFont val="Calibri"/>
        <family val="2"/>
        <scheme val="minor"/>
      </rPr>
      <t>*  ( X</t>
    </r>
    <r>
      <rPr>
        <vertAlign val="subscript"/>
        <sz val="8"/>
        <color theme="1"/>
        <rFont val="Futura Lt BT"/>
        <family val="2"/>
      </rPr>
      <t>col</t>
    </r>
    <r>
      <rPr>
        <sz val="11"/>
        <color theme="1"/>
        <rFont val="Calibri"/>
        <family val="2"/>
        <scheme val="minor"/>
      </rPr>
      <t xml:space="preserve"> + d ) * ( Y</t>
    </r>
    <r>
      <rPr>
        <vertAlign val="subscript"/>
        <sz val="8"/>
        <color theme="1"/>
        <rFont val="Futura Lt BT"/>
        <family val="2"/>
      </rPr>
      <t>col</t>
    </r>
    <r>
      <rPr>
        <sz val="11"/>
        <color theme="1"/>
        <rFont val="Calibri"/>
        <family val="2"/>
        <scheme val="minor"/>
      </rPr>
      <t xml:space="preserve"> + d )</t>
    </r>
  </si>
  <si>
    <t>Spacing - x =</t>
  </si>
  <si>
    <t>Max DCR</t>
  </si>
  <si>
    <t>Spacing - y =</t>
  </si>
  <si>
    <t>Code Checks</t>
  </si>
  <si>
    <t>TOTAL DCR =</t>
  </si>
  <si>
    <r>
      <t>((X</t>
    </r>
    <r>
      <rPr>
        <vertAlign val="subscript"/>
        <sz val="8"/>
        <color theme="1"/>
        <rFont val="Futura Lt BT"/>
        <family val="2"/>
      </rPr>
      <t>ftg</t>
    </r>
    <r>
      <rPr>
        <sz val="11"/>
        <color theme="1"/>
        <rFont val="Calibri"/>
        <family val="2"/>
        <scheme val="minor"/>
      </rPr>
      <t xml:space="preserve"> - X</t>
    </r>
    <r>
      <rPr>
        <vertAlign val="subscript"/>
        <sz val="8"/>
        <color theme="1"/>
        <rFont val="Futura Lt BT"/>
        <family val="2"/>
      </rPr>
      <t>col</t>
    </r>
    <r>
      <rPr>
        <sz val="11"/>
        <color theme="1"/>
        <rFont val="Calibri"/>
        <family val="2"/>
        <scheme val="minor"/>
      </rPr>
      <t>)/2 - d) * q</t>
    </r>
    <r>
      <rPr>
        <vertAlign val="subscript"/>
        <sz val="8"/>
        <color theme="1"/>
        <rFont val="Futura Lt BT"/>
        <family val="2"/>
      </rPr>
      <t>u</t>
    </r>
  </si>
  <si>
    <r>
      <t>((Y</t>
    </r>
    <r>
      <rPr>
        <vertAlign val="subscript"/>
        <sz val="8"/>
        <color theme="1"/>
        <rFont val="Futura Lt BT"/>
        <family val="2"/>
      </rPr>
      <t>ftg</t>
    </r>
    <r>
      <rPr>
        <sz val="11"/>
        <color theme="1"/>
        <rFont val="Calibri"/>
        <family val="2"/>
        <scheme val="minor"/>
      </rPr>
      <t xml:space="preserve"> - Y</t>
    </r>
    <r>
      <rPr>
        <vertAlign val="subscript"/>
        <sz val="8"/>
        <color theme="1"/>
        <rFont val="Futura Lt BT"/>
        <family val="2"/>
      </rPr>
      <t>col</t>
    </r>
    <r>
      <rPr>
        <sz val="11"/>
        <color theme="1"/>
        <rFont val="Calibri"/>
        <family val="2"/>
        <scheme val="minor"/>
      </rPr>
      <t>)/2 - d) * q</t>
    </r>
    <r>
      <rPr>
        <vertAlign val="subscript"/>
        <sz val="8"/>
        <color theme="1"/>
        <rFont val="Futura Lt BT"/>
        <family val="2"/>
      </rPr>
      <t>u</t>
    </r>
  </si>
  <si>
    <t>SUMMARY DCR</t>
  </si>
  <si>
    <t>Total DCR one-way shear =</t>
  </si>
  <si>
    <t>DCR_bearing</t>
  </si>
  <si>
    <t>DCR_two-way shear</t>
  </si>
  <si>
    <t>DCR_one-way shear</t>
  </si>
  <si>
    <t>DCR_flexure</t>
  </si>
  <si>
    <t>Bar Size</t>
  </si>
  <si>
    <t>Dia (in)</t>
  </si>
  <si>
    <t>Area (in^2)</t>
  </si>
  <si>
    <t>Weight (lb/ft)</t>
  </si>
  <si>
    <t>YES</t>
  </si>
  <si>
    <t>Parameters</t>
  </si>
  <si>
    <t>Units</t>
  </si>
  <si>
    <t>Comment</t>
  </si>
  <si>
    <t>Values</t>
  </si>
  <si>
    <t>Bearing_DCR</t>
  </si>
  <si>
    <t>Flexure_X_DCR</t>
  </si>
  <si>
    <t>Flexure_Y_DCR</t>
  </si>
  <si>
    <t>OneWayShear_DCR</t>
  </si>
  <si>
    <t>TwoWayShear_DCR</t>
  </si>
  <si>
    <t>CodeCheck</t>
  </si>
  <si>
    <t>Include</t>
  </si>
  <si>
    <t>Spacing - y</t>
  </si>
  <si>
    <t>Spacing - x</t>
  </si>
  <si>
    <r>
      <t>f</t>
    </r>
    <r>
      <rPr>
        <vertAlign val="subscript"/>
        <sz val="8"/>
        <rFont val="Futura Lt BT"/>
        <family val="2"/>
      </rPr>
      <t>yt</t>
    </r>
  </si>
  <si>
    <t>h</t>
  </si>
  <si>
    <t>Cover</t>
  </si>
  <si>
    <r>
      <t>Y</t>
    </r>
    <r>
      <rPr>
        <vertAlign val="subscript"/>
        <sz val="8"/>
        <rFont val="Futura Lt BT"/>
        <family val="2"/>
      </rPr>
      <t>col</t>
    </r>
  </si>
  <si>
    <r>
      <t>X</t>
    </r>
    <r>
      <rPr>
        <vertAlign val="subscript"/>
        <sz val="8"/>
        <rFont val="Futura Lt BT"/>
        <family val="2"/>
      </rPr>
      <t>col</t>
    </r>
  </si>
  <si>
    <r>
      <t>Y</t>
    </r>
    <r>
      <rPr>
        <vertAlign val="subscript"/>
        <sz val="8"/>
        <rFont val="Futura Lt BT"/>
        <family val="2"/>
      </rPr>
      <t>ftg</t>
    </r>
  </si>
  <si>
    <r>
      <t>X</t>
    </r>
    <r>
      <rPr>
        <vertAlign val="subscript"/>
        <sz val="8"/>
        <rFont val="Futura Lt BT"/>
        <family val="2"/>
      </rPr>
      <t>ftg</t>
    </r>
  </si>
  <si>
    <t>Include Ftg SW</t>
  </si>
  <si>
    <r>
      <t>q</t>
    </r>
    <r>
      <rPr>
        <vertAlign val="subscript"/>
        <sz val="8"/>
        <rFont val="Futura Lt BT"/>
        <family val="2"/>
      </rPr>
      <t>allow</t>
    </r>
  </si>
  <si>
    <r>
      <t>w</t>
    </r>
    <r>
      <rPr>
        <vertAlign val="subscript"/>
        <sz val="8"/>
        <rFont val="Futura Lt BT"/>
        <family val="2"/>
      </rPr>
      <t>overburden</t>
    </r>
  </si>
  <si>
    <r>
      <t>P</t>
    </r>
    <r>
      <rPr>
        <vertAlign val="subscript"/>
        <sz val="8"/>
        <rFont val="Futura Lt BT"/>
        <family val="2"/>
      </rPr>
      <t>LL</t>
    </r>
  </si>
  <si>
    <r>
      <t>P</t>
    </r>
    <r>
      <rPr>
        <vertAlign val="subscript"/>
        <sz val="8"/>
        <rFont val="Futura Lt BT"/>
        <family val="2"/>
      </rPr>
      <t>DL</t>
    </r>
  </si>
  <si>
    <r>
      <t>f</t>
    </r>
    <r>
      <rPr>
        <vertAlign val="subscript"/>
        <sz val="8"/>
        <rFont val="Futura Lt BT"/>
        <family val="2"/>
      </rPr>
      <t>c</t>
    </r>
  </si>
  <si>
    <r>
      <t>f</t>
    </r>
    <r>
      <rPr>
        <vertAlign val="subscript"/>
        <sz val="8"/>
        <rFont val="Futura Lt BT"/>
        <family val="2"/>
      </rPr>
      <t>y</t>
    </r>
    <r>
      <rPr>
        <sz val="11"/>
        <color theme="1"/>
        <rFont val="Calibri"/>
        <family val="2"/>
        <scheme val="minor"/>
      </rPr>
      <t xml:space="preserve"> y</t>
    </r>
  </si>
  <si>
    <t># Bars y</t>
  </si>
  <si>
    <t>Bar Size y</t>
  </si>
  <si>
    <r>
      <t>f</t>
    </r>
    <r>
      <rPr>
        <vertAlign val="subscript"/>
        <sz val="8"/>
        <rFont val="Futura Lt BT"/>
        <family val="2"/>
      </rPr>
      <t>y</t>
    </r>
    <r>
      <rPr>
        <sz val="11"/>
        <color theme="1"/>
        <rFont val="Calibri"/>
        <family val="2"/>
        <scheme val="minor"/>
      </rPr>
      <t xml:space="preserve"> x</t>
    </r>
  </si>
  <si>
    <t># Bars x</t>
  </si>
  <si>
    <t>Bar Size x</t>
  </si>
  <si>
    <t>Bar Size shear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</si>
</sst>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42" x14ac:knownFonts="1">
    <font>
      <sz val="11"/>
      <color theme="1"/>
      <name val="Calibri"/>
      <family val="2"/>
      <scheme val="minor"/>
    </font>
    <font>
      <sz val="8"/>
      <color rgb="FF000000"/>
      <name val="Arial"/>
      <family val="2"/>
    </font>
    <font>
      <sz val="10"/>
      <color theme="1"/>
      <name val="Futura Md BT"/>
      <family val="2"/>
    </font>
    <font>
      <b/>
      <sz val="10"/>
      <color theme="1"/>
      <name val="Futura Md BT"/>
      <family val="2"/>
    </font>
    <font>
      <sz val="10"/>
      <name val="Arial"/>
      <family val="2"/>
    </font>
    <font>
      <b/>
      <sz val="9"/>
      <name val="Futura Lt BT"/>
      <family val="2"/>
    </font>
    <font>
      <b/>
      <u/>
      <sz val="9"/>
      <color theme="1"/>
      <name val="Futura Lt BT"/>
      <family val="2"/>
    </font>
    <font>
      <sz val="8"/>
      <name val="Futura Lt BT"/>
      <family val="2"/>
    </font>
    <font>
      <vertAlign val="subscript"/>
      <sz val="8"/>
      <name val="Futura Lt BT"/>
      <family val="2"/>
    </font>
    <font>
      <b/>
      <sz val="8"/>
      <name val="Futura Lt BT"/>
      <family val="2"/>
    </font>
    <font>
      <sz val="8"/>
      <color indexed="8"/>
      <name val="Futura Lt BT"/>
      <family val="2"/>
    </font>
    <font>
      <vertAlign val="subscript"/>
      <sz val="10"/>
      <name val="Futura Lt BT"/>
      <family val="2"/>
    </font>
    <font>
      <vertAlign val="subscript"/>
      <sz val="10"/>
      <name val="Arial"/>
      <family val="2"/>
    </font>
    <font>
      <b/>
      <sz val="10"/>
      <name val="Arial"/>
      <family val="2"/>
    </font>
    <font>
      <sz val="8"/>
      <name val="Arial"/>
      <family val="2"/>
    </font>
    <font>
      <vertAlign val="superscript"/>
      <sz val="8"/>
      <name val="Futura Lt BT"/>
      <family val="2"/>
    </font>
    <font>
      <b/>
      <sz val="8"/>
      <color theme="1"/>
      <name val="Futura Lt BT"/>
      <family val="2"/>
    </font>
    <font>
      <vertAlign val="subscript"/>
      <sz val="8"/>
      <color theme="1"/>
      <name val="Futura Lt BT"/>
      <family val="2"/>
    </font>
    <font>
      <vertAlign val="subscript"/>
      <sz val="8"/>
      <name val="Arial"/>
      <family val="2"/>
    </font>
    <font>
      <sz val="8"/>
      <name val="GreekC"/>
    </font>
    <font>
      <vertAlign val="superscript"/>
      <sz val="8"/>
      <name val="Arial"/>
      <family val="2"/>
    </font>
    <font>
      <sz val="8"/>
      <color theme="1"/>
      <name val="Futura Lt BT"/>
      <family val="2"/>
    </font>
    <font>
      <b/>
      <sz val="8"/>
      <color indexed="10"/>
      <name val="Arial"/>
      <family val="2"/>
    </font>
    <font>
      <sz val="10"/>
      <name val="GreekC"/>
    </font>
    <font>
      <vertAlign val="superscript"/>
      <sz val="10"/>
      <name val="Arial"/>
      <family val="2"/>
    </font>
    <font>
      <sz val="10"/>
      <name val="Symbol"/>
      <family val="1"/>
      <charset val="2"/>
    </font>
    <font>
      <sz val="8"/>
      <color theme="1"/>
      <name val="Symbol"/>
      <family val="1"/>
      <charset val="2"/>
    </font>
    <font>
      <sz val="8"/>
      <name val="Symbol"/>
      <family val="1"/>
      <charset val="2"/>
    </font>
    <font>
      <sz val="10"/>
      <name val="Walbaum Text"/>
      <family val="1"/>
    </font>
    <font>
      <b/>
      <sz val="9"/>
      <color theme="1"/>
      <name val="Futura Lt BT"/>
      <family val="2"/>
    </font>
    <font>
      <b/>
      <sz val="8"/>
      <color indexed="81"/>
      <name val="Tahoma"/>
      <family val="2"/>
    </font>
    <font>
      <sz val="8"/>
      <color indexed="81"/>
      <name val="Tahoma"/>
      <family val="2"/>
    </font>
    <font>
      <b/>
      <sz val="9"/>
      <color indexed="81"/>
      <name val="Tahoma"/>
      <family val="2"/>
    </font>
    <font>
      <sz val="9"/>
      <color indexed="81"/>
      <name val="Tahoma"/>
      <family val="2"/>
    </font>
    <font>
      <b/>
      <sz val="9"/>
      <color rgb="FF000000"/>
      <name val="Tahoma"/>
      <family val="2"/>
    </font>
    <font>
      <sz val="9"/>
      <color rgb="FF000000"/>
      <name val="Tahoma"/>
      <family val="2"/>
    </font>
    <font>
      <b/>
      <sz val="8"/>
      <color rgb="FF000000"/>
      <name val="Tahoma"/>
      <family val="2"/>
    </font>
    <font>
      <sz val="8"/>
      <color rgb="FF000000"/>
      <name val="Tahoma"/>
      <family val="2"/>
    </font>
    <font>
      <sz val="8"/>
      <color rgb="FF000000"/>
      <name val="Symbol"/>
      <family val="1"/>
      <charset val="2"/>
    </font>
    <font>
      <vertAlign val="subscript"/>
      <sz val="8"/>
      <color rgb="FF000000"/>
      <name val="Tahoma"/>
      <family val="2"/>
    </font>
    <font>
      <u/>
      <sz val="8"/>
      <color rgb="FF000000"/>
      <name val="Tahoma"/>
      <family val="2"/>
    </font>
    <font>
      <sz val="8"/>
      <color rgb="FF000000"/>
      <name val="Futura Lt BT"/>
      <family val="2"/>
    </font>
  </fonts>
  <fills count="8">
    <fill>
      <patternFill patternType="none"/>
    </fill>
    <fill>
      <patternFill patternType="gray125"/>
    </fill>
    <fill>
      <patternFill patternType="solid">
        <fgColor indexed="22"/>
        <bgColor indexed="64"/>
      </patternFill>
    </fill>
    <fill>
      <patternFill patternType="solid">
        <fgColor theme="1"/>
        <bgColor indexed="64"/>
      </patternFill>
    </fill>
    <fill>
      <patternFill patternType="solid">
        <fgColor rgb="FFFDE9D9"/>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0" fontId="2" fillId="0" borderId="0" applyBorder="0" applyProtection="0">
      <alignment horizontal="left" vertical="center"/>
    </xf>
    <xf numFmtId="0" fontId="4" fillId="0" borderId="0"/>
  </cellStyleXfs>
  <cellXfs count="96">
    <xf numFmtId="0" fontId="0" fillId="0" borderId="0" xfId="0"/>
    <xf numFmtId="0" fontId="3" fillId="0" borderId="0" xfId="1" applyFont="1">
      <alignment horizontal="left" vertical="center"/>
    </xf>
    <xf numFmtId="0" fontId="4" fillId="0" borderId="0" xfId="2"/>
    <xf numFmtId="0" fontId="4" fillId="0" borderId="0" xfId="2" applyAlignment="1">
      <alignment horizontal="right"/>
    </xf>
    <xf numFmtId="0" fontId="5" fillId="2" borderId="1" xfId="2" applyFont="1" applyFill="1" applyBorder="1" applyAlignment="1">
      <alignment vertical="center"/>
    </xf>
    <xf numFmtId="0" fontId="4" fillId="2" borderId="2" xfId="2" applyFill="1" applyBorder="1"/>
    <xf numFmtId="0" fontId="4" fillId="2" borderId="3" xfId="2" applyFill="1" applyBorder="1"/>
    <xf numFmtId="0" fontId="4" fillId="3" borderId="0" xfId="2" applyFill="1"/>
    <xf numFmtId="0" fontId="6" fillId="0" borderId="0" xfId="0" applyFont="1" applyAlignment="1">
      <alignment horizontal="left" vertical="center"/>
    </xf>
    <xf numFmtId="0" fontId="0" fillId="0" borderId="0" xfId="0" applyAlignment="1">
      <alignment vertical="center"/>
    </xf>
    <xf numFmtId="0" fontId="5" fillId="0" borderId="0" xfId="2" applyFont="1"/>
    <xf numFmtId="0" fontId="7" fillId="0" borderId="4" xfId="2" applyFont="1" applyBorder="1" applyAlignment="1">
      <alignment horizontal="right"/>
    </xf>
    <xf numFmtId="2" fontId="7" fillId="0" borderId="0" xfId="2" applyNumberFormat="1" applyFont="1"/>
    <xf numFmtId="0" fontId="7" fillId="0" borderId="0" xfId="2" applyFont="1"/>
    <xf numFmtId="0" fontId="7" fillId="0" borderId="5" xfId="2" applyFont="1" applyBorder="1"/>
    <xf numFmtId="0" fontId="0" fillId="0" borderId="0" xfId="0" applyAlignment="1">
      <alignment horizontal="right" vertical="center"/>
    </xf>
    <xf numFmtId="0" fontId="9" fillId="0" borderId="6" xfId="2" applyFont="1" applyBorder="1" applyAlignment="1">
      <alignment horizontal="right"/>
    </xf>
    <xf numFmtId="2" fontId="10" fillId="5" borderId="7" xfId="2" applyNumberFormat="1" applyFont="1" applyFill="1" applyBorder="1"/>
    <xf numFmtId="0" fontId="7" fillId="0" borderId="7" xfId="2" applyFont="1" applyBorder="1"/>
    <xf numFmtId="0" fontId="7" fillId="0" borderId="7" xfId="2" applyFont="1" applyBorder="1" applyAlignment="1">
      <alignment horizontal="center"/>
    </xf>
    <xf numFmtId="0" fontId="7" fillId="0" borderId="8" xfId="2" applyFont="1" applyBorder="1" applyAlignment="1">
      <alignment horizontal="left"/>
    </xf>
    <xf numFmtId="0" fontId="0" fillId="6" borderId="0" xfId="0" applyFill="1" applyAlignment="1">
      <alignment vertical="center"/>
    </xf>
    <xf numFmtId="164" fontId="0" fillId="6" borderId="0" xfId="0" applyNumberFormat="1" applyFill="1" applyAlignment="1">
      <alignment vertical="center"/>
    </xf>
    <xf numFmtId="0" fontId="13" fillId="0" borderId="0" xfId="2" applyFont="1"/>
    <xf numFmtId="165" fontId="10" fillId="7" borderId="0" xfId="2" applyNumberFormat="1" applyFont="1" applyFill="1"/>
    <xf numFmtId="0" fontId="14" fillId="0" borderId="0" xfId="2" applyFont="1" applyAlignment="1">
      <alignment horizontal="left" wrapText="1"/>
    </xf>
    <xf numFmtId="0" fontId="7" fillId="0" borderId="0" xfId="2" applyFont="1" applyAlignment="1">
      <alignment vertical="center"/>
    </xf>
    <xf numFmtId="0" fontId="7" fillId="4" borderId="0" xfId="2" applyFont="1" applyFill="1"/>
    <xf numFmtId="0" fontId="4" fillId="0" borderId="5" xfId="2" applyBorder="1"/>
    <xf numFmtId="166" fontId="7" fillId="0" borderId="0" xfId="2" applyNumberFormat="1" applyFont="1"/>
    <xf numFmtId="0" fontId="14" fillId="0" borderId="0" xfId="2" applyFont="1" applyAlignment="1">
      <alignment horizontal="left"/>
    </xf>
    <xf numFmtId="2" fontId="0" fillId="6" borderId="0" xfId="0" applyNumberFormat="1" applyFill="1" applyAlignment="1">
      <alignment vertical="center"/>
    </xf>
    <xf numFmtId="0" fontId="16" fillId="0" borderId="0" xfId="0" applyFont="1" applyAlignment="1">
      <alignment horizontal="left" vertical="center"/>
    </xf>
    <xf numFmtId="0" fontId="7" fillId="0" borderId="0" xfId="2" applyFont="1" applyAlignment="1">
      <alignment horizontal="left"/>
    </xf>
    <xf numFmtId="0" fontId="7" fillId="0" borderId="5" xfId="2" applyFont="1" applyBorder="1" applyAlignment="1">
      <alignment horizontal="left"/>
    </xf>
    <xf numFmtId="166" fontId="0" fillId="6" borderId="0" xfId="0" applyNumberFormat="1" applyFill="1" applyAlignment="1">
      <alignment vertical="center"/>
    </xf>
    <xf numFmtId="0" fontId="7" fillId="0" borderId="6" xfId="2" applyFont="1" applyBorder="1" applyAlignment="1">
      <alignment horizontal="right"/>
    </xf>
    <xf numFmtId="0" fontId="7" fillId="4" borderId="7" xfId="2" applyFont="1" applyFill="1" applyBorder="1"/>
    <xf numFmtId="0" fontId="4" fillId="0" borderId="8" xfId="2" applyBorder="1"/>
    <xf numFmtId="0" fontId="7" fillId="0" borderId="5" xfId="2" applyFont="1" applyBorder="1" applyAlignment="1">
      <alignment horizontal="left" wrapText="1"/>
    </xf>
    <xf numFmtId="1" fontId="7" fillId="0" borderId="0" xfId="2" applyNumberFormat="1" applyFont="1"/>
    <xf numFmtId="0" fontId="21" fillId="4" borderId="0" xfId="0" applyFont="1" applyFill="1"/>
    <xf numFmtId="0" fontId="7" fillId="4" borderId="0" xfId="2" applyFont="1" applyFill="1" applyAlignment="1">
      <alignment horizontal="right"/>
    </xf>
    <xf numFmtId="0" fontId="9" fillId="0" borderId="4" xfId="2" applyFont="1" applyBorder="1" applyAlignment="1">
      <alignment horizontal="right"/>
    </xf>
    <xf numFmtId="1" fontId="7" fillId="5" borderId="0" xfId="2" applyNumberFormat="1" applyFont="1" applyFill="1"/>
    <xf numFmtId="0" fontId="7" fillId="0" borderId="0" xfId="2" applyFont="1" applyAlignment="1">
      <alignment horizontal="center"/>
    </xf>
    <xf numFmtId="0" fontId="7" fillId="0" borderId="0" xfId="0" applyFont="1" applyAlignment="1">
      <alignment horizontal="right" vertical="center"/>
    </xf>
    <xf numFmtId="0" fontId="5" fillId="0" borderId="4" xfId="2" applyFont="1" applyBorder="1"/>
    <xf numFmtId="0" fontId="4" fillId="0" borderId="0" xfId="2" applyAlignment="1">
      <alignment horizontal="center"/>
    </xf>
    <xf numFmtId="0" fontId="7" fillId="0" borderId="4" xfId="2" applyFont="1" applyBorder="1"/>
    <xf numFmtId="0" fontId="9" fillId="0" borderId="0" xfId="2" applyFont="1" applyAlignment="1">
      <alignment horizontal="left"/>
    </xf>
    <xf numFmtId="0" fontId="7" fillId="0" borderId="0" xfId="2" applyFont="1" applyAlignment="1">
      <alignment horizontal="right"/>
    </xf>
    <xf numFmtId="0" fontId="22" fillId="0" borderId="0" xfId="2" applyFont="1"/>
    <xf numFmtId="0" fontId="7" fillId="0" borderId="6" xfId="2" applyFont="1" applyBorder="1"/>
    <xf numFmtId="0" fontId="7" fillId="0" borderId="8" xfId="2" applyFont="1" applyBorder="1"/>
    <xf numFmtId="165" fontId="7" fillId="0" borderId="7" xfId="2" applyNumberFormat="1" applyFont="1" applyBorder="1"/>
    <xf numFmtId="0" fontId="0" fillId="0" borderId="0" xfId="0" applyAlignment="1">
      <alignment horizontal="left" vertical="center"/>
    </xf>
    <xf numFmtId="1" fontId="0" fillId="6" borderId="0" xfId="0" applyNumberFormat="1" applyFill="1" applyAlignment="1">
      <alignment vertical="center"/>
    </xf>
    <xf numFmtId="166" fontId="4" fillId="2" borderId="2" xfId="2" applyNumberFormat="1" applyFill="1" applyBorder="1"/>
    <xf numFmtId="0" fontId="4" fillId="2" borderId="9" xfId="2" applyFill="1" applyBorder="1"/>
    <xf numFmtId="0" fontId="4" fillId="2" borderId="10" xfId="2" applyFill="1" applyBorder="1"/>
    <xf numFmtId="0" fontId="7" fillId="0" borderId="11" xfId="2" applyFont="1" applyBorder="1" applyAlignment="1">
      <alignment horizontal="right"/>
    </xf>
    <xf numFmtId="1" fontId="7" fillId="0" borderId="9" xfId="2" applyNumberFormat="1" applyFont="1" applyBorder="1"/>
    <xf numFmtId="0" fontId="7" fillId="0" borderId="9" xfId="2" applyFont="1" applyBorder="1"/>
    <xf numFmtId="0" fontId="7" fillId="0" borderId="10" xfId="2" applyFont="1" applyBorder="1"/>
    <xf numFmtId="2" fontId="7" fillId="0" borderId="7" xfId="2" applyNumberFormat="1" applyFont="1" applyBorder="1"/>
    <xf numFmtId="0" fontId="4" fillId="0" borderId="7" xfId="2" applyBorder="1"/>
    <xf numFmtId="0" fontId="7" fillId="0" borderId="5" xfId="2" applyFont="1" applyBorder="1" applyAlignment="1">
      <alignment wrapText="1"/>
    </xf>
    <xf numFmtId="0" fontId="27" fillId="0" borderId="0" xfId="0" applyFont="1" applyAlignment="1">
      <alignment horizontal="right" vertical="center"/>
    </xf>
    <xf numFmtId="0" fontId="7" fillId="0" borderId="5" xfId="2" applyFont="1" applyBorder="1" applyAlignment="1">
      <alignment horizontal="center" wrapText="1"/>
    </xf>
    <xf numFmtId="166" fontId="0" fillId="0" borderId="0" xfId="0" applyNumberFormat="1" applyAlignment="1">
      <alignment vertical="center"/>
    </xf>
    <xf numFmtId="166" fontId="7" fillId="0" borderId="0" xfId="2" applyNumberFormat="1" applyFont="1" applyAlignment="1">
      <alignment horizontal="right" wrapText="1"/>
    </xf>
    <xf numFmtId="166" fontId="4" fillId="0" borderId="0" xfId="2" applyNumberFormat="1"/>
    <xf numFmtId="0" fontId="28" fillId="0" borderId="0" xfId="2" applyFont="1"/>
    <xf numFmtId="166" fontId="7" fillId="0" borderId="0" xfId="2" applyNumberFormat="1" applyFont="1" applyAlignment="1">
      <alignment horizontal="right"/>
    </xf>
    <xf numFmtId="0" fontId="7" fillId="0" borderId="0" xfId="2" applyFont="1" applyAlignment="1">
      <alignment horizontal="center" wrapText="1"/>
    </xf>
    <xf numFmtId="1" fontId="7" fillId="5" borderId="7" xfId="2" applyNumberFormat="1" applyFont="1" applyFill="1" applyBorder="1"/>
    <xf numFmtId="2" fontId="7" fillId="0" borderId="7" xfId="2" applyNumberFormat="1" applyFont="1" applyBorder="1" applyAlignment="1">
      <alignment horizontal="center"/>
    </xf>
    <xf numFmtId="0" fontId="7" fillId="0" borderId="8" xfId="2" applyFont="1" applyBorder="1" applyAlignment="1">
      <alignment horizontal="center" wrapText="1"/>
    </xf>
    <xf numFmtId="0" fontId="13" fillId="0" borderId="11" xfId="2" applyFont="1" applyBorder="1"/>
    <xf numFmtId="1" fontId="7" fillId="5" borderId="9" xfId="2" applyNumberFormat="1" applyFont="1" applyFill="1" applyBorder="1"/>
    <xf numFmtId="0" fontId="4" fillId="0" borderId="9" xfId="2" applyBorder="1"/>
    <xf numFmtId="0" fontId="4" fillId="0" borderId="10" xfId="2" applyBorder="1"/>
    <xf numFmtId="0" fontId="13" fillId="0" borderId="6" xfId="2" applyFont="1" applyBorder="1"/>
    <xf numFmtId="1" fontId="7" fillId="5" borderId="7" xfId="2" applyNumberFormat="1" applyFont="1" applyFill="1" applyBorder="1" applyAlignment="1">
      <alignment horizontal="right"/>
    </xf>
    <xf numFmtId="0" fontId="29" fillId="0" borderId="0" xfId="0" applyFont="1" applyAlignment="1">
      <alignment vertical="center"/>
    </xf>
    <xf numFmtId="0" fontId="16" fillId="0" borderId="0" xfId="0" applyFont="1" applyAlignment="1">
      <alignment vertical="center"/>
    </xf>
    <xf numFmtId="0" fontId="0" fillId="0" borderId="0" xfId="0"/>
    <xf numFmtId="2" fontId="0" fillId="0" borderId="0" xfId="0" applyNumberFormat="1"/>
    <xf numFmtId="1" fontId="0" fillId="0" borderId="0" xfId="0" applyNumberFormat="1"/>
    <xf numFmtId="0" fontId="5" fillId="0" borderId="0" xfId="2" applyFont="1" applyAlignment="1">
      <alignment horizontal="left"/>
    </xf>
    <xf numFmtId="0" fontId="7" fillId="0" borderId="0" xfId="2" applyFont="1"/>
    <xf numFmtId="0" fontId="0" fillId="0" borderId="0" xfId="0"/>
    <xf numFmtId="0" fontId="7" fillId="0" borderId="0" xfId="2" applyFont="1" applyAlignment="1">
      <alignment horizontal="left"/>
    </xf>
    <xf numFmtId="0" fontId="7" fillId="4" borderId="0" xfId="2" applyFont="1" applyFill="1"/>
    <xf numFmtId="14" fontId="7" fillId="0" borderId="0" xfId="2" applyNumberFormat="1" applyFont="1" applyAlignment="1">
      <alignment horizontal="left"/>
    </xf>
  </cellXfs>
  <cellStyles count="3">
    <cellStyle name="G1_Header Text" xfId="1" xr:uid="{88E1B9EA-74D0-4480-8DC4-14DB4E0B7300}"/>
    <cellStyle name="Normal" xfId="0" builtinId="0"/>
    <cellStyle name="Normal 2" xfId="2" xr:uid="{6C5F4965-D821-456F-A65E-9FADE655402F}"/>
  </cellStyles>
  <dxfs count="23">
    <dxf>
      <font>
        <b/>
        <i val="0"/>
        <color rgb="FFFF0000"/>
      </font>
    </dxf>
    <dxf>
      <font>
        <b/>
        <i val="0"/>
        <color rgb="FFFF0000"/>
      </font>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ont>
        <color rgb="FFFF0000"/>
      </font>
    </dxf>
    <dxf>
      <font>
        <b/>
        <i val="0"/>
        <condense val="0"/>
        <extend val="0"/>
        <color indexed="10"/>
      </font>
    </dxf>
    <dxf>
      <font>
        <b val="0"/>
        <i val="0"/>
        <condense val="0"/>
        <extend val="0"/>
        <color indexed="8"/>
      </font>
    </dxf>
    <dxf>
      <font>
        <color rgb="FF00B050"/>
      </font>
    </dxf>
    <dxf>
      <numFmt numFmtId="2" formatCode="0.00"/>
      <fill>
        <patternFill>
          <bgColor theme="5" tint="0.39994506668294322"/>
        </patternFill>
      </fill>
    </dxf>
    <dxf>
      <numFmt numFmtId="2" formatCode="0.00"/>
      <fill>
        <patternFill>
          <bgColor theme="6" tint="0.39994506668294322"/>
        </patternFill>
      </fill>
    </dxf>
    <dxf>
      <font>
        <color auto="1"/>
      </font>
      <numFmt numFmtId="2" formatCode="0.00"/>
      <fill>
        <patternFill>
          <bgColor theme="5" tint="0.79998168889431442"/>
        </patternFill>
      </fill>
    </dxf>
    <dxf>
      <numFmt numFmtId="2" formatCode="0.00"/>
      <fill>
        <patternFill>
          <bgColor theme="6" tint="0.39994506668294322"/>
        </patternFill>
      </fill>
    </dxf>
    <dxf>
      <font>
        <color auto="1"/>
      </font>
      <numFmt numFmtId="2" formatCode="0.00"/>
      <fill>
        <patternFill>
          <bgColor theme="5" tint="0.79998168889431442"/>
        </patternFill>
      </fill>
    </dxf>
    <dxf>
      <numFmt numFmtId="2" formatCode="0.00"/>
      <fill>
        <patternFill>
          <bgColor theme="6" tint="0.39994506668294322"/>
        </patternFill>
      </fill>
    </dxf>
    <dxf>
      <font>
        <b/>
        <i val="0"/>
        <condense val="0"/>
        <extend val="0"/>
        <color indexed="10"/>
      </font>
    </dxf>
    <dxf>
      <font>
        <color auto="1"/>
      </font>
      <numFmt numFmtId="2" formatCode="0.00"/>
      <fill>
        <patternFill>
          <bgColor theme="5" tint="0.79998168889431442"/>
        </patternFill>
      </fill>
    </dxf>
    <dxf>
      <numFmt numFmtId="2" formatCode="0.00"/>
      <fill>
        <patternFill>
          <bgColor theme="6" tint="0.39994506668294322"/>
        </patternFill>
      </fill>
    </dxf>
    <dxf>
      <font>
        <b/>
        <i val="0"/>
        <condense val="0"/>
        <extend val="0"/>
        <color indexed="10"/>
      </font>
    </dxf>
    <dxf>
      <font>
        <b/>
        <i val="0"/>
        <condense val="0"/>
        <extend val="0"/>
        <color indexed="10"/>
      </font>
    </dxf>
    <dxf>
      <fill>
        <patternFill>
          <bgColor indexed="10"/>
        </patternFill>
      </fill>
    </dxf>
    <dxf>
      <font>
        <condense val="0"/>
        <extend val="0"/>
        <color auto="1"/>
      </font>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209550</xdr:colOff>
      <xdr:row>5</xdr:row>
      <xdr:rowOff>152400</xdr:rowOff>
    </xdr:from>
    <xdr:to>
      <xdr:col>10</xdr:col>
      <xdr:colOff>53340</xdr:colOff>
      <xdr:row>16</xdr:row>
      <xdr:rowOff>55245</xdr:rowOff>
    </xdr:to>
    <xdr:grpSp>
      <xdr:nvGrpSpPr>
        <xdr:cNvPr id="2" name="Group 183">
          <a:extLst>
            <a:ext uri="{FF2B5EF4-FFF2-40B4-BE49-F238E27FC236}">
              <a16:creationId xmlns:a16="http://schemas.microsoft.com/office/drawing/2014/main" id="{00000000-0008-0000-0100-000002000000}"/>
            </a:ext>
          </a:extLst>
        </xdr:cNvPr>
        <xdr:cNvGrpSpPr>
          <a:grpSpLocks/>
        </xdr:cNvGrpSpPr>
      </xdr:nvGrpSpPr>
      <xdr:grpSpPr bwMode="auto">
        <a:xfrm>
          <a:off x="2644140" y="1143000"/>
          <a:ext cx="3509010" cy="2002155"/>
          <a:chOff x="259" y="114"/>
          <a:chExt cx="368" cy="216"/>
        </a:xfrm>
      </xdr:grpSpPr>
      <xdr:sp macro="" textlink="">
        <xdr:nvSpPr>
          <xdr:cNvPr id="3" name="Rectangle 1">
            <a:extLst>
              <a:ext uri="{FF2B5EF4-FFF2-40B4-BE49-F238E27FC236}">
                <a16:creationId xmlns:a16="http://schemas.microsoft.com/office/drawing/2014/main" id="{00000000-0008-0000-0100-000003000000}"/>
              </a:ext>
            </a:extLst>
          </xdr:cNvPr>
          <xdr:cNvSpPr>
            <a:spLocks noChangeArrowheads="1"/>
          </xdr:cNvSpPr>
        </xdr:nvSpPr>
        <xdr:spPr bwMode="auto">
          <a:xfrm>
            <a:off x="344" y="150"/>
            <a:ext cx="185" cy="13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4" name="Line 5">
            <a:extLst>
              <a:ext uri="{FF2B5EF4-FFF2-40B4-BE49-F238E27FC236}">
                <a16:creationId xmlns:a16="http://schemas.microsoft.com/office/drawing/2014/main" id="{00000000-0008-0000-0100-000004000000}"/>
              </a:ext>
            </a:extLst>
          </xdr:cNvPr>
          <xdr:cNvSpPr>
            <a:spLocks noChangeShapeType="1"/>
          </xdr:cNvSpPr>
        </xdr:nvSpPr>
        <xdr:spPr bwMode="auto">
          <a:xfrm>
            <a:off x="344" y="288"/>
            <a:ext cx="0" cy="12"/>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 name="Line 7">
            <a:extLst>
              <a:ext uri="{FF2B5EF4-FFF2-40B4-BE49-F238E27FC236}">
                <a16:creationId xmlns:a16="http://schemas.microsoft.com/office/drawing/2014/main" id="{00000000-0008-0000-0100-000005000000}"/>
              </a:ext>
            </a:extLst>
          </xdr:cNvPr>
          <xdr:cNvSpPr>
            <a:spLocks noChangeShapeType="1"/>
          </xdr:cNvSpPr>
        </xdr:nvSpPr>
        <xdr:spPr bwMode="auto">
          <a:xfrm>
            <a:off x="529" y="288"/>
            <a:ext cx="0" cy="12"/>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 name="Rectangle 8">
            <a:extLst>
              <a:ext uri="{FF2B5EF4-FFF2-40B4-BE49-F238E27FC236}">
                <a16:creationId xmlns:a16="http://schemas.microsoft.com/office/drawing/2014/main" id="{00000000-0008-0000-0100-000006000000}"/>
              </a:ext>
            </a:extLst>
          </xdr:cNvPr>
          <xdr:cNvSpPr>
            <a:spLocks noChangeArrowheads="1"/>
          </xdr:cNvSpPr>
        </xdr:nvSpPr>
        <xdr:spPr bwMode="auto">
          <a:xfrm>
            <a:off x="415" y="199"/>
            <a:ext cx="43" cy="37"/>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a:lstStyle/>
          <a:p>
            <a:endParaRPr lang="en-US"/>
          </a:p>
        </xdr:txBody>
      </xdr:sp>
      <xdr:sp macro="" textlink="">
        <xdr:nvSpPr>
          <xdr:cNvPr id="7" name="Line 17">
            <a:extLst>
              <a:ext uri="{FF2B5EF4-FFF2-40B4-BE49-F238E27FC236}">
                <a16:creationId xmlns:a16="http://schemas.microsoft.com/office/drawing/2014/main" id="{00000000-0008-0000-0100-000007000000}"/>
              </a:ext>
            </a:extLst>
          </xdr:cNvPr>
          <xdr:cNvSpPr>
            <a:spLocks noChangeShapeType="1"/>
          </xdr:cNvSpPr>
        </xdr:nvSpPr>
        <xdr:spPr bwMode="auto">
          <a:xfrm>
            <a:off x="459" y="151"/>
            <a:ext cx="0" cy="134"/>
          </a:xfrm>
          <a:prstGeom prst="line">
            <a:avLst/>
          </a:prstGeom>
          <a:noFill/>
          <a:ln w="19050" cap="rnd">
            <a:solidFill>
              <a:srgbClr xmlns:mc="http://schemas.openxmlformats.org/markup-compatibility/2006" xmlns:a14="http://schemas.microsoft.com/office/drawing/2010/main" val="FF0000" mc:Ignorable="a14" a14:legacySpreadsheetColorIndex="10"/>
            </a:solidFill>
            <a:prstDash val="sysDot"/>
            <a:round/>
            <a:headEnd/>
            <a:tailEnd/>
          </a:ln>
          <a:extLst>
            <a:ext uri="{909E8E84-426E-40DD-AFC4-6F175D3DCCD1}">
              <a14:hiddenFill xmlns:a14="http://schemas.microsoft.com/office/drawing/2010/main">
                <a:noFill/>
              </a14:hiddenFill>
            </a:ext>
          </a:extLst>
        </xdr:spPr>
      </xdr:sp>
      <xdr:sp macro="" textlink="">
        <xdr:nvSpPr>
          <xdr:cNvPr id="8" name="Line 18">
            <a:extLst>
              <a:ext uri="{FF2B5EF4-FFF2-40B4-BE49-F238E27FC236}">
                <a16:creationId xmlns:a16="http://schemas.microsoft.com/office/drawing/2014/main" id="{00000000-0008-0000-0100-000008000000}"/>
              </a:ext>
            </a:extLst>
          </xdr:cNvPr>
          <xdr:cNvSpPr>
            <a:spLocks noChangeShapeType="1"/>
          </xdr:cNvSpPr>
        </xdr:nvSpPr>
        <xdr:spPr bwMode="auto">
          <a:xfrm>
            <a:off x="486" y="150"/>
            <a:ext cx="0" cy="134"/>
          </a:xfrm>
          <a:prstGeom prst="line">
            <a:avLst/>
          </a:prstGeom>
          <a:noFill/>
          <a:ln w="19050">
            <a:solidFill>
              <a:srgbClr xmlns:mc="http://schemas.openxmlformats.org/markup-compatibility/2006" xmlns:a14="http://schemas.microsoft.com/office/drawing/2010/main" val="00FF00" mc:Ignorable="a14" a14:legacySpreadsheetColorIndex="11"/>
            </a:solidFill>
            <a:prstDash val="sysDot"/>
            <a:round/>
            <a:headEnd/>
            <a:tailEnd/>
          </a:ln>
          <a:extLst>
            <a:ext uri="{909E8E84-426E-40DD-AFC4-6F175D3DCCD1}">
              <a14:hiddenFill xmlns:a14="http://schemas.microsoft.com/office/drawing/2010/main">
                <a:noFill/>
              </a14:hiddenFill>
            </a:ext>
          </a:extLst>
        </xdr:spPr>
      </xdr:sp>
      <xdr:sp macro="" textlink="">
        <xdr:nvSpPr>
          <xdr:cNvPr id="9" name="Line 19">
            <a:extLst>
              <a:ext uri="{FF2B5EF4-FFF2-40B4-BE49-F238E27FC236}">
                <a16:creationId xmlns:a16="http://schemas.microsoft.com/office/drawing/2014/main" id="{00000000-0008-0000-0100-000009000000}"/>
              </a:ext>
            </a:extLst>
          </xdr:cNvPr>
          <xdr:cNvSpPr>
            <a:spLocks noChangeShapeType="1"/>
          </xdr:cNvSpPr>
        </xdr:nvSpPr>
        <xdr:spPr bwMode="auto">
          <a:xfrm flipV="1">
            <a:off x="474" y="171"/>
            <a:ext cx="69" cy="37"/>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sp macro="" textlink="">
        <xdr:nvSpPr>
          <xdr:cNvPr id="10" name="Text Box 20">
            <a:extLst>
              <a:ext uri="{FF2B5EF4-FFF2-40B4-BE49-F238E27FC236}">
                <a16:creationId xmlns:a16="http://schemas.microsoft.com/office/drawing/2014/main" id="{00000000-0008-0000-0100-00000A000000}"/>
              </a:ext>
            </a:extLst>
          </xdr:cNvPr>
          <xdr:cNvSpPr txBox="1">
            <a:spLocks noChangeArrowheads="1"/>
          </xdr:cNvSpPr>
        </xdr:nvSpPr>
        <xdr:spPr bwMode="auto">
          <a:xfrm>
            <a:off x="544" y="163"/>
            <a:ext cx="83" cy="3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Critical Section -</a:t>
            </a:r>
          </a:p>
          <a:p>
            <a:pPr algn="l" rtl="0">
              <a:defRPr sz="1000"/>
            </a:pPr>
            <a:r>
              <a:rPr lang="en-US" sz="800" b="0" i="0" u="none" strike="noStrike" baseline="0">
                <a:solidFill>
                  <a:srgbClr val="000000"/>
                </a:solidFill>
                <a:latin typeface="Arial"/>
                <a:cs typeface="Arial"/>
              </a:rPr>
              <a:t>Two-Way Shear</a:t>
            </a:r>
          </a:p>
        </xdr:txBody>
      </xdr:sp>
      <xdr:sp macro="" textlink="">
        <xdr:nvSpPr>
          <xdr:cNvPr id="11" name="Line 21">
            <a:extLst>
              <a:ext uri="{FF2B5EF4-FFF2-40B4-BE49-F238E27FC236}">
                <a16:creationId xmlns:a16="http://schemas.microsoft.com/office/drawing/2014/main" id="{00000000-0008-0000-0100-00000B000000}"/>
              </a:ext>
            </a:extLst>
          </xdr:cNvPr>
          <xdr:cNvSpPr>
            <a:spLocks noChangeShapeType="1"/>
          </xdr:cNvSpPr>
        </xdr:nvSpPr>
        <xdr:spPr bwMode="auto">
          <a:xfrm>
            <a:off x="486" y="274"/>
            <a:ext cx="56" cy="8"/>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sp macro="" textlink="">
        <xdr:nvSpPr>
          <xdr:cNvPr id="12" name="Line 23">
            <a:extLst>
              <a:ext uri="{FF2B5EF4-FFF2-40B4-BE49-F238E27FC236}">
                <a16:creationId xmlns:a16="http://schemas.microsoft.com/office/drawing/2014/main" id="{00000000-0008-0000-0100-00000C000000}"/>
              </a:ext>
            </a:extLst>
          </xdr:cNvPr>
          <xdr:cNvSpPr>
            <a:spLocks noChangeShapeType="1"/>
          </xdr:cNvSpPr>
        </xdr:nvSpPr>
        <xdr:spPr bwMode="auto">
          <a:xfrm flipV="1">
            <a:off x="415" y="239"/>
            <a:ext cx="0" cy="3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3" name="Text Box 44">
            <a:extLst>
              <a:ext uri="{FF2B5EF4-FFF2-40B4-BE49-F238E27FC236}">
                <a16:creationId xmlns:a16="http://schemas.microsoft.com/office/drawing/2014/main" id="{00000000-0008-0000-0100-00000D000000}"/>
              </a:ext>
            </a:extLst>
          </xdr:cNvPr>
          <xdr:cNvSpPr txBox="1">
            <a:spLocks noChangeArrowheads="1"/>
          </xdr:cNvSpPr>
        </xdr:nvSpPr>
        <xdr:spPr bwMode="auto">
          <a:xfrm>
            <a:off x="259" y="114"/>
            <a:ext cx="83" cy="3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Critical Section - </a:t>
            </a:r>
          </a:p>
          <a:p>
            <a:pPr algn="l" rtl="0">
              <a:defRPr sz="1000"/>
            </a:pPr>
            <a:r>
              <a:rPr lang="en-US" sz="800" b="0" i="0" u="none" strike="noStrike" baseline="0">
                <a:solidFill>
                  <a:srgbClr val="000000"/>
                </a:solidFill>
                <a:latin typeface="Arial"/>
                <a:cs typeface="Arial"/>
              </a:rPr>
              <a:t>Flexure</a:t>
            </a:r>
          </a:p>
        </xdr:txBody>
      </xdr:sp>
      <xdr:sp macro="" textlink="">
        <xdr:nvSpPr>
          <xdr:cNvPr id="14" name="Line 45">
            <a:extLst>
              <a:ext uri="{FF2B5EF4-FFF2-40B4-BE49-F238E27FC236}">
                <a16:creationId xmlns:a16="http://schemas.microsoft.com/office/drawing/2014/main" id="{00000000-0008-0000-0100-00000E000000}"/>
              </a:ext>
            </a:extLst>
          </xdr:cNvPr>
          <xdr:cNvSpPr>
            <a:spLocks noChangeShapeType="1"/>
          </xdr:cNvSpPr>
        </xdr:nvSpPr>
        <xdr:spPr bwMode="auto">
          <a:xfrm>
            <a:off x="343" y="123"/>
            <a:ext cx="22" cy="11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15" name="Line 46">
            <a:extLst>
              <a:ext uri="{FF2B5EF4-FFF2-40B4-BE49-F238E27FC236}">
                <a16:creationId xmlns:a16="http://schemas.microsoft.com/office/drawing/2014/main" id="{00000000-0008-0000-0100-00000F000000}"/>
              </a:ext>
            </a:extLst>
          </xdr:cNvPr>
          <xdr:cNvSpPr>
            <a:spLocks noChangeShapeType="1"/>
          </xdr:cNvSpPr>
        </xdr:nvSpPr>
        <xdr:spPr bwMode="auto">
          <a:xfrm flipH="1">
            <a:off x="328" y="150"/>
            <a:ext cx="13"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6" name="Line 48">
            <a:extLst>
              <a:ext uri="{FF2B5EF4-FFF2-40B4-BE49-F238E27FC236}">
                <a16:creationId xmlns:a16="http://schemas.microsoft.com/office/drawing/2014/main" id="{00000000-0008-0000-0100-000010000000}"/>
              </a:ext>
            </a:extLst>
          </xdr:cNvPr>
          <xdr:cNvSpPr>
            <a:spLocks noChangeShapeType="1"/>
          </xdr:cNvSpPr>
        </xdr:nvSpPr>
        <xdr:spPr bwMode="auto">
          <a:xfrm flipH="1">
            <a:off x="329" y="284"/>
            <a:ext cx="12"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7" name="Line 49">
            <a:extLst>
              <a:ext uri="{FF2B5EF4-FFF2-40B4-BE49-F238E27FC236}">
                <a16:creationId xmlns:a16="http://schemas.microsoft.com/office/drawing/2014/main" id="{00000000-0008-0000-0100-000011000000}"/>
              </a:ext>
            </a:extLst>
          </xdr:cNvPr>
          <xdr:cNvSpPr>
            <a:spLocks noChangeShapeType="1"/>
          </xdr:cNvSpPr>
        </xdr:nvSpPr>
        <xdr:spPr bwMode="auto">
          <a:xfrm>
            <a:off x="335" y="149"/>
            <a:ext cx="0" cy="136"/>
          </a:xfrm>
          <a:prstGeom prst="line">
            <a:avLst/>
          </a:prstGeom>
          <a:noFill/>
          <a:ln w="3175">
            <a:solidFill>
              <a:srgbClr xmlns:mc="http://schemas.openxmlformats.org/markup-compatibility/2006" xmlns:a14="http://schemas.microsoft.com/office/drawing/2010/main" val="000000" mc:Ignorable="a14" a14:legacySpreadsheetColorIndex="64"/>
            </a:solidFill>
            <a:round/>
            <a:headEnd type="arrow" w="med" len="med"/>
            <a:tailEnd type="arrow" w="med" len="med"/>
          </a:ln>
          <a:extLst>
            <a:ext uri="{909E8E84-426E-40DD-AFC4-6F175D3DCCD1}">
              <a14:hiddenFill xmlns:a14="http://schemas.microsoft.com/office/drawing/2010/main">
                <a:noFill/>
              </a14:hiddenFill>
            </a:ext>
          </a:extLst>
        </xdr:spPr>
      </xdr:sp>
      <xdr:sp macro="" textlink="">
        <xdr:nvSpPr>
          <xdr:cNvPr id="18" name="Line 50">
            <a:extLst>
              <a:ext uri="{FF2B5EF4-FFF2-40B4-BE49-F238E27FC236}">
                <a16:creationId xmlns:a16="http://schemas.microsoft.com/office/drawing/2014/main" id="{00000000-0008-0000-0100-000012000000}"/>
              </a:ext>
            </a:extLst>
          </xdr:cNvPr>
          <xdr:cNvSpPr>
            <a:spLocks noChangeShapeType="1"/>
          </xdr:cNvSpPr>
        </xdr:nvSpPr>
        <xdr:spPr bwMode="auto">
          <a:xfrm>
            <a:off x="343" y="294"/>
            <a:ext cx="187"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type="arrow" w="med" len="med"/>
            <a:tailEnd type="arrow" w="med" len="med"/>
          </a:ln>
          <a:extLst>
            <a:ext uri="{909E8E84-426E-40DD-AFC4-6F175D3DCCD1}">
              <a14:hiddenFill xmlns:a14="http://schemas.microsoft.com/office/drawing/2010/main">
                <a:noFill/>
              </a14:hiddenFill>
            </a:ext>
          </a:extLst>
        </xdr:spPr>
      </xdr:sp>
      <xdr:sp macro="" textlink="">
        <xdr:nvSpPr>
          <xdr:cNvPr id="19" name="Line 53">
            <a:extLst>
              <a:ext uri="{FF2B5EF4-FFF2-40B4-BE49-F238E27FC236}">
                <a16:creationId xmlns:a16="http://schemas.microsoft.com/office/drawing/2014/main" id="{00000000-0008-0000-0100-000013000000}"/>
              </a:ext>
            </a:extLst>
          </xdr:cNvPr>
          <xdr:cNvSpPr>
            <a:spLocks noChangeShapeType="1"/>
          </xdr:cNvSpPr>
        </xdr:nvSpPr>
        <xdr:spPr bwMode="auto">
          <a:xfrm flipV="1">
            <a:off x="403" y="252"/>
            <a:ext cx="0" cy="17"/>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 name="Line 54">
            <a:extLst>
              <a:ext uri="{FF2B5EF4-FFF2-40B4-BE49-F238E27FC236}">
                <a16:creationId xmlns:a16="http://schemas.microsoft.com/office/drawing/2014/main" id="{00000000-0008-0000-0100-000014000000}"/>
              </a:ext>
            </a:extLst>
          </xdr:cNvPr>
          <xdr:cNvSpPr>
            <a:spLocks noChangeShapeType="1"/>
          </xdr:cNvSpPr>
        </xdr:nvSpPr>
        <xdr:spPr bwMode="auto">
          <a:xfrm flipH="1">
            <a:off x="458" y="142"/>
            <a:ext cx="29"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type="arrow" w="med" len="med"/>
            <a:tailEnd type="arrow" w="med" len="med"/>
          </a:ln>
          <a:extLst>
            <a:ext uri="{909E8E84-426E-40DD-AFC4-6F175D3DCCD1}">
              <a14:hiddenFill xmlns:a14="http://schemas.microsoft.com/office/drawing/2010/main">
                <a:noFill/>
              </a14:hiddenFill>
            </a:ext>
          </a:extLst>
        </xdr:spPr>
      </xdr:sp>
      <xdr:sp macro="" textlink="">
        <xdr:nvSpPr>
          <xdr:cNvPr id="21" name="Text Box 55">
            <a:extLst>
              <a:ext uri="{FF2B5EF4-FFF2-40B4-BE49-F238E27FC236}">
                <a16:creationId xmlns:a16="http://schemas.microsoft.com/office/drawing/2014/main" id="{00000000-0008-0000-0100-000015000000}"/>
              </a:ext>
            </a:extLst>
          </xdr:cNvPr>
          <xdr:cNvSpPr txBox="1">
            <a:spLocks noChangeArrowheads="1"/>
          </xdr:cNvSpPr>
        </xdr:nvSpPr>
        <xdr:spPr bwMode="auto">
          <a:xfrm>
            <a:off x="468" y="124"/>
            <a:ext cx="16" cy="1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d</a:t>
            </a:r>
          </a:p>
        </xdr:txBody>
      </xdr:sp>
      <xdr:sp macro="" textlink="">
        <xdr:nvSpPr>
          <xdr:cNvPr id="22" name="Line 60">
            <a:extLst>
              <a:ext uri="{FF2B5EF4-FFF2-40B4-BE49-F238E27FC236}">
                <a16:creationId xmlns:a16="http://schemas.microsoft.com/office/drawing/2014/main" id="{00000000-0008-0000-0100-000016000000}"/>
              </a:ext>
            </a:extLst>
          </xdr:cNvPr>
          <xdr:cNvSpPr>
            <a:spLocks noChangeShapeType="1"/>
          </xdr:cNvSpPr>
        </xdr:nvSpPr>
        <xdr:spPr bwMode="auto">
          <a:xfrm flipH="1" flipV="1">
            <a:off x="415" y="168"/>
            <a:ext cx="0" cy="28"/>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3" name="Line 62">
            <a:extLst>
              <a:ext uri="{FF2B5EF4-FFF2-40B4-BE49-F238E27FC236}">
                <a16:creationId xmlns:a16="http://schemas.microsoft.com/office/drawing/2014/main" id="{00000000-0008-0000-0100-000017000000}"/>
              </a:ext>
            </a:extLst>
          </xdr:cNvPr>
          <xdr:cNvSpPr>
            <a:spLocks noChangeShapeType="1"/>
          </xdr:cNvSpPr>
        </xdr:nvSpPr>
        <xdr:spPr bwMode="auto">
          <a:xfrm>
            <a:off x="414" y="172"/>
            <a:ext cx="44"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type="arrow" w="med" len="med"/>
            <a:tailEnd type="arrow" w="med" len="med"/>
          </a:ln>
          <a:extLst>
            <a:ext uri="{909E8E84-426E-40DD-AFC4-6F175D3DCCD1}">
              <a14:hiddenFill xmlns:a14="http://schemas.microsoft.com/office/drawing/2010/main">
                <a:noFill/>
              </a14:hiddenFill>
            </a:ext>
          </a:extLst>
        </xdr:spPr>
      </xdr:sp>
      <xdr:sp macro="" textlink="'[1]Back of House - Variables'!N21">
        <xdr:nvSpPr>
          <xdr:cNvPr id="24" name="Text Box 65">
            <a:extLst>
              <a:ext uri="{FF2B5EF4-FFF2-40B4-BE49-F238E27FC236}">
                <a16:creationId xmlns:a16="http://schemas.microsoft.com/office/drawing/2014/main" id="{00000000-0008-0000-0100-000018000000}"/>
              </a:ext>
            </a:extLst>
          </xdr:cNvPr>
          <xdr:cNvSpPr txBox="1">
            <a:spLocks noChangeArrowheads="1" noTextEdit="1"/>
          </xdr:cNvSpPr>
        </xdr:nvSpPr>
        <xdr:spPr bwMode="auto">
          <a:xfrm>
            <a:off x="392" y="296"/>
            <a:ext cx="92" cy="2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fld id="{397B9045-0245-4BF7-A1A5-047E3B3F051E}" type="TxLink">
              <a:rPr lang="en-US" sz="800" b="0" i="0" u="none" strike="noStrike" baseline="0">
                <a:solidFill>
                  <a:srgbClr val="000000"/>
                </a:solidFill>
                <a:latin typeface="Arial"/>
                <a:cs typeface="Arial"/>
              </a:rPr>
              <a:pPr algn="ctr" rtl="0">
                <a:defRPr sz="1000"/>
              </a:pPr>
              <a:t>Xftg = 96 in</a:t>
            </a:fld>
            <a:endParaRPr lang="en-US" sz="800" b="0" i="0" u="none" strike="noStrike" baseline="0">
              <a:solidFill>
                <a:srgbClr val="000000"/>
              </a:solidFill>
              <a:latin typeface="Arial"/>
              <a:cs typeface="Arial"/>
            </a:endParaRPr>
          </a:p>
        </xdr:txBody>
      </xdr:sp>
      <xdr:sp macro="" textlink="'[1]Back of House - Variables'!N22">
        <xdr:nvSpPr>
          <xdr:cNvPr id="25" name="Text Box 66">
            <a:extLst>
              <a:ext uri="{FF2B5EF4-FFF2-40B4-BE49-F238E27FC236}">
                <a16:creationId xmlns:a16="http://schemas.microsoft.com/office/drawing/2014/main" id="{00000000-0008-0000-0100-000019000000}"/>
              </a:ext>
            </a:extLst>
          </xdr:cNvPr>
          <xdr:cNvSpPr txBox="1">
            <a:spLocks noChangeArrowheads="1" noTextEdit="1"/>
          </xdr:cNvSpPr>
        </xdr:nvSpPr>
        <xdr:spPr bwMode="auto">
          <a:xfrm>
            <a:off x="318" y="185"/>
            <a:ext cx="17" cy="7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27432" tIns="22860" rIns="27432" bIns="22860" anchor="ctr" upright="1"/>
          <a:lstStyle/>
          <a:p>
            <a:pPr algn="ctr" rtl="0">
              <a:defRPr sz="1000"/>
            </a:pPr>
            <a:fld id="{AE38973C-05D1-4512-AE95-69CAB4B9EAB9}" type="TxLink">
              <a:rPr lang="en-US" sz="800" b="0" i="0" u="none" strike="noStrike" baseline="0">
                <a:solidFill>
                  <a:srgbClr val="000000"/>
                </a:solidFill>
                <a:latin typeface="Arial"/>
                <a:cs typeface="Arial"/>
              </a:rPr>
              <a:pPr algn="ctr" rtl="0">
                <a:defRPr sz="1000"/>
              </a:pPr>
              <a:t>Yftg = 96 in</a:t>
            </a:fld>
            <a:endParaRPr lang="en-US" sz="800" b="0" i="0" u="none" strike="noStrike" baseline="0">
              <a:solidFill>
                <a:srgbClr val="000000"/>
              </a:solidFill>
              <a:latin typeface="Arial"/>
              <a:cs typeface="Arial"/>
            </a:endParaRPr>
          </a:p>
        </xdr:txBody>
      </xdr:sp>
      <xdr:sp macro="" textlink="'[1]Back of House - Variables'!N23">
        <xdr:nvSpPr>
          <xdr:cNvPr id="26" name="Text Box 67">
            <a:extLst>
              <a:ext uri="{FF2B5EF4-FFF2-40B4-BE49-F238E27FC236}">
                <a16:creationId xmlns:a16="http://schemas.microsoft.com/office/drawing/2014/main" id="{00000000-0008-0000-0100-00001A000000}"/>
              </a:ext>
            </a:extLst>
          </xdr:cNvPr>
          <xdr:cNvSpPr txBox="1">
            <a:spLocks noChangeArrowheads="1" noTextEdit="1"/>
          </xdr:cNvSpPr>
        </xdr:nvSpPr>
        <xdr:spPr bwMode="auto">
          <a:xfrm>
            <a:off x="413" y="156"/>
            <a:ext cx="86" cy="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fld id="{A65509EF-18C2-4043-955B-F24A6DA4FA36}" type="TxLink">
              <a:rPr lang="en-US" sz="800" b="0" i="0" u="none" strike="noStrike" baseline="0">
                <a:solidFill>
                  <a:srgbClr val="000000"/>
                </a:solidFill>
                <a:latin typeface="Arial"/>
                <a:cs typeface="Arial"/>
              </a:rPr>
              <a:pPr algn="ctr" rtl="0">
                <a:defRPr sz="1000"/>
              </a:pPr>
              <a:t>Xcol = 20 in</a:t>
            </a:fld>
            <a:endParaRPr lang="en-US" sz="800" b="0" i="0" u="none" strike="noStrike" baseline="0">
              <a:solidFill>
                <a:srgbClr val="000000"/>
              </a:solidFill>
              <a:latin typeface="Arial"/>
              <a:cs typeface="Arial"/>
            </a:endParaRPr>
          </a:p>
        </xdr:txBody>
      </xdr:sp>
      <xdr:sp macro="" textlink="'[1]Back of House - Variables'!N24">
        <xdr:nvSpPr>
          <xdr:cNvPr id="27" name="Text Box 68">
            <a:extLst>
              <a:ext uri="{FF2B5EF4-FFF2-40B4-BE49-F238E27FC236}">
                <a16:creationId xmlns:a16="http://schemas.microsoft.com/office/drawing/2014/main" id="{00000000-0008-0000-0100-00001B000000}"/>
              </a:ext>
            </a:extLst>
          </xdr:cNvPr>
          <xdr:cNvSpPr txBox="1">
            <a:spLocks noChangeArrowheads="1" noTextEdit="1"/>
          </xdr:cNvSpPr>
        </xdr:nvSpPr>
        <xdr:spPr bwMode="auto">
          <a:xfrm>
            <a:off x="369" y="163"/>
            <a:ext cx="30" cy="7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27432" tIns="22860" rIns="0" bIns="22860" anchor="t" upright="1"/>
          <a:lstStyle/>
          <a:p>
            <a:pPr algn="ctr" rtl="0">
              <a:defRPr sz="1000"/>
            </a:pPr>
            <a:fld id="{7919F22C-449E-41E0-BC43-6AF604E6D9C9}" type="TxLink">
              <a:rPr lang="en-US" sz="800" b="0" i="0" u="none" strike="noStrike" baseline="0">
                <a:solidFill>
                  <a:srgbClr val="000000"/>
                </a:solidFill>
                <a:latin typeface="Arial"/>
                <a:cs typeface="Arial"/>
              </a:rPr>
              <a:pPr algn="ctr" rtl="0">
                <a:defRPr sz="1000"/>
              </a:pPr>
              <a:t>Ycol = 14 in</a:t>
            </a:fld>
            <a:endParaRPr lang="en-US" sz="800" b="0" i="0" u="none" strike="noStrike" baseline="0">
              <a:solidFill>
                <a:srgbClr val="000000"/>
              </a:solidFill>
              <a:latin typeface="Arial"/>
              <a:cs typeface="Arial"/>
            </a:endParaRPr>
          </a:p>
        </xdr:txBody>
      </xdr:sp>
      <xdr:sp macro="" textlink="">
        <xdr:nvSpPr>
          <xdr:cNvPr id="28" name="Line 80">
            <a:extLst>
              <a:ext uri="{FF2B5EF4-FFF2-40B4-BE49-F238E27FC236}">
                <a16:creationId xmlns:a16="http://schemas.microsoft.com/office/drawing/2014/main" id="{00000000-0008-0000-0100-00001C000000}"/>
              </a:ext>
            </a:extLst>
          </xdr:cNvPr>
          <xdr:cNvSpPr>
            <a:spLocks noChangeShapeType="1"/>
          </xdr:cNvSpPr>
        </xdr:nvSpPr>
        <xdr:spPr bwMode="auto">
          <a:xfrm>
            <a:off x="343" y="260"/>
            <a:ext cx="186" cy="1"/>
          </a:xfrm>
          <a:prstGeom prst="line">
            <a:avLst/>
          </a:prstGeom>
          <a:noFill/>
          <a:ln w="19050">
            <a:solidFill>
              <a:srgbClr xmlns:mc="http://schemas.openxmlformats.org/markup-compatibility/2006" xmlns:a14="http://schemas.microsoft.com/office/drawing/2010/main" val="FF6600" mc:Ignorable="a14" a14:legacySpreadsheetColorIndex="53"/>
            </a:solidFill>
            <a:prstDash val="sysDot"/>
            <a:round/>
            <a:headEnd/>
            <a:tailEnd/>
          </a:ln>
          <a:extLst>
            <a:ext uri="{909E8E84-426E-40DD-AFC4-6F175D3DCCD1}">
              <a14:hiddenFill xmlns:a14="http://schemas.microsoft.com/office/drawing/2010/main">
                <a:noFill/>
              </a14:hiddenFill>
            </a:ext>
          </a:extLst>
        </xdr:spPr>
      </xdr:sp>
      <xdr:sp macro="" textlink="">
        <xdr:nvSpPr>
          <xdr:cNvPr id="29" name="Line 81">
            <a:extLst>
              <a:ext uri="{FF2B5EF4-FFF2-40B4-BE49-F238E27FC236}">
                <a16:creationId xmlns:a16="http://schemas.microsoft.com/office/drawing/2014/main" id="{00000000-0008-0000-0100-00001D000000}"/>
              </a:ext>
            </a:extLst>
          </xdr:cNvPr>
          <xdr:cNvSpPr>
            <a:spLocks noChangeShapeType="1"/>
          </xdr:cNvSpPr>
        </xdr:nvSpPr>
        <xdr:spPr bwMode="auto">
          <a:xfrm>
            <a:off x="531" y="238"/>
            <a:ext cx="7"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 name="Line 82">
            <a:extLst>
              <a:ext uri="{FF2B5EF4-FFF2-40B4-BE49-F238E27FC236}">
                <a16:creationId xmlns:a16="http://schemas.microsoft.com/office/drawing/2014/main" id="{00000000-0008-0000-0100-00001E000000}"/>
              </a:ext>
            </a:extLst>
          </xdr:cNvPr>
          <xdr:cNvSpPr>
            <a:spLocks noChangeShapeType="1"/>
          </xdr:cNvSpPr>
        </xdr:nvSpPr>
        <xdr:spPr bwMode="auto">
          <a:xfrm flipV="1">
            <a:off x="531" y="260"/>
            <a:ext cx="8"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1" name="Line 83">
            <a:extLst>
              <a:ext uri="{FF2B5EF4-FFF2-40B4-BE49-F238E27FC236}">
                <a16:creationId xmlns:a16="http://schemas.microsoft.com/office/drawing/2014/main" id="{00000000-0008-0000-0100-00001F000000}"/>
              </a:ext>
            </a:extLst>
          </xdr:cNvPr>
          <xdr:cNvSpPr>
            <a:spLocks noChangeShapeType="1"/>
          </xdr:cNvSpPr>
        </xdr:nvSpPr>
        <xdr:spPr bwMode="auto">
          <a:xfrm>
            <a:off x="535" y="237"/>
            <a:ext cx="0" cy="24"/>
          </a:xfrm>
          <a:prstGeom prst="line">
            <a:avLst/>
          </a:prstGeom>
          <a:noFill/>
          <a:ln w="3175">
            <a:solidFill>
              <a:srgbClr xmlns:mc="http://schemas.openxmlformats.org/markup-compatibility/2006" xmlns:a14="http://schemas.microsoft.com/office/drawing/2010/main" val="000000" mc:Ignorable="a14" a14:legacySpreadsheetColorIndex="64"/>
            </a:solidFill>
            <a:round/>
            <a:headEnd type="arrow" w="med" len="med"/>
            <a:tailEnd type="arrow" w="med" len="med"/>
          </a:ln>
          <a:extLst>
            <a:ext uri="{909E8E84-426E-40DD-AFC4-6F175D3DCCD1}">
              <a14:hiddenFill xmlns:a14="http://schemas.microsoft.com/office/drawing/2010/main">
                <a:noFill/>
              </a14:hiddenFill>
            </a:ext>
          </a:extLst>
        </xdr:spPr>
      </xdr:sp>
      <xdr:sp macro="" textlink="">
        <xdr:nvSpPr>
          <xdr:cNvPr id="32" name="Text Box 84">
            <a:extLst>
              <a:ext uri="{FF2B5EF4-FFF2-40B4-BE49-F238E27FC236}">
                <a16:creationId xmlns:a16="http://schemas.microsoft.com/office/drawing/2014/main" id="{00000000-0008-0000-0100-000020000000}"/>
              </a:ext>
            </a:extLst>
          </xdr:cNvPr>
          <xdr:cNvSpPr txBox="1">
            <a:spLocks noChangeArrowheads="1"/>
          </xdr:cNvSpPr>
        </xdr:nvSpPr>
        <xdr:spPr bwMode="auto">
          <a:xfrm>
            <a:off x="540" y="241"/>
            <a:ext cx="26"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d</a:t>
            </a:r>
          </a:p>
        </xdr:txBody>
      </xdr:sp>
      <xdr:sp macro="" textlink="">
        <xdr:nvSpPr>
          <xdr:cNvPr id="33" name="Line 85">
            <a:extLst>
              <a:ext uri="{FF2B5EF4-FFF2-40B4-BE49-F238E27FC236}">
                <a16:creationId xmlns:a16="http://schemas.microsoft.com/office/drawing/2014/main" id="{00000000-0008-0000-0100-000021000000}"/>
              </a:ext>
            </a:extLst>
          </xdr:cNvPr>
          <xdr:cNvSpPr>
            <a:spLocks noChangeShapeType="1"/>
          </xdr:cNvSpPr>
        </xdr:nvSpPr>
        <xdr:spPr bwMode="auto">
          <a:xfrm>
            <a:off x="508" y="262"/>
            <a:ext cx="35"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sp macro="" textlink="">
        <xdr:nvSpPr>
          <xdr:cNvPr id="34" name="Text Box 86">
            <a:extLst>
              <a:ext uri="{FF2B5EF4-FFF2-40B4-BE49-F238E27FC236}">
                <a16:creationId xmlns:a16="http://schemas.microsoft.com/office/drawing/2014/main" id="{00000000-0008-0000-0100-000022000000}"/>
              </a:ext>
            </a:extLst>
          </xdr:cNvPr>
          <xdr:cNvSpPr txBox="1">
            <a:spLocks noChangeArrowheads="1"/>
          </xdr:cNvSpPr>
        </xdr:nvSpPr>
        <xdr:spPr bwMode="auto">
          <a:xfrm>
            <a:off x="543" y="274"/>
            <a:ext cx="83" cy="3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Critical Section - </a:t>
            </a:r>
          </a:p>
          <a:p>
            <a:pPr algn="l" rtl="0">
              <a:defRPr sz="1000"/>
            </a:pPr>
            <a:r>
              <a:rPr lang="en-US" sz="800" b="0" i="0" u="none" strike="noStrike" baseline="0">
                <a:solidFill>
                  <a:srgbClr val="000000"/>
                </a:solidFill>
                <a:latin typeface="Arial"/>
                <a:cs typeface="Arial"/>
              </a:rPr>
              <a:t>One-Way Shear</a:t>
            </a:r>
          </a:p>
        </xdr:txBody>
      </xdr:sp>
      <xdr:sp macro="" textlink="">
        <xdr:nvSpPr>
          <xdr:cNvPr id="35" name="Line 91">
            <a:extLst>
              <a:ext uri="{FF2B5EF4-FFF2-40B4-BE49-F238E27FC236}">
                <a16:creationId xmlns:a16="http://schemas.microsoft.com/office/drawing/2014/main" id="{00000000-0008-0000-0100-000023000000}"/>
              </a:ext>
            </a:extLst>
          </xdr:cNvPr>
          <xdr:cNvSpPr>
            <a:spLocks noChangeShapeType="1"/>
          </xdr:cNvSpPr>
        </xdr:nvSpPr>
        <xdr:spPr bwMode="auto">
          <a:xfrm flipH="1">
            <a:off x="472" y="186"/>
            <a:ext cx="0" cy="61"/>
          </a:xfrm>
          <a:prstGeom prst="line">
            <a:avLst/>
          </a:prstGeom>
          <a:noFill/>
          <a:ln w="19050">
            <a:solidFill>
              <a:srgbClr xmlns:mc="http://schemas.openxmlformats.org/markup-compatibility/2006" xmlns:a14="http://schemas.microsoft.com/office/drawing/2010/main" val="800080" mc:Ignorable="a14" a14:legacySpreadsheetColorIndex="20"/>
            </a:solidFill>
            <a:prstDash val="sysDot"/>
            <a:round/>
            <a:headEnd/>
            <a:tailEnd/>
          </a:ln>
          <a:extLst>
            <a:ext uri="{909E8E84-426E-40DD-AFC4-6F175D3DCCD1}">
              <a14:hiddenFill xmlns:a14="http://schemas.microsoft.com/office/drawing/2010/main">
                <a:noFill/>
              </a14:hiddenFill>
            </a:ext>
          </a:extLst>
        </xdr:spPr>
      </xdr:sp>
      <xdr:sp macro="" textlink="">
        <xdr:nvSpPr>
          <xdr:cNvPr id="36" name="Line 94">
            <a:extLst>
              <a:ext uri="{FF2B5EF4-FFF2-40B4-BE49-F238E27FC236}">
                <a16:creationId xmlns:a16="http://schemas.microsoft.com/office/drawing/2014/main" id="{00000000-0008-0000-0100-000024000000}"/>
              </a:ext>
            </a:extLst>
          </xdr:cNvPr>
          <xdr:cNvSpPr>
            <a:spLocks noChangeShapeType="1"/>
          </xdr:cNvSpPr>
        </xdr:nvSpPr>
        <xdr:spPr bwMode="auto">
          <a:xfrm flipV="1">
            <a:off x="403" y="186"/>
            <a:ext cx="69" cy="1"/>
          </a:xfrm>
          <a:prstGeom prst="line">
            <a:avLst/>
          </a:prstGeom>
          <a:noFill/>
          <a:ln w="19050">
            <a:solidFill>
              <a:srgbClr xmlns:mc="http://schemas.openxmlformats.org/markup-compatibility/2006" xmlns:a14="http://schemas.microsoft.com/office/drawing/2010/main" val="800080" mc:Ignorable="a14" a14:legacySpreadsheetColorIndex="20"/>
            </a:solidFill>
            <a:prstDash val="sysDot"/>
            <a:round/>
            <a:headEnd/>
            <a:tailEnd/>
          </a:ln>
          <a:extLst>
            <a:ext uri="{909E8E84-426E-40DD-AFC4-6F175D3DCCD1}">
              <a14:hiddenFill xmlns:a14="http://schemas.microsoft.com/office/drawing/2010/main">
                <a:noFill/>
              </a14:hiddenFill>
            </a:ext>
          </a:extLst>
        </xdr:spPr>
      </xdr:sp>
      <xdr:sp macro="" textlink="">
        <xdr:nvSpPr>
          <xdr:cNvPr id="37" name="Line 93">
            <a:extLst>
              <a:ext uri="{FF2B5EF4-FFF2-40B4-BE49-F238E27FC236}">
                <a16:creationId xmlns:a16="http://schemas.microsoft.com/office/drawing/2014/main" id="{00000000-0008-0000-0100-000025000000}"/>
              </a:ext>
            </a:extLst>
          </xdr:cNvPr>
          <xdr:cNvSpPr>
            <a:spLocks noChangeShapeType="1"/>
          </xdr:cNvSpPr>
        </xdr:nvSpPr>
        <xdr:spPr bwMode="auto">
          <a:xfrm flipV="1">
            <a:off x="403" y="249"/>
            <a:ext cx="69" cy="1"/>
          </a:xfrm>
          <a:prstGeom prst="line">
            <a:avLst/>
          </a:prstGeom>
          <a:noFill/>
          <a:ln w="19050">
            <a:solidFill>
              <a:srgbClr xmlns:mc="http://schemas.openxmlformats.org/markup-compatibility/2006" xmlns:a14="http://schemas.microsoft.com/office/drawing/2010/main" val="800080" mc:Ignorable="a14" a14:legacySpreadsheetColorIndex="20"/>
            </a:solidFill>
            <a:prstDash val="sysDot"/>
            <a:round/>
            <a:headEnd/>
            <a:tailEnd/>
          </a:ln>
          <a:extLst>
            <a:ext uri="{909E8E84-426E-40DD-AFC4-6F175D3DCCD1}">
              <a14:hiddenFill xmlns:a14="http://schemas.microsoft.com/office/drawing/2010/main">
                <a:noFill/>
              </a14:hiddenFill>
            </a:ext>
          </a:extLst>
        </xdr:spPr>
      </xdr:sp>
      <xdr:sp macro="" textlink="">
        <xdr:nvSpPr>
          <xdr:cNvPr id="38" name="Line 61">
            <a:extLst>
              <a:ext uri="{FF2B5EF4-FFF2-40B4-BE49-F238E27FC236}">
                <a16:creationId xmlns:a16="http://schemas.microsoft.com/office/drawing/2014/main" id="{00000000-0008-0000-0100-000026000000}"/>
              </a:ext>
            </a:extLst>
          </xdr:cNvPr>
          <xdr:cNvSpPr>
            <a:spLocks noChangeShapeType="1"/>
          </xdr:cNvSpPr>
        </xdr:nvSpPr>
        <xdr:spPr bwMode="auto">
          <a:xfrm>
            <a:off x="384" y="198"/>
            <a:ext cx="0" cy="38"/>
          </a:xfrm>
          <a:prstGeom prst="line">
            <a:avLst/>
          </a:prstGeom>
          <a:noFill/>
          <a:ln w="3175">
            <a:solidFill>
              <a:srgbClr xmlns:mc="http://schemas.openxmlformats.org/markup-compatibility/2006" xmlns:a14="http://schemas.microsoft.com/office/drawing/2010/main" val="000000" mc:Ignorable="a14" a14:legacySpreadsheetColorIndex="64"/>
            </a:solidFill>
            <a:round/>
            <a:headEnd type="arrow" w="med" len="med"/>
            <a:tailEnd type="arrow" w="med" len="med"/>
          </a:ln>
          <a:extLst>
            <a:ext uri="{909E8E84-426E-40DD-AFC4-6F175D3DCCD1}">
              <a14:hiddenFill xmlns:a14="http://schemas.microsoft.com/office/drawing/2010/main">
                <a:noFill/>
              </a14:hiddenFill>
            </a:ext>
          </a:extLst>
        </xdr:spPr>
        <xdr:txBody>
          <a:bodyPr/>
          <a:lstStyle/>
          <a:p>
            <a:endParaRPr lang="en-US"/>
          </a:p>
        </xdr:txBody>
      </xdr:sp>
      <xdr:sp macro="" textlink="">
        <xdr:nvSpPr>
          <xdr:cNvPr id="39" name="Line 58">
            <a:extLst>
              <a:ext uri="{FF2B5EF4-FFF2-40B4-BE49-F238E27FC236}">
                <a16:creationId xmlns:a16="http://schemas.microsoft.com/office/drawing/2014/main" id="{00000000-0008-0000-0100-000027000000}"/>
              </a:ext>
            </a:extLst>
          </xdr:cNvPr>
          <xdr:cNvSpPr>
            <a:spLocks noChangeShapeType="1"/>
          </xdr:cNvSpPr>
        </xdr:nvSpPr>
        <xdr:spPr bwMode="auto">
          <a:xfrm flipH="1">
            <a:off x="381" y="199"/>
            <a:ext cx="31"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0" name="Line 41">
            <a:extLst>
              <a:ext uri="{FF2B5EF4-FFF2-40B4-BE49-F238E27FC236}">
                <a16:creationId xmlns:a16="http://schemas.microsoft.com/office/drawing/2014/main" id="{00000000-0008-0000-0100-000028000000}"/>
              </a:ext>
            </a:extLst>
          </xdr:cNvPr>
          <xdr:cNvSpPr>
            <a:spLocks noChangeShapeType="1"/>
          </xdr:cNvSpPr>
        </xdr:nvSpPr>
        <xdr:spPr bwMode="auto">
          <a:xfrm>
            <a:off x="344" y="238"/>
            <a:ext cx="185" cy="1"/>
          </a:xfrm>
          <a:prstGeom prst="line">
            <a:avLst/>
          </a:prstGeom>
          <a:noFill/>
          <a:ln w="19050">
            <a:solidFill>
              <a:srgbClr xmlns:mc="http://schemas.openxmlformats.org/markup-compatibility/2006" xmlns:a14="http://schemas.microsoft.com/office/drawing/2010/main" val="0000FF" mc:Ignorable="a14" a14:legacySpreadsheetColorIndex="12"/>
            </a:solidFill>
            <a:prstDash val="sysDot"/>
            <a:round/>
            <a:headEnd/>
            <a:tailEnd/>
          </a:ln>
          <a:extLst>
            <a:ext uri="{909E8E84-426E-40DD-AFC4-6F175D3DCCD1}">
              <a14:hiddenFill xmlns:a14="http://schemas.microsoft.com/office/drawing/2010/main">
                <a:noFill/>
              </a14:hiddenFill>
            </a:ext>
          </a:extLst>
        </xdr:spPr>
      </xdr:sp>
      <xdr:sp macro="" textlink="">
        <xdr:nvSpPr>
          <xdr:cNvPr id="41" name="Line 95">
            <a:extLst>
              <a:ext uri="{FF2B5EF4-FFF2-40B4-BE49-F238E27FC236}">
                <a16:creationId xmlns:a16="http://schemas.microsoft.com/office/drawing/2014/main" id="{00000000-0008-0000-0100-000029000000}"/>
              </a:ext>
            </a:extLst>
          </xdr:cNvPr>
          <xdr:cNvSpPr>
            <a:spLocks noChangeShapeType="1"/>
          </xdr:cNvSpPr>
        </xdr:nvSpPr>
        <xdr:spPr bwMode="auto">
          <a:xfrm>
            <a:off x="342" y="123"/>
            <a:ext cx="116" cy="3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42" name="Line 97">
            <a:extLst>
              <a:ext uri="{FF2B5EF4-FFF2-40B4-BE49-F238E27FC236}">
                <a16:creationId xmlns:a16="http://schemas.microsoft.com/office/drawing/2014/main" id="{00000000-0008-0000-0100-00002A000000}"/>
              </a:ext>
            </a:extLst>
          </xdr:cNvPr>
          <xdr:cNvSpPr>
            <a:spLocks noChangeShapeType="1"/>
          </xdr:cNvSpPr>
        </xdr:nvSpPr>
        <xdr:spPr bwMode="auto">
          <a:xfrm flipH="1">
            <a:off x="402" y="267"/>
            <a:ext cx="14"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type="arrow" w="med" len="med"/>
            <a:tailEnd type="arrow" w="med" len="med"/>
          </a:ln>
          <a:extLst>
            <a:ext uri="{909E8E84-426E-40DD-AFC4-6F175D3DCCD1}">
              <a14:hiddenFill xmlns:a14="http://schemas.microsoft.com/office/drawing/2010/main">
                <a:noFill/>
              </a14:hiddenFill>
            </a:ext>
          </a:extLst>
        </xdr:spPr>
      </xdr:sp>
      <xdr:sp macro="" textlink="">
        <xdr:nvSpPr>
          <xdr:cNvPr id="43" name="Text Box 98">
            <a:extLst>
              <a:ext uri="{FF2B5EF4-FFF2-40B4-BE49-F238E27FC236}">
                <a16:creationId xmlns:a16="http://schemas.microsoft.com/office/drawing/2014/main" id="{00000000-0008-0000-0100-00002B000000}"/>
              </a:ext>
            </a:extLst>
          </xdr:cNvPr>
          <xdr:cNvSpPr txBox="1">
            <a:spLocks noChangeArrowheads="1"/>
          </xdr:cNvSpPr>
        </xdr:nvSpPr>
        <xdr:spPr bwMode="auto">
          <a:xfrm>
            <a:off x="400" y="269"/>
            <a:ext cx="42" cy="1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d/2</a:t>
            </a:r>
          </a:p>
        </xdr:txBody>
      </xdr:sp>
      <xdr:sp macro="" textlink="">
        <xdr:nvSpPr>
          <xdr:cNvPr id="44" name="Line 99">
            <a:extLst>
              <a:ext uri="{FF2B5EF4-FFF2-40B4-BE49-F238E27FC236}">
                <a16:creationId xmlns:a16="http://schemas.microsoft.com/office/drawing/2014/main" id="{00000000-0008-0000-0100-00002C000000}"/>
              </a:ext>
            </a:extLst>
          </xdr:cNvPr>
          <xdr:cNvSpPr>
            <a:spLocks noChangeShapeType="1"/>
          </xdr:cNvSpPr>
        </xdr:nvSpPr>
        <xdr:spPr bwMode="auto">
          <a:xfrm>
            <a:off x="459" y="138"/>
            <a:ext cx="0" cy="9"/>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5" name="Line 101">
            <a:extLst>
              <a:ext uri="{FF2B5EF4-FFF2-40B4-BE49-F238E27FC236}">
                <a16:creationId xmlns:a16="http://schemas.microsoft.com/office/drawing/2014/main" id="{00000000-0008-0000-0100-00002D000000}"/>
              </a:ext>
            </a:extLst>
          </xdr:cNvPr>
          <xdr:cNvSpPr>
            <a:spLocks noChangeShapeType="1"/>
          </xdr:cNvSpPr>
        </xdr:nvSpPr>
        <xdr:spPr bwMode="auto">
          <a:xfrm>
            <a:off x="486" y="138"/>
            <a:ext cx="0" cy="9"/>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6" name="Line 103">
            <a:extLst>
              <a:ext uri="{FF2B5EF4-FFF2-40B4-BE49-F238E27FC236}">
                <a16:creationId xmlns:a16="http://schemas.microsoft.com/office/drawing/2014/main" id="{00000000-0008-0000-0100-00002E000000}"/>
              </a:ext>
            </a:extLst>
          </xdr:cNvPr>
          <xdr:cNvSpPr>
            <a:spLocks noChangeShapeType="1"/>
          </xdr:cNvSpPr>
        </xdr:nvSpPr>
        <xdr:spPr bwMode="auto">
          <a:xfrm>
            <a:off x="436" y="221"/>
            <a:ext cx="12" cy="0"/>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sp macro="" textlink="">
        <xdr:nvSpPr>
          <xdr:cNvPr id="47" name="Line 105">
            <a:extLst>
              <a:ext uri="{FF2B5EF4-FFF2-40B4-BE49-F238E27FC236}">
                <a16:creationId xmlns:a16="http://schemas.microsoft.com/office/drawing/2014/main" id="{00000000-0008-0000-0100-00002F000000}"/>
              </a:ext>
            </a:extLst>
          </xdr:cNvPr>
          <xdr:cNvSpPr>
            <a:spLocks noChangeShapeType="1"/>
          </xdr:cNvSpPr>
        </xdr:nvSpPr>
        <xdr:spPr bwMode="auto">
          <a:xfrm flipV="1">
            <a:off x="436" y="208"/>
            <a:ext cx="0" cy="13"/>
          </a:xfrm>
          <a:prstGeom prst="line">
            <a:avLst/>
          </a:prstGeom>
          <a:noFill/>
          <a:ln w="3175">
            <a:solidFill>
              <a:srgbClr xmlns:mc="http://schemas.openxmlformats.org/markup-compatibility/2006" xmlns:a14="http://schemas.microsoft.com/office/drawing/2010/main" val="000000" mc:Ignorable="a14" a14:legacySpreadsheetColorIndex="64"/>
            </a:solidFill>
            <a:round/>
            <a:headEnd/>
            <a:tailEnd type="arrow" w="med" len="med"/>
          </a:ln>
          <a:extLst>
            <a:ext uri="{909E8E84-426E-40DD-AFC4-6F175D3DCCD1}">
              <a14:hiddenFill xmlns:a14="http://schemas.microsoft.com/office/drawing/2010/main">
                <a:noFill/>
              </a14:hiddenFill>
            </a:ext>
          </a:extLst>
        </xdr:spPr>
      </xdr:sp>
      <xdr:sp macro="" textlink="">
        <xdr:nvSpPr>
          <xdr:cNvPr id="48" name="Text Box 106">
            <a:extLst>
              <a:ext uri="{FF2B5EF4-FFF2-40B4-BE49-F238E27FC236}">
                <a16:creationId xmlns:a16="http://schemas.microsoft.com/office/drawing/2014/main" id="{00000000-0008-0000-0100-000030000000}"/>
              </a:ext>
            </a:extLst>
          </xdr:cNvPr>
          <xdr:cNvSpPr txBox="1">
            <a:spLocks noChangeArrowheads="1"/>
          </xdr:cNvSpPr>
        </xdr:nvSpPr>
        <xdr:spPr bwMode="auto">
          <a:xfrm>
            <a:off x="425" y="196"/>
            <a:ext cx="13" cy="1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y</a:t>
            </a:r>
          </a:p>
        </xdr:txBody>
      </xdr:sp>
      <xdr:sp macro="" textlink="">
        <xdr:nvSpPr>
          <xdr:cNvPr id="49" name="Text Box 107">
            <a:extLst>
              <a:ext uri="{FF2B5EF4-FFF2-40B4-BE49-F238E27FC236}">
                <a16:creationId xmlns:a16="http://schemas.microsoft.com/office/drawing/2014/main" id="{00000000-0008-0000-0100-000031000000}"/>
              </a:ext>
            </a:extLst>
          </xdr:cNvPr>
          <xdr:cNvSpPr txBox="1">
            <a:spLocks noChangeArrowheads="1"/>
          </xdr:cNvSpPr>
        </xdr:nvSpPr>
        <xdr:spPr bwMode="auto">
          <a:xfrm>
            <a:off x="444" y="219"/>
            <a:ext cx="13" cy="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x</a:t>
            </a:r>
          </a:p>
        </xdr:txBody>
      </xdr:sp>
      <xdr:sp macro="" textlink="">
        <xdr:nvSpPr>
          <xdr:cNvPr id="50" name="Text Box 168">
            <a:extLst>
              <a:ext uri="{FF2B5EF4-FFF2-40B4-BE49-F238E27FC236}">
                <a16:creationId xmlns:a16="http://schemas.microsoft.com/office/drawing/2014/main" id="{00000000-0008-0000-0100-000032000000}"/>
              </a:ext>
            </a:extLst>
          </xdr:cNvPr>
          <xdr:cNvSpPr txBox="1">
            <a:spLocks noChangeArrowheads="1"/>
          </xdr:cNvSpPr>
        </xdr:nvSpPr>
        <xdr:spPr bwMode="auto">
          <a:xfrm>
            <a:off x="528" y="116"/>
            <a:ext cx="41" cy="18"/>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V</a:t>
            </a:r>
            <a:r>
              <a:rPr lang="en-US" sz="800" b="0" i="0" u="none" strike="noStrike" baseline="-25000">
                <a:solidFill>
                  <a:srgbClr val="000000"/>
                </a:solidFill>
                <a:latin typeface="Arial"/>
                <a:cs typeface="Arial"/>
              </a:rPr>
              <a:t>u-x</a:t>
            </a:r>
          </a:p>
        </xdr:txBody>
      </xdr:sp>
      <xdr:sp macro="" textlink="">
        <xdr:nvSpPr>
          <xdr:cNvPr id="51" name="Line 169">
            <a:extLst>
              <a:ext uri="{FF2B5EF4-FFF2-40B4-BE49-F238E27FC236}">
                <a16:creationId xmlns:a16="http://schemas.microsoft.com/office/drawing/2014/main" id="{00000000-0008-0000-0100-000033000000}"/>
              </a:ext>
            </a:extLst>
          </xdr:cNvPr>
          <xdr:cNvSpPr>
            <a:spLocks noChangeShapeType="1"/>
          </xdr:cNvSpPr>
        </xdr:nvSpPr>
        <xdr:spPr bwMode="auto">
          <a:xfrm flipV="1">
            <a:off x="488" y="124"/>
            <a:ext cx="40" cy="38"/>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sp macro="" textlink="">
        <xdr:nvSpPr>
          <xdr:cNvPr id="52" name="Text Box 170">
            <a:extLst>
              <a:ext uri="{FF2B5EF4-FFF2-40B4-BE49-F238E27FC236}">
                <a16:creationId xmlns:a16="http://schemas.microsoft.com/office/drawing/2014/main" id="{00000000-0008-0000-0100-000034000000}"/>
              </a:ext>
            </a:extLst>
          </xdr:cNvPr>
          <xdr:cNvSpPr txBox="1">
            <a:spLocks noChangeArrowheads="1"/>
          </xdr:cNvSpPr>
        </xdr:nvSpPr>
        <xdr:spPr bwMode="auto">
          <a:xfrm>
            <a:off x="332" y="307"/>
            <a:ext cx="47" cy="23"/>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V</a:t>
            </a:r>
            <a:r>
              <a:rPr lang="en-US" sz="800" b="0" i="0" u="none" strike="noStrike" baseline="-25000">
                <a:solidFill>
                  <a:srgbClr val="000000"/>
                </a:solidFill>
                <a:latin typeface="Arial"/>
                <a:cs typeface="Arial"/>
              </a:rPr>
              <a:t>u-y</a:t>
            </a:r>
          </a:p>
        </xdr:txBody>
      </xdr:sp>
      <xdr:sp macro="" textlink="">
        <xdr:nvSpPr>
          <xdr:cNvPr id="53" name="Line 171">
            <a:extLst>
              <a:ext uri="{FF2B5EF4-FFF2-40B4-BE49-F238E27FC236}">
                <a16:creationId xmlns:a16="http://schemas.microsoft.com/office/drawing/2014/main" id="{00000000-0008-0000-0100-000035000000}"/>
              </a:ext>
            </a:extLst>
          </xdr:cNvPr>
          <xdr:cNvSpPr>
            <a:spLocks noChangeShapeType="1"/>
          </xdr:cNvSpPr>
        </xdr:nvSpPr>
        <xdr:spPr bwMode="auto">
          <a:xfrm flipH="1">
            <a:off x="353" y="262"/>
            <a:ext cx="36" cy="53"/>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sp macro="" textlink="">
        <xdr:nvSpPr>
          <xdr:cNvPr id="54" name="Line 92">
            <a:extLst>
              <a:ext uri="{FF2B5EF4-FFF2-40B4-BE49-F238E27FC236}">
                <a16:creationId xmlns:a16="http://schemas.microsoft.com/office/drawing/2014/main" id="{00000000-0008-0000-0100-000036000000}"/>
              </a:ext>
            </a:extLst>
          </xdr:cNvPr>
          <xdr:cNvSpPr>
            <a:spLocks noChangeShapeType="1"/>
          </xdr:cNvSpPr>
        </xdr:nvSpPr>
        <xdr:spPr bwMode="auto">
          <a:xfrm flipH="1">
            <a:off x="403" y="186"/>
            <a:ext cx="0" cy="63"/>
          </a:xfrm>
          <a:prstGeom prst="line">
            <a:avLst/>
          </a:prstGeom>
          <a:noFill/>
          <a:ln w="19050">
            <a:solidFill>
              <a:srgbClr xmlns:mc="http://schemas.openxmlformats.org/markup-compatibility/2006" xmlns:a14="http://schemas.microsoft.com/office/drawing/2010/main" val="800080" mc:Ignorable="a14" a14:legacySpreadsheetColorIndex="20"/>
            </a:solidFill>
            <a:prstDash val="sysDot"/>
            <a:round/>
            <a:headEnd/>
            <a:tailEnd/>
          </a:ln>
          <a:extLst>
            <a:ext uri="{909E8E84-426E-40DD-AFC4-6F175D3DCCD1}">
              <a14:hiddenFill xmlns:a14="http://schemas.microsoft.com/office/drawing/2010/main">
                <a:noFill/>
              </a14:hiddenFill>
            </a:ext>
          </a:extLst>
        </xdr:spPr>
      </xdr:sp>
    </xdr:grpSp>
    <xdr:clientData/>
  </xdr:twoCellAnchor>
  <mc:AlternateContent xmlns:mc="http://schemas.openxmlformats.org/markup-compatibility/2006">
    <mc:Choice xmlns:a14="http://schemas.microsoft.com/office/drawing/2010/main" Requires="a14">
      <xdr:twoCellAnchor>
        <xdr:from>
          <xdr:col>1</xdr:col>
          <xdr:colOff>38100</xdr:colOff>
          <xdr:row>3</xdr:row>
          <xdr:rowOff>38100</xdr:rowOff>
        </xdr:from>
        <xdr:to>
          <xdr:col>4</xdr:col>
          <xdr:colOff>0</xdr:colOff>
          <xdr:row>3</xdr:row>
          <xdr:rowOff>335280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Import Column Mark Information</a:t>
              </a:r>
            </a:p>
          </xdr:txBody>
        </xdr:sp>
        <xdr:clientData fPrintsWithSheet="0"/>
      </xdr:twoCellAnchor>
    </mc:Choice>
    <mc:Fallback/>
  </mc:AlternateContent>
  <xdr:twoCellAnchor editAs="oneCell">
    <xdr:from>
      <xdr:col>38</xdr:col>
      <xdr:colOff>196215</xdr:colOff>
      <xdr:row>23</xdr:row>
      <xdr:rowOff>121774</xdr:rowOff>
    </xdr:from>
    <xdr:to>
      <xdr:col>40</xdr:col>
      <xdr:colOff>530404</xdr:colOff>
      <xdr:row>30</xdr:row>
      <xdr:rowOff>141420</xdr:rowOff>
    </xdr:to>
    <xdr:pic>
      <xdr:nvPicPr>
        <xdr:cNvPr id="56" name="Picture 55">
          <a:extLst>
            <a:ext uri="{FF2B5EF4-FFF2-40B4-BE49-F238E27FC236}">
              <a16:creationId xmlns:a16="http://schemas.microsoft.com/office/drawing/2014/main" id="{00000000-0008-0000-0100-000038000000}"/>
            </a:ext>
          </a:extLst>
        </xdr:cNvPr>
        <xdr:cNvPicPr>
          <a:picLocks noChangeAspect="1"/>
        </xdr:cNvPicPr>
      </xdr:nvPicPr>
      <xdr:blipFill>
        <a:blip xmlns:r="http://schemas.openxmlformats.org/officeDocument/2006/relationships" r:embed="rId1"/>
        <a:stretch>
          <a:fillRect/>
        </a:stretch>
      </xdr:blipFill>
      <xdr:spPr>
        <a:xfrm>
          <a:off x="22309455" y="4472794"/>
          <a:ext cx="1553389" cy="1299806"/>
        </a:xfrm>
        <a:prstGeom prst="rect">
          <a:avLst/>
        </a:prstGeom>
      </xdr:spPr>
    </xdr:pic>
    <xdr:clientData/>
  </xdr:twoCellAnchor>
  <xdr:twoCellAnchor editAs="oneCell">
    <xdr:from>
      <xdr:col>44</xdr:col>
      <xdr:colOff>295861</xdr:colOff>
      <xdr:row>23</xdr:row>
      <xdr:rowOff>125291</xdr:rowOff>
    </xdr:from>
    <xdr:to>
      <xdr:col>46</xdr:col>
      <xdr:colOff>590407</xdr:colOff>
      <xdr:row>30</xdr:row>
      <xdr:rowOff>141127</xdr:rowOff>
    </xdr:to>
    <xdr:pic>
      <xdr:nvPicPr>
        <xdr:cNvPr id="57" name="Picture 56">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2"/>
        <a:stretch>
          <a:fillRect/>
        </a:stretch>
      </xdr:blipFill>
      <xdr:spPr>
        <a:xfrm>
          <a:off x="25525681" y="4476311"/>
          <a:ext cx="1523271" cy="1295996"/>
        </a:xfrm>
        <a:prstGeom prst="rect">
          <a:avLst/>
        </a:prstGeom>
      </xdr:spPr>
    </xdr:pic>
    <xdr:clientData/>
  </xdr:twoCellAnchor>
  <xdr:twoCellAnchor editAs="oneCell">
    <xdr:from>
      <xdr:col>57</xdr:col>
      <xdr:colOff>287801</xdr:colOff>
      <xdr:row>18</xdr:row>
      <xdr:rowOff>17145</xdr:rowOff>
    </xdr:from>
    <xdr:to>
      <xdr:col>59</xdr:col>
      <xdr:colOff>591456</xdr:colOff>
      <xdr:row>25</xdr:row>
      <xdr:rowOff>126253</xdr:rowOff>
    </xdr:to>
    <xdr:pic>
      <xdr:nvPicPr>
        <xdr:cNvPr id="58" name="Picture 57">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3"/>
        <a:stretch>
          <a:fillRect/>
        </a:stretch>
      </xdr:blipFill>
      <xdr:spPr>
        <a:xfrm>
          <a:off x="33046181" y="3469005"/>
          <a:ext cx="1532380" cy="1379108"/>
        </a:xfrm>
        <a:prstGeom prst="rect">
          <a:avLst/>
        </a:prstGeom>
      </xdr:spPr>
    </xdr:pic>
    <xdr:clientData/>
  </xdr:twoCellAnchor>
  <xdr:twoCellAnchor editAs="oneCell">
    <xdr:from>
      <xdr:col>51</xdr:col>
      <xdr:colOff>101111</xdr:colOff>
      <xdr:row>18</xdr:row>
      <xdr:rowOff>11430</xdr:rowOff>
    </xdr:from>
    <xdr:to>
      <xdr:col>53</xdr:col>
      <xdr:colOff>366223</xdr:colOff>
      <xdr:row>25</xdr:row>
      <xdr:rowOff>126253</xdr:rowOff>
    </xdr:to>
    <xdr:pic>
      <xdr:nvPicPr>
        <xdr:cNvPr id="59" name="Picture 58">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4"/>
        <a:stretch>
          <a:fillRect/>
        </a:stretch>
      </xdr:blipFill>
      <xdr:spPr>
        <a:xfrm>
          <a:off x="29377151" y="3463290"/>
          <a:ext cx="1484312" cy="1384823"/>
        </a:xfrm>
        <a:prstGeom prst="rect">
          <a:avLst/>
        </a:prstGeom>
      </xdr:spPr>
    </xdr:pic>
    <xdr:clientData/>
  </xdr:twoCellAnchor>
  <xdr:oneCellAnchor>
    <xdr:from>
      <xdr:col>26</xdr:col>
      <xdr:colOff>73573</xdr:colOff>
      <xdr:row>6</xdr:row>
      <xdr:rowOff>38889</xdr:rowOff>
    </xdr:from>
    <xdr:ext cx="1492775" cy="255607"/>
    <mc:AlternateContent xmlns:mc="http://schemas.openxmlformats.org/markup-compatibility/2006" xmlns:a14="http://schemas.microsoft.com/office/drawing/2010/main">
      <mc:Choice Requires="a14">
        <xdr:sp macro="" textlink="">
          <xdr:nvSpPr>
            <xdr:cNvPr id="60" name="TextBox 59">
              <a:extLst>
                <a:ext uri="{FF2B5EF4-FFF2-40B4-BE49-F238E27FC236}">
                  <a16:creationId xmlns:a16="http://schemas.microsoft.com/office/drawing/2014/main" id="{00000000-0008-0000-0100-00003C000000}"/>
                </a:ext>
              </a:extLst>
            </xdr:cNvPr>
            <xdr:cNvSpPr txBox="1"/>
          </xdr:nvSpPr>
          <xdr:spPr>
            <a:xfrm>
              <a:off x="15229753" y="1181889"/>
              <a:ext cx="1492775" cy="2556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n-US" sz="1000" b="0" i="0">
                      <a:latin typeface="Cambria Math" panose="02040503050406030204" pitchFamily="18" charset="0"/>
                      <a:ea typeface="Cambria Math" panose="02040503050406030204" pitchFamily="18" charset="0"/>
                    </a:rPr>
                    <m:t>q</m:t>
                  </m:r>
                  <m:r>
                    <m:rPr>
                      <m:sty m:val="p"/>
                    </m:rPr>
                    <a:rPr lang="en-US" sz="1000" b="0" i="0" baseline="-25000">
                      <a:latin typeface="Cambria Math" panose="02040503050406030204" pitchFamily="18" charset="0"/>
                      <a:ea typeface="Cambria Math" panose="02040503050406030204" pitchFamily="18" charset="0"/>
                    </a:rPr>
                    <m:t>svc</m:t>
                  </m:r>
                  <m:r>
                    <a:rPr lang="en-US" sz="1000" b="0" i="0" baseline="-25000">
                      <a:latin typeface="Cambria Math" panose="02040503050406030204" pitchFamily="18" charset="0"/>
                      <a:ea typeface="Cambria Math" panose="02040503050406030204" pitchFamily="18" charset="0"/>
                    </a:rPr>
                    <m:t>−</m:t>
                  </m:r>
                  <m:r>
                    <m:rPr>
                      <m:sty m:val="p"/>
                    </m:rPr>
                    <a:rPr lang="en-US" sz="1000" b="0" i="0" baseline="-25000">
                      <a:latin typeface="Cambria Math" panose="02040503050406030204" pitchFamily="18" charset="0"/>
                      <a:ea typeface="Cambria Math" panose="02040503050406030204" pitchFamily="18" charset="0"/>
                    </a:rPr>
                    <m:t>gross</m:t>
                  </m:r>
                  <m:r>
                    <a:rPr lang="en-US" sz="1000" b="0" i="0" baseline="-25000">
                      <a:latin typeface="Cambria Math" panose="02040503050406030204" pitchFamily="18" charset="0"/>
                      <a:ea typeface="Cambria Math" panose="02040503050406030204" pitchFamily="18" charset="0"/>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P</m:t>
                      </m:r>
                      <m:r>
                        <m:rPr>
                          <m:sty m:val="p"/>
                        </m:rPr>
                        <a:rPr lang="en-US" sz="1000" b="0" i="0" baseline="-25000">
                          <a:latin typeface="Cambria Math" panose="02040503050406030204" pitchFamily="18" charset="0"/>
                          <a:ea typeface="Cambria Math" panose="02040503050406030204" pitchFamily="18" charset="0"/>
                        </a:rPr>
                        <m:t>DL</m:t>
                      </m:r>
                      <m:r>
                        <a:rPr lang="en-US" sz="1000" b="0" i="0">
                          <a:latin typeface="Cambria Math" panose="02040503050406030204" pitchFamily="18" charset="0"/>
                          <a:ea typeface="Cambria Math" panose="02040503050406030204" pitchFamily="18" charset="0"/>
                        </a:rPr>
                        <m:t>+</m:t>
                      </m:r>
                      <m:sSub>
                        <m:sSubPr>
                          <m:ctrlPr>
                            <a:rPr lang="en-US" sz="1000" b="0" i="1">
                              <a:latin typeface="Cambria Math" panose="02040503050406030204" pitchFamily="18" charset="0"/>
                              <a:ea typeface="Cambria Math" panose="02040503050406030204" pitchFamily="18" charset="0"/>
                            </a:rPr>
                          </m:ctrlPr>
                        </m:sSubPr>
                        <m:e>
                          <m:r>
                            <m:rPr>
                              <m:sty m:val="p"/>
                            </m:rPr>
                            <a:rPr lang="en-US" sz="1000" b="0" i="0">
                              <a:latin typeface="Cambria Math" panose="02040503050406030204" pitchFamily="18" charset="0"/>
                              <a:ea typeface="Cambria Math" panose="02040503050406030204" pitchFamily="18" charset="0"/>
                            </a:rPr>
                            <m:t>P</m:t>
                          </m:r>
                        </m:e>
                        <m:sub>
                          <m:r>
                            <m:rPr>
                              <m:sty m:val="p"/>
                            </m:rPr>
                            <a:rPr lang="en-US" sz="1000" b="0" i="0">
                              <a:latin typeface="Cambria Math" panose="02040503050406030204" pitchFamily="18" charset="0"/>
                              <a:ea typeface="Cambria Math" panose="02040503050406030204" pitchFamily="18" charset="0"/>
                            </a:rPr>
                            <m:t>LL</m:t>
                          </m:r>
                        </m:sub>
                      </m:sSub>
                      <m:r>
                        <a:rPr lang="en-US" sz="1000" b="0" i="0">
                          <a:latin typeface="Cambria Math" panose="02040503050406030204" pitchFamily="18" charset="0"/>
                          <a:ea typeface="Cambria Math" panose="02040503050406030204" pitchFamily="18" charset="0"/>
                        </a:rPr>
                        <m:t>+</m:t>
                      </m:r>
                      <m:sSub>
                        <m:sSubPr>
                          <m:ctrlPr>
                            <a:rPr lang="en-US" sz="1000" b="0" i="1">
                              <a:latin typeface="Cambria Math" panose="02040503050406030204" pitchFamily="18" charset="0"/>
                              <a:ea typeface="Cambria Math" panose="02040503050406030204" pitchFamily="18" charset="0"/>
                            </a:rPr>
                          </m:ctrlPr>
                        </m:sSubPr>
                        <m:e>
                          <m:r>
                            <m:rPr>
                              <m:sty m:val="p"/>
                            </m:rPr>
                            <a:rPr lang="en-US" sz="1000" b="0" i="0">
                              <a:latin typeface="Cambria Math" panose="02040503050406030204" pitchFamily="18" charset="0"/>
                              <a:ea typeface="Cambria Math" panose="02040503050406030204" pitchFamily="18" charset="0"/>
                            </a:rPr>
                            <m:t>P</m:t>
                          </m:r>
                        </m:e>
                        <m:sub>
                          <m:r>
                            <m:rPr>
                              <m:sty m:val="p"/>
                            </m:rPr>
                            <a:rPr lang="en-US" sz="1000" b="0" i="0">
                              <a:latin typeface="Cambria Math" panose="02040503050406030204" pitchFamily="18" charset="0"/>
                              <a:ea typeface="Cambria Math" panose="02040503050406030204" pitchFamily="18" charset="0"/>
                            </a:rPr>
                            <m:t>SW</m:t>
                          </m:r>
                        </m:sub>
                      </m:sSub>
                    </m:num>
                    <m:den>
                      <m:r>
                        <m:rPr>
                          <m:sty m:val="p"/>
                        </m:rPr>
                        <a:rPr lang="en-US" sz="1000" b="0" i="0">
                          <a:latin typeface="Cambria Math" panose="02040503050406030204" pitchFamily="18" charset="0"/>
                          <a:ea typeface="Cambria Math" panose="02040503050406030204" pitchFamily="18" charset="0"/>
                        </a:rPr>
                        <m:t>X</m:t>
                      </m:r>
                      <m:r>
                        <m:rPr>
                          <m:sty m:val="p"/>
                        </m:rPr>
                        <a:rPr lang="en-US" sz="1000" b="0" i="0" baseline="-25000">
                          <a:latin typeface="Cambria Math" panose="02040503050406030204" pitchFamily="18" charset="0"/>
                          <a:ea typeface="Cambria Math" panose="02040503050406030204" pitchFamily="18" charset="0"/>
                        </a:rPr>
                        <m:t>ftg</m:t>
                      </m:r>
                      <m:r>
                        <a:rPr lang="en-US" sz="1000" b="0" i="0">
                          <a:latin typeface="Cambria Math" panose="02040503050406030204" pitchFamily="18" charset="0"/>
                          <a:ea typeface="Cambria Math" panose="02040503050406030204" pitchFamily="18" charset="0"/>
                        </a:rPr>
                        <m:t> ∗ </m:t>
                      </m:r>
                      <m:sSub>
                        <m:sSubPr>
                          <m:ctrlPr>
                            <a:rPr lang="en-US" sz="1000" b="0" i="1">
                              <a:latin typeface="Cambria Math" panose="02040503050406030204" pitchFamily="18" charset="0"/>
                              <a:ea typeface="Cambria Math" panose="02040503050406030204" pitchFamily="18" charset="0"/>
                            </a:rPr>
                          </m:ctrlPr>
                        </m:sSubPr>
                        <m:e>
                          <m:r>
                            <m:rPr>
                              <m:sty m:val="p"/>
                            </m:rPr>
                            <a:rPr lang="en-US" sz="1000" b="0" i="0">
                              <a:latin typeface="Cambria Math" panose="02040503050406030204" pitchFamily="18" charset="0"/>
                              <a:ea typeface="Cambria Math" panose="02040503050406030204" pitchFamily="18" charset="0"/>
                            </a:rPr>
                            <m:t>Y</m:t>
                          </m:r>
                        </m:e>
                        <m:sub>
                          <m:r>
                            <m:rPr>
                              <m:sty m:val="p"/>
                            </m:rPr>
                            <a:rPr lang="en-US" sz="1000" b="0" i="0">
                              <a:latin typeface="Cambria Math" panose="02040503050406030204" pitchFamily="18" charset="0"/>
                              <a:ea typeface="Cambria Math" panose="02040503050406030204" pitchFamily="18" charset="0"/>
                            </a:rPr>
                            <m:t>ftg</m:t>
                          </m:r>
                        </m:sub>
                      </m:sSub>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0" name="TextBox 59">
              <a:extLst>
                <a:ext uri="{FF2B5EF4-FFF2-40B4-BE49-F238E27FC236}">
                  <a16:creationId xmlns:a16="http://schemas.microsoft.com/office/drawing/2014/main" id="{89C79588-2A90-46EF-A2A0-C79B6CF8E38E}"/>
                </a:ext>
              </a:extLst>
            </xdr:cNvPr>
            <xdr:cNvSpPr txBox="1"/>
          </xdr:nvSpPr>
          <xdr:spPr>
            <a:xfrm>
              <a:off x="15229753" y="1181889"/>
              <a:ext cx="1492775" cy="2556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q</a:t>
              </a:r>
              <a:r>
                <a:rPr lang="en-US" sz="1000" b="0" i="0" baseline="-25000">
                  <a:latin typeface="Cambria Math" panose="02040503050406030204" pitchFamily="18" charset="0"/>
                  <a:ea typeface="Cambria Math" panose="02040503050406030204" pitchFamily="18" charset="0"/>
                </a:rPr>
                <a:t>svc−gross =   </a:t>
              </a:r>
              <a:r>
                <a:rPr lang="en-US" sz="1000" b="0" i="0">
                  <a:latin typeface="Cambria Math" panose="02040503050406030204" pitchFamily="18" charset="0"/>
                  <a:ea typeface="Cambria Math" panose="02040503050406030204" pitchFamily="18" charset="0"/>
                </a:rPr>
                <a:t> (P</a:t>
              </a:r>
              <a:r>
                <a:rPr lang="en-US" sz="1000" b="0" i="0" baseline="-25000">
                  <a:latin typeface="Cambria Math" panose="02040503050406030204" pitchFamily="18" charset="0"/>
                  <a:ea typeface="Cambria Math" panose="02040503050406030204" pitchFamily="18" charset="0"/>
                </a:rPr>
                <a:t>DL</a:t>
              </a:r>
              <a:r>
                <a:rPr lang="en-US" sz="1000" b="0" i="0">
                  <a:latin typeface="Cambria Math" panose="02040503050406030204" pitchFamily="18" charset="0"/>
                  <a:ea typeface="Cambria Math" panose="02040503050406030204" pitchFamily="18" charset="0"/>
                </a:rPr>
                <a:t>+P_LL+P_SW)/(X</a:t>
              </a:r>
              <a:r>
                <a:rPr lang="en-US" sz="1000" b="0" i="0" baseline="-25000">
                  <a:latin typeface="Cambria Math" panose="02040503050406030204" pitchFamily="18" charset="0"/>
                  <a:ea typeface="Cambria Math" panose="02040503050406030204" pitchFamily="18" charset="0"/>
                </a:rPr>
                <a:t>ftg</a:t>
              </a:r>
              <a:r>
                <a:rPr lang="en-US" sz="1000" b="0" i="0">
                  <a:latin typeface="Cambria Math" panose="02040503050406030204" pitchFamily="18" charset="0"/>
                  <a:ea typeface="Cambria Math" panose="02040503050406030204" pitchFamily="18" charset="0"/>
                </a:rPr>
                <a:t> ∗ Y_ftg ) </a:t>
              </a:r>
            </a:p>
          </xdr:txBody>
        </xdr:sp>
      </mc:Fallback>
    </mc:AlternateContent>
    <xdr:clientData/>
  </xdr:oneCellAnchor>
  <xdr:oneCellAnchor>
    <xdr:from>
      <xdr:col>26</xdr:col>
      <xdr:colOff>59121</xdr:colOff>
      <xdr:row>9</xdr:row>
      <xdr:rowOff>59121</xdr:rowOff>
    </xdr:from>
    <xdr:ext cx="1258738" cy="233388"/>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00000000-0008-0000-0100-00003D000000}"/>
                </a:ext>
              </a:extLst>
            </xdr:cNvPr>
            <xdr:cNvSpPr txBox="1"/>
          </xdr:nvSpPr>
          <xdr:spPr>
            <a:xfrm>
              <a:off x="15215301" y="1735521"/>
              <a:ext cx="1258738" cy="233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n-US" sz="1000" b="0" i="0">
                      <a:latin typeface="Cambria Math" panose="02040503050406030204" pitchFamily="18" charset="0"/>
                      <a:ea typeface="Cambria Math" panose="02040503050406030204" pitchFamily="18" charset="0"/>
                    </a:rPr>
                    <m:t>DCR</m:t>
                  </m:r>
                  <m:r>
                    <m:rPr>
                      <m:sty m:val="p"/>
                    </m:rPr>
                    <a:rPr lang="en-US" sz="1000" b="0" i="0" baseline="-25000">
                      <a:latin typeface="Cambria Math" panose="02040503050406030204" pitchFamily="18" charset="0"/>
                      <a:ea typeface="Cambria Math" panose="02040503050406030204" pitchFamily="18" charset="0"/>
                    </a:rPr>
                    <m:t>Bearing</m:t>
                  </m:r>
                  <m:r>
                    <a:rPr lang="en-US" sz="1000" b="0" i="0" baseline="-25000">
                      <a:latin typeface="Cambria Math" panose="02040503050406030204" pitchFamily="18" charset="0"/>
                      <a:ea typeface="Cambria Math" panose="02040503050406030204" pitchFamily="18" charset="0"/>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q</m:t>
                      </m:r>
                      <m:r>
                        <m:rPr>
                          <m:sty m:val="p"/>
                        </m:rPr>
                        <a:rPr lang="en-US" sz="1000" b="0" i="0" baseline="-25000">
                          <a:latin typeface="Cambria Math" panose="02040503050406030204" pitchFamily="18" charset="0"/>
                          <a:ea typeface="Cambria Math" panose="02040503050406030204" pitchFamily="18" charset="0"/>
                        </a:rPr>
                        <m:t>svc</m:t>
                      </m:r>
                      <m:r>
                        <a:rPr lang="en-US" sz="1000" b="0" i="0" baseline="-25000">
                          <a:latin typeface="Cambria Math" panose="02040503050406030204" pitchFamily="18" charset="0"/>
                          <a:ea typeface="Cambria Math" panose="02040503050406030204" pitchFamily="18" charset="0"/>
                        </a:rPr>
                        <m:t>−</m:t>
                      </m:r>
                      <m:r>
                        <m:rPr>
                          <m:sty m:val="p"/>
                        </m:rPr>
                        <a:rPr lang="en-US" sz="1000" b="0" i="0" baseline="-25000">
                          <a:latin typeface="Cambria Math" panose="02040503050406030204" pitchFamily="18" charset="0"/>
                          <a:ea typeface="Cambria Math" panose="02040503050406030204" pitchFamily="18" charset="0"/>
                        </a:rPr>
                        <m:t>gross</m:t>
                      </m:r>
                    </m:num>
                    <m:den>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q</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allow</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1" name="TextBox 60">
              <a:extLst>
                <a:ext uri="{FF2B5EF4-FFF2-40B4-BE49-F238E27FC236}">
                  <a16:creationId xmlns:a16="http://schemas.microsoft.com/office/drawing/2014/main" id="{A0B002E6-2EE4-4A84-BF53-E8159A2EC32C}"/>
                </a:ext>
              </a:extLst>
            </xdr:cNvPr>
            <xdr:cNvSpPr txBox="1"/>
          </xdr:nvSpPr>
          <xdr:spPr>
            <a:xfrm>
              <a:off x="15215301" y="1735521"/>
              <a:ext cx="1258738" cy="233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DCR</a:t>
              </a:r>
              <a:r>
                <a:rPr lang="en-US" sz="1000" b="0" i="0" baseline="-25000">
                  <a:latin typeface="Cambria Math" panose="02040503050406030204" pitchFamily="18" charset="0"/>
                  <a:ea typeface="Cambria Math" panose="02040503050406030204" pitchFamily="18" charset="0"/>
                </a:rPr>
                <a:t>Bearing =   </a:t>
              </a:r>
              <a:r>
                <a:rPr lang="en-US" sz="1000" b="0" i="0">
                  <a:latin typeface="Cambria Math" panose="02040503050406030204" pitchFamily="18" charset="0"/>
                  <a:ea typeface="Cambria Math" panose="02040503050406030204" pitchFamily="18" charset="0"/>
                </a:rPr>
                <a:t> (q</a:t>
              </a:r>
              <a:r>
                <a:rPr lang="en-US" sz="1000" b="0" i="0" baseline="-25000">
                  <a:latin typeface="Cambria Math" panose="02040503050406030204" pitchFamily="18" charset="0"/>
                  <a:ea typeface="Cambria Math" panose="02040503050406030204" pitchFamily="18" charset="0"/>
                </a:rPr>
                <a:t>svc−gross)/</a:t>
              </a:r>
              <a:r>
                <a:rPr lang="en-US" sz="1000" b="0" i="0">
                  <a:solidFill>
                    <a:schemeClr val="tx1"/>
                  </a:solidFill>
                  <a:effectLst/>
                  <a:latin typeface="Cambria Math" panose="02040503050406030204" pitchFamily="18" charset="0"/>
                  <a:ea typeface="Cambria Math" panose="02040503050406030204" pitchFamily="18" charset="0"/>
                  <a:cs typeface="+mn-cs"/>
                </a:rPr>
                <a:t>q</a:t>
              </a:r>
              <a:r>
                <a:rPr lang="en-US" sz="1000" b="0" i="0" baseline="-25000">
                  <a:solidFill>
                    <a:schemeClr val="tx1"/>
                  </a:solidFill>
                  <a:effectLst/>
                  <a:latin typeface="Cambria Math" panose="02040503050406030204" pitchFamily="18" charset="0"/>
                  <a:ea typeface="Cambria Math" panose="02040503050406030204" pitchFamily="18" charset="0"/>
                  <a:cs typeface="+mn-cs"/>
                </a:rPr>
                <a:t>allow</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26</xdr:col>
      <xdr:colOff>367863</xdr:colOff>
      <xdr:row>25</xdr:row>
      <xdr:rowOff>45983</xdr:rowOff>
    </xdr:from>
    <xdr:ext cx="3742249" cy="310847"/>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00000000-0008-0000-0100-00003E000000}"/>
                </a:ext>
              </a:extLst>
            </xdr:cNvPr>
            <xdr:cNvSpPr txBox="1"/>
          </xdr:nvSpPr>
          <xdr:spPr>
            <a:xfrm>
              <a:off x="15524043" y="4762763"/>
              <a:ext cx="3742249" cy="310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a:rPr lang="az-Cyrl-AZ" sz="1000" b="0" i="1">
                      <a:solidFill>
                        <a:schemeClr val="tx1"/>
                      </a:solidFill>
                      <a:effectLst/>
                      <a:latin typeface="Cambria Math" panose="02040503050406030204" pitchFamily="18" charset="0"/>
                      <a:ea typeface="Cambria Math" panose="02040503050406030204" pitchFamily="18" charset="0"/>
                      <a:cs typeface="+mn-cs"/>
                    </a:rPr>
                    <m:t>Ф</m:t>
                  </m:r>
                  <m:r>
                    <a:rPr lang="en-US" sz="1000" b="0" i="1">
                      <a:solidFill>
                        <a:schemeClr val="tx1"/>
                      </a:solidFill>
                      <a:effectLst/>
                      <a:latin typeface="Cambria Math" panose="02040503050406030204" pitchFamily="18" charset="0"/>
                      <a:ea typeface="Cambria Math" panose="02040503050406030204" pitchFamily="18" charset="0"/>
                      <a:cs typeface="+mn-cs"/>
                    </a:rPr>
                    <m:t>𝑉</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S</m:t>
                  </m:r>
                  <m:r>
                    <a:rPr lang="en-US" sz="1000" b="0" i="0" baseline="-25000">
                      <a:solidFill>
                        <a:schemeClr val="tx1"/>
                      </a:solidFill>
                      <a:effectLst/>
                      <a:latin typeface="Cambria Math" panose="02040503050406030204" pitchFamily="18" charset="0"/>
                      <a:ea typeface="Cambria Math" panose="02040503050406030204" pitchFamily="18" charset="0"/>
                      <a:cs typeface="+mn-cs"/>
                    </a:rPr>
                    <m:t> =   </m:t>
                  </m:r>
                  <m:r>
                    <a:rPr lang="az-Cyrl-AZ" sz="1000" b="0" i="1">
                      <a:solidFill>
                        <a:schemeClr val="tx1"/>
                      </a:solidFill>
                      <a:effectLst/>
                      <a:latin typeface="Cambria Math" panose="02040503050406030204" pitchFamily="18" charset="0"/>
                      <a:ea typeface="Cambria Math" panose="02040503050406030204" pitchFamily="18" charset="0"/>
                      <a:cs typeface="+mn-cs"/>
                    </a:rPr>
                    <m:t>Ф</m:t>
                  </m:r>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A</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s</m:t>
                  </m:r>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provided</m:t>
                  </m:r>
                  <m:r>
                    <a:rPr lang="en-US" sz="1000" b="0" i="0" baseline="-25000">
                      <a:solidFill>
                        <a:schemeClr val="tx1"/>
                      </a:solidFill>
                      <a:effectLst/>
                      <a:latin typeface="Cambria Math" panose="02040503050406030204" pitchFamily="18" charset="0"/>
                      <a:ea typeface="Cambria Math" panose="02040503050406030204" pitchFamily="18" charset="0"/>
                      <a:cs typeface="+mn-cs"/>
                    </a:rPr>
                    <m:t>  ∗ </m:t>
                  </m:r>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y</m:t>
                  </m:r>
                  <m:r>
                    <a:rPr lang="en-US" sz="1000" b="0" i="0" baseline="0">
                      <a:solidFill>
                        <a:schemeClr val="tx1"/>
                      </a:solidFill>
                      <a:effectLst/>
                      <a:latin typeface="Cambria Math" panose="02040503050406030204" pitchFamily="18" charset="0"/>
                      <a:ea typeface="Cambria Math" panose="02040503050406030204" pitchFamily="18" charset="0"/>
                      <a:cs typeface="+mn-cs"/>
                    </a:rPr>
                    <m:t> ∗</m:t>
                  </m:r>
                  <m:r>
                    <m:rPr>
                      <m:sty m:val="p"/>
                    </m:rPr>
                    <a:rPr lang="en-US" sz="1000" b="0" i="0" baseline="0">
                      <a:solidFill>
                        <a:schemeClr val="tx1"/>
                      </a:solidFill>
                      <a:effectLst/>
                      <a:latin typeface="Cambria Math" panose="02040503050406030204" pitchFamily="18" charset="0"/>
                      <a:ea typeface="Cambria Math" panose="02040503050406030204" pitchFamily="18" charset="0"/>
                      <a:cs typeface="+mn-cs"/>
                    </a:rPr>
                    <m:t>b</m:t>
                  </m:r>
                  <m:r>
                    <a:rPr lang="en-US" sz="1000" b="0" i="0" baseline="-25000">
                      <a:solidFill>
                        <a:schemeClr val="tx1"/>
                      </a:solidFill>
                      <a:effectLst/>
                      <a:latin typeface="Cambria Math" panose="02040503050406030204" pitchFamily="18" charset="0"/>
                      <a:ea typeface="Cambria Math" panose="02040503050406030204" pitchFamily="18" charset="0"/>
                      <a:cs typeface="+mn-cs"/>
                    </a:rPr>
                    <m:t>0</m:t>
                  </m:r>
                  <m:r>
                    <a:rPr lang="en-US" sz="1000" b="0" i="0" baseline="0">
                      <a:solidFill>
                        <a:schemeClr val="tx1"/>
                      </a:solidFill>
                      <a:effectLst/>
                      <a:latin typeface="Cambria Math" panose="02040503050406030204" pitchFamily="18" charset="0"/>
                      <a:ea typeface="Cambria Math" panose="02040503050406030204" pitchFamily="18" charset="0"/>
                      <a:cs typeface="+mn-cs"/>
                    </a:rPr>
                    <m:t> </m:t>
                  </m:r>
                </m:oMath>
              </a14:m>
              <a:r>
                <a:rPr lang="en-US" sz="1000" b="0" i="0">
                  <a:solidFill>
                    <a:schemeClr val="tx1"/>
                  </a:solidFill>
                  <a:effectLst/>
                  <a:latin typeface="Cambria Math" panose="02040503050406030204" pitchFamily="18" charset="0"/>
                  <a:ea typeface="Cambria Math" panose="02040503050406030204" pitchFamily="18" charset="0"/>
                  <a:cs typeface="+mn-cs"/>
                </a:rPr>
                <a:t>* </a:t>
              </a:r>
              <a14:m>
                <m:oMath xmlns:m="http://schemas.openxmlformats.org/officeDocument/2006/math">
                  <m:f>
                    <m:fPr>
                      <m:ctrlPr>
                        <a:rPr lang="en-US" sz="1000" b="0" i="1">
                          <a:solidFill>
                            <a:schemeClr val="tx1"/>
                          </a:solidFill>
                          <a:effectLst/>
                          <a:latin typeface="Cambria Math" panose="02040503050406030204" pitchFamily="18" charset="0"/>
                          <a:ea typeface="Cambria Math" panose="02040503050406030204" pitchFamily="18" charset="0"/>
                          <a:cs typeface="+mn-cs"/>
                        </a:rPr>
                      </m:ctrlPr>
                    </m:fPr>
                    <m:num>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X</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r>
                        <a:rPr lang="en-US" sz="1000" b="0" i="0">
                          <a:solidFill>
                            <a:schemeClr val="tx1"/>
                          </a:solidFill>
                          <a:effectLst/>
                          <a:latin typeface="Cambria Math" panose="02040503050406030204" pitchFamily="18" charset="0"/>
                          <a:ea typeface="Cambria Math" panose="02040503050406030204" pitchFamily="18" charset="0"/>
                          <a:cs typeface="+mn-cs"/>
                        </a:rPr>
                        <m:t> </m:t>
                      </m:r>
                      <m:r>
                        <a:rPr lang="en-US" sz="1000" b="0" i="0" baseline="0">
                          <a:solidFill>
                            <a:schemeClr val="tx1"/>
                          </a:solidFill>
                          <a:effectLst/>
                          <a:latin typeface="Cambria Math" panose="02040503050406030204" pitchFamily="18" charset="0"/>
                          <a:ea typeface="Cambria Math" panose="02040503050406030204" pitchFamily="18" charset="0"/>
                          <a:cs typeface="+mn-cs"/>
                        </a:rPr>
                        <m:t> </m:t>
                      </m:r>
                    </m:num>
                    <m:den>
                      <m:d>
                        <m:dPr>
                          <m:ctrlPr>
                            <a:rPr lang="en-US" sz="1000" b="0" i="1" baseline="0">
                              <a:solidFill>
                                <a:schemeClr val="tx1"/>
                              </a:solidFill>
                              <a:effectLst/>
                              <a:latin typeface="Cambria Math" panose="02040503050406030204" pitchFamily="18" charset="0"/>
                              <a:ea typeface="Cambria Math" panose="02040503050406030204" pitchFamily="18" charset="0"/>
                              <a:cs typeface="+mn-cs"/>
                            </a:rPr>
                          </m:ctrlPr>
                        </m:dPr>
                        <m:e>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X</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r>
                            <a:rPr lang="en-US" sz="1000" b="0" i="0">
                              <a:solidFill>
                                <a:schemeClr val="tx1"/>
                              </a:solidFill>
                              <a:effectLst/>
                              <a:latin typeface="Cambria Math" panose="02040503050406030204" pitchFamily="18" charset="0"/>
                              <a:ea typeface="Cambria Math" panose="02040503050406030204" pitchFamily="18" charset="0"/>
                              <a:cs typeface="+mn-cs"/>
                            </a:rPr>
                            <m:t> + </m:t>
                          </m:r>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Y</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r>
                            <a:rPr lang="en-US" sz="1000" b="0" i="1">
                              <a:solidFill>
                                <a:schemeClr val="tx1"/>
                              </a:solidFill>
                              <a:effectLst/>
                              <a:latin typeface="Cambria Math" panose="02040503050406030204" pitchFamily="18" charset="0"/>
                              <a:ea typeface="Cambria Math" panose="02040503050406030204" pitchFamily="18" charset="0"/>
                              <a:cs typeface="+mn-cs"/>
                            </a:rPr>
                            <m:t> </m:t>
                          </m:r>
                        </m:e>
                      </m:d>
                      <m:r>
                        <a:rPr lang="en-US" sz="1000" b="0" i="1">
                          <a:solidFill>
                            <a:schemeClr val="tx1"/>
                          </a:solidFill>
                          <a:effectLst/>
                          <a:latin typeface="Cambria Math" panose="02040503050406030204" pitchFamily="18" charset="0"/>
                          <a:ea typeface="Cambria Math" panose="02040503050406030204" pitchFamily="18" charset="0"/>
                          <a:cs typeface="+mn-cs"/>
                        </a:rPr>
                        <m:t> ∗</m:t>
                      </m:r>
                      <m:r>
                        <a:rPr lang="en-US" sz="1000" b="0" i="1" baseline="0">
                          <a:solidFill>
                            <a:schemeClr val="tx1"/>
                          </a:solidFill>
                          <a:effectLst/>
                          <a:latin typeface="Cambria Math" panose="02040503050406030204" pitchFamily="18" charset="0"/>
                          <a:ea typeface="Cambria Math" panose="02040503050406030204" pitchFamily="18" charset="0"/>
                          <a:cs typeface="+mn-cs"/>
                        </a:rPr>
                        <m:t> </m:t>
                      </m:r>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S</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x</m:t>
                      </m:r>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den>
                  </m:f>
                </m:oMath>
              </a14:m>
              <a:r>
                <a:rPr lang="en-US" sz="1000" b="0" i="0">
                  <a:latin typeface="Cambria Math" panose="02040503050406030204" pitchFamily="18" charset="0"/>
                  <a:ea typeface="Cambria Math" panose="02040503050406030204" pitchFamily="18" charset="0"/>
                </a:rPr>
                <a:t> * </a:t>
              </a:r>
              <a14:m>
                <m:oMath xmlns:m="http://schemas.openxmlformats.org/officeDocument/2006/math">
                  <m:f>
                    <m:fPr>
                      <m:ctrlPr>
                        <a:rPr lang="en-US" sz="1000" b="0" i="1">
                          <a:solidFill>
                            <a:schemeClr val="tx1"/>
                          </a:solidFill>
                          <a:effectLst/>
                          <a:latin typeface="Cambria Math" panose="02040503050406030204" pitchFamily="18" charset="0"/>
                          <a:ea typeface="Cambria Math" panose="02040503050406030204" pitchFamily="18" charset="0"/>
                          <a:cs typeface="+mn-cs"/>
                        </a:rPr>
                      </m:ctrlPr>
                    </m:fPr>
                    <m:num>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Y</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r>
                        <a:rPr lang="en-US" sz="1000" b="0" i="0">
                          <a:solidFill>
                            <a:schemeClr val="tx1"/>
                          </a:solidFill>
                          <a:effectLst/>
                          <a:latin typeface="Cambria Math" panose="02040503050406030204" pitchFamily="18" charset="0"/>
                          <a:ea typeface="Cambria Math" panose="02040503050406030204" pitchFamily="18" charset="0"/>
                          <a:cs typeface="+mn-cs"/>
                        </a:rPr>
                        <m:t> </m:t>
                      </m:r>
                      <m:r>
                        <a:rPr lang="en-US" sz="1000" b="0" i="0" baseline="0">
                          <a:solidFill>
                            <a:schemeClr val="tx1"/>
                          </a:solidFill>
                          <a:effectLst/>
                          <a:latin typeface="Cambria Math" panose="02040503050406030204" pitchFamily="18" charset="0"/>
                          <a:ea typeface="Cambria Math" panose="02040503050406030204" pitchFamily="18" charset="0"/>
                          <a:cs typeface="+mn-cs"/>
                        </a:rPr>
                        <m:t> </m:t>
                      </m:r>
                    </m:num>
                    <m:den>
                      <m:d>
                        <m:dPr>
                          <m:ctrlPr>
                            <a:rPr lang="en-US" sz="1000" b="0" i="1" baseline="0">
                              <a:solidFill>
                                <a:schemeClr val="tx1"/>
                              </a:solidFill>
                              <a:effectLst/>
                              <a:latin typeface="Cambria Math" panose="02040503050406030204" pitchFamily="18" charset="0"/>
                              <a:ea typeface="Cambria Math" panose="02040503050406030204" pitchFamily="18" charset="0"/>
                              <a:cs typeface="+mn-cs"/>
                            </a:rPr>
                          </m:ctrlPr>
                        </m:dPr>
                        <m:e>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X</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r>
                            <a:rPr lang="en-US" sz="1000" b="0" i="0">
                              <a:solidFill>
                                <a:schemeClr val="tx1"/>
                              </a:solidFill>
                              <a:effectLst/>
                              <a:latin typeface="Cambria Math" panose="02040503050406030204" pitchFamily="18" charset="0"/>
                              <a:ea typeface="Cambria Math" panose="02040503050406030204" pitchFamily="18" charset="0"/>
                              <a:cs typeface="+mn-cs"/>
                            </a:rPr>
                            <m:t> + </m:t>
                          </m:r>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Y</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r>
                            <a:rPr lang="en-US" sz="1000" b="0" i="1" baseline="-25000">
                              <a:solidFill>
                                <a:schemeClr val="tx1"/>
                              </a:solidFill>
                              <a:effectLst/>
                              <a:latin typeface="Cambria Math" panose="02040503050406030204" pitchFamily="18" charset="0"/>
                              <a:ea typeface="Cambria Math" panose="02040503050406030204" pitchFamily="18" charset="0"/>
                              <a:cs typeface="+mn-cs"/>
                            </a:rPr>
                            <m:t> </m:t>
                          </m:r>
                        </m:e>
                      </m:d>
                      <m:r>
                        <a:rPr lang="en-US" sz="1000" b="0" i="1">
                          <a:solidFill>
                            <a:schemeClr val="tx1"/>
                          </a:solidFill>
                          <a:effectLst/>
                          <a:latin typeface="Cambria Math" panose="02040503050406030204" pitchFamily="18" charset="0"/>
                          <a:ea typeface="Cambria Math" panose="02040503050406030204" pitchFamily="18" charset="0"/>
                          <a:cs typeface="+mn-cs"/>
                        </a:rPr>
                        <m:t> ∗</m:t>
                      </m:r>
                      <m:r>
                        <a:rPr lang="en-US" sz="1000" b="0" i="1" baseline="0">
                          <a:solidFill>
                            <a:schemeClr val="tx1"/>
                          </a:solidFill>
                          <a:effectLst/>
                          <a:latin typeface="Cambria Math" panose="02040503050406030204" pitchFamily="18" charset="0"/>
                          <a:ea typeface="Cambria Math" panose="02040503050406030204" pitchFamily="18" charset="0"/>
                          <a:cs typeface="+mn-cs"/>
                        </a:rPr>
                        <m:t> </m:t>
                      </m:r>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S</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y</m:t>
                      </m:r>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den>
                  </m:f>
                </m:oMath>
              </a14:m>
              <a:r>
                <a:rPr lang="en-US" sz="1000" b="0" i="0">
                  <a:solidFill>
                    <a:schemeClr val="tx1"/>
                  </a:solidFill>
                  <a:effectLst/>
                  <a:latin typeface="Cambria Math" panose="02040503050406030204" pitchFamily="18" charset="0"/>
                  <a:ea typeface="Cambria Math" panose="02040503050406030204" pitchFamily="18" charset="0"/>
                  <a:cs typeface="+mn-cs"/>
                </a:rPr>
                <a:t> * </a:t>
              </a:r>
              <a14:m>
                <m:oMath xmlns:m="http://schemas.openxmlformats.org/officeDocument/2006/math">
                  <m:f>
                    <m:fPr>
                      <m:ctrlPr>
                        <a:rPr lang="en-US" sz="1000" b="0" i="1">
                          <a:solidFill>
                            <a:schemeClr val="tx1"/>
                          </a:solidFill>
                          <a:effectLst/>
                          <a:latin typeface="Cambria Math" panose="02040503050406030204" pitchFamily="18" charset="0"/>
                          <a:ea typeface="Cambria Math" panose="02040503050406030204" pitchFamily="18" charset="0"/>
                          <a:cs typeface="+mn-cs"/>
                        </a:rPr>
                      </m:ctrlPr>
                    </m:fPr>
                    <m:num>
                      <m:r>
                        <a:rPr lang="en-US" sz="1000" b="0" i="1">
                          <a:solidFill>
                            <a:schemeClr val="tx1"/>
                          </a:solidFill>
                          <a:effectLst/>
                          <a:latin typeface="Cambria Math" panose="02040503050406030204" pitchFamily="18" charset="0"/>
                          <a:ea typeface="Cambria Math" panose="02040503050406030204" pitchFamily="18" charset="0"/>
                          <a:cs typeface="+mn-cs"/>
                        </a:rPr>
                        <m:t>𝑑</m:t>
                      </m:r>
                      <m:r>
                        <a:rPr lang="en-US" sz="1000" b="0" i="0">
                          <a:solidFill>
                            <a:schemeClr val="tx1"/>
                          </a:solidFill>
                          <a:effectLst/>
                          <a:latin typeface="Cambria Math" panose="02040503050406030204" pitchFamily="18" charset="0"/>
                          <a:ea typeface="Cambria Math" panose="02040503050406030204" pitchFamily="18" charset="0"/>
                          <a:cs typeface="+mn-cs"/>
                        </a:rPr>
                        <m:t> </m:t>
                      </m:r>
                      <m:r>
                        <a:rPr lang="en-US" sz="1000" b="0" i="0" baseline="0">
                          <a:solidFill>
                            <a:schemeClr val="tx1"/>
                          </a:solidFill>
                          <a:effectLst/>
                          <a:latin typeface="Cambria Math" panose="02040503050406030204" pitchFamily="18" charset="0"/>
                          <a:ea typeface="Cambria Math" panose="02040503050406030204" pitchFamily="18" charset="0"/>
                          <a:cs typeface="+mn-cs"/>
                        </a:rPr>
                        <m:t> </m:t>
                      </m:r>
                    </m:num>
                    <m:den>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S</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x</m:t>
                      </m:r>
                      <m:r>
                        <a:rPr lang="en-US" sz="1000" b="0" i="1" baseline="-25000">
                          <a:solidFill>
                            <a:schemeClr val="tx1"/>
                          </a:solidFill>
                          <a:effectLst/>
                          <a:latin typeface="Cambria Math" panose="02040503050406030204" pitchFamily="18" charset="0"/>
                          <a:ea typeface="Cambria Math" panose="02040503050406030204" pitchFamily="18" charset="0"/>
                          <a:cs typeface="+mn-cs"/>
                        </a:rPr>
                        <m:t> </m:t>
                      </m:r>
                      <m:r>
                        <a:rPr lang="en-US" sz="1000" b="0" i="1">
                          <a:solidFill>
                            <a:schemeClr val="tx1"/>
                          </a:solidFill>
                          <a:effectLst/>
                          <a:latin typeface="Cambria Math" panose="02040503050406030204" pitchFamily="18" charset="0"/>
                          <a:ea typeface="Cambria Math" panose="02040503050406030204" pitchFamily="18" charset="0"/>
                          <a:cs typeface="+mn-cs"/>
                        </a:rPr>
                        <m:t>+</m:t>
                      </m:r>
                      <m:r>
                        <a:rPr lang="en-US" sz="1000" b="0" i="1" baseline="0">
                          <a:solidFill>
                            <a:schemeClr val="tx1"/>
                          </a:solidFill>
                          <a:effectLst/>
                          <a:latin typeface="Cambria Math" panose="02040503050406030204" pitchFamily="18" charset="0"/>
                          <a:ea typeface="Cambria Math" panose="02040503050406030204" pitchFamily="18" charset="0"/>
                          <a:cs typeface="+mn-cs"/>
                        </a:rPr>
                        <m:t> </m:t>
                      </m:r>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S</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y</m:t>
                      </m:r>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den>
                  </m:f>
                </m:oMath>
              </a14:m>
              <a:endParaRPr lang="en-US" sz="1000" b="0" i="0">
                <a:latin typeface="Cambria Math" panose="02040503050406030204" pitchFamily="18" charset="0"/>
                <a:ea typeface="Cambria Math" panose="02040503050406030204" pitchFamily="18" charset="0"/>
              </a:endParaRPr>
            </a:p>
          </xdr:txBody>
        </xdr:sp>
      </mc:Choice>
      <mc:Fallback xmlns="">
        <xdr:sp macro="" textlink="">
          <xdr:nvSpPr>
            <xdr:cNvPr id="62" name="TextBox 61">
              <a:extLst>
                <a:ext uri="{FF2B5EF4-FFF2-40B4-BE49-F238E27FC236}">
                  <a16:creationId xmlns:a16="http://schemas.microsoft.com/office/drawing/2014/main" id="{944A77FA-1764-4B52-8048-84E85BDD8653}"/>
                </a:ext>
              </a:extLst>
            </xdr:cNvPr>
            <xdr:cNvSpPr txBox="1"/>
          </xdr:nvSpPr>
          <xdr:spPr>
            <a:xfrm>
              <a:off x="15524043" y="4762763"/>
              <a:ext cx="3742249" cy="3108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az-Cyrl-AZ" sz="1000" b="0" i="0">
                  <a:solidFill>
                    <a:schemeClr val="tx1"/>
                  </a:solidFill>
                  <a:effectLst/>
                  <a:latin typeface="Cambria Math" panose="02040503050406030204" pitchFamily="18" charset="0"/>
                  <a:ea typeface="Cambria Math" panose="02040503050406030204" pitchFamily="18" charset="0"/>
                  <a:cs typeface="+mn-cs"/>
                </a:rPr>
                <a:t>Ф</a:t>
              </a:r>
              <a:r>
                <a:rPr lang="en-US" sz="1000" b="0" i="0">
                  <a:solidFill>
                    <a:schemeClr val="tx1"/>
                  </a:solidFill>
                  <a:effectLst/>
                  <a:latin typeface="Cambria Math" panose="02040503050406030204" pitchFamily="18" charset="0"/>
                  <a:ea typeface="Cambria Math" panose="02040503050406030204" pitchFamily="18" charset="0"/>
                  <a:cs typeface="+mn-cs"/>
                </a:rPr>
                <a:t>𝑉</a:t>
              </a:r>
              <a:r>
                <a:rPr lang="en-US" sz="1000" b="0" i="0" baseline="-25000">
                  <a:solidFill>
                    <a:schemeClr val="tx1"/>
                  </a:solidFill>
                  <a:effectLst/>
                  <a:latin typeface="Cambria Math" panose="02040503050406030204" pitchFamily="18" charset="0"/>
                  <a:ea typeface="Cambria Math" panose="02040503050406030204" pitchFamily="18" charset="0"/>
                  <a:cs typeface="+mn-cs"/>
                </a:rPr>
                <a:t>S =   </a:t>
              </a:r>
              <a:r>
                <a:rPr lang="az-Cyrl-AZ" sz="1000" b="0" i="0">
                  <a:solidFill>
                    <a:schemeClr val="tx1"/>
                  </a:solidFill>
                  <a:effectLst/>
                  <a:latin typeface="Cambria Math" panose="02040503050406030204" pitchFamily="18" charset="0"/>
                  <a:ea typeface="Cambria Math" panose="02040503050406030204" pitchFamily="18" charset="0"/>
                  <a:cs typeface="+mn-cs"/>
                </a:rPr>
                <a:t>Ф</a:t>
              </a:r>
              <a:r>
                <a:rPr lang="en-US" sz="1000" b="0" i="0">
                  <a:solidFill>
                    <a:schemeClr val="tx1"/>
                  </a:solidFill>
                  <a:effectLst/>
                  <a:latin typeface="Cambria Math" panose="02040503050406030204" pitchFamily="18" charset="0"/>
                  <a:ea typeface="Cambria Math" panose="02040503050406030204" pitchFamily="18" charset="0"/>
                  <a:cs typeface="+mn-cs"/>
                </a:rPr>
                <a:t>A</a:t>
              </a:r>
              <a:r>
                <a:rPr lang="en-US" sz="1000" b="0" i="0" baseline="-25000">
                  <a:solidFill>
                    <a:schemeClr val="tx1"/>
                  </a:solidFill>
                  <a:effectLst/>
                  <a:latin typeface="Cambria Math" panose="02040503050406030204" pitchFamily="18" charset="0"/>
                  <a:ea typeface="Cambria Math" panose="02040503050406030204" pitchFamily="18" charset="0"/>
                  <a:cs typeface="+mn-cs"/>
                </a:rPr>
                <a:t>s provided  ∗ </a:t>
              </a:r>
              <a:r>
                <a:rPr lang="en-US" sz="1000" b="0" i="0">
                  <a:solidFill>
                    <a:schemeClr val="tx1"/>
                  </a:solidFill>
                  <a:effectLst/>
                  <a:latin typeface="Cambria Math" panose="02040503050406030204" pitchFamily="18" charset="0"/>
                  <a:ea typeface="Cambria Math" panose="02040503050406030204" pitchFamily="18" charset="0"/>
                  <a:cs typeface="+mn-cs"/>
                </a:rPr>
                <a:t>f</a:t>
              </a:r>
              <a:r>
                <a:rPr lang="en-US" sz="1000" b="0" i="0" baseline="-25000">
                  <a:solidFill>
                    <a:schemeClr val="tx1"/>
                  </a:solidFill>
                  <a:effectLst/>
                  <a:latin typeface="Cambria Math" panose="02040503050406030204" pitchFamily="18" charset="0"/>
                  <a:ea typeface="Cambria Math" panose="02040503050406030204" pitchFamily="18" charset="0"/>
                  <a:cs typeface="+mn-cs"/>
                </a:rPr>
                <a:t>y</a:t>
              </a:r>
              <a:r>
                <a:rPr lang="en-US" sz="1000" b="0" i="0" baseline="0">
                  <a:solidFill>
                    <a:schemeClr val="tx1"/>
                  </a:solidFill>
                  <a:effectLst/>
                  <a:latin typeface="Cambria Math" panose="02040503050406030204" pitchFamily="18" charset="0"/>
                  <a:ea typeface="Cambria Math" panose="02040503050406030204" pitchFamily="18" charset="0"/>
                  <a:cs typeface="+mn-cs"/>
                </a:rPr>
                <a:t> ∗b</a:t>
              </a:r>
              <a:r>
                <a:rPr lang="en-US" sz="1000" b="0" i="0" baseline="-25000">
                  <a:solidFill>
                    <a:schemeClr val="tx1"/>
                  </a:solidFill>
                  <a:effectLst/>
                  <a:latin typeface="Cambria Math" panose="02040503050406030204" pitchFamily="18" charset="0"/>
                  <a:ea typeface="Cambria Math" panose="02040503050406030204" pitchFamily="18" charset="0"/>
                  <a:cs typeface="+mn-cs"/>
                </a:rPr>
                <a:t>0</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 (X_ftg  </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X_ftg  + Y_ftg  )  ∗</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S</a:t>
              </a:r>
              <a:r>
                <a:rPr lang="en-US" sz="1000" b="0" i="0" baseline="-25000">
                  <a:solidFill>
                    <a:schemeClr val="tx1"/>
                  </a:solidFill>
                  <a:effectLst/>
                  <a:latin typeface="Cambria Math" panose="02040503050406030204" pitchFamily="18" charset="0"/>
                  <a:ea typeface="Cambria Math" panose="02040503050406030204" pitchFamily="18" charset="0"/>
                  <a:cs typeface="+mn-cs"/>
                </a:rPr>
                <a:t>x )</a:t>
              </a:r>
              <a:r>
                <a:rPr lang="en-US" sz="1000" b="0" i="0">
                  <a:latin typeface="Cambria Math" panose="02040503050406030204" pitchFamily="18" charset="0"/>
                  <a:ea typeface="Cambria Math" panose="02040503050406030204" pitchFamily="18" charset="0"/>
                </a:rPr>
                <a:t> * </a:t>
              </a:r>
              <a:r>
                <a:rPr lang="en-US" sz="1000" b="0" i="0">
                  <a:solidFill>
                    <a:schemeClr val="tx1"/>
                  </a:solidFill>
                  <a:effectLst/>
                  <a:latin typeface="Cambria Math" panose="02040503050406030204" pitchFamily="18" charset="0"/>
                  <a:ea typeface="Cambria Math" panose="02040503050406030204" pitchFamily="18" charset="0"/>
                  <a:cs typeface="+mn-cs"/>
                </a:rPr>
                <a:t>(Y_ftg  </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X_ftg  + Y_ftg</a:t>
              </a:r>
              <a:r>
                <a:rPr lang="en-US" sz="1000" b="0" i="0" baseline="-25000">
                  <a:solidFill>
                    <a:schemeClr val="tx1"/>
                  </a:solidFill>
                  <a:effectLst/>
                  <a:latin typeface="Cambria Math" panose="02040503050406030204" pitchFamily="18" charset="0"/>
                  <a:ea typeface="Cambria Math" panose="02040503050406030204" pitchFamily="18" charset="0"/>
                  <a:cs typeface="+mn-cs"/>
                </a:rPr>
                <a:t>  ) </a:t>
              </a:r>
              <a:r>
                <a:rPr lang="en-US" sz="1000" b="0" i="0">
                  <a:solidFill>
                    <a:schemeClr val="tx1"/>
                  </a:solidFill>
                  <a:effectLst/>
                  <a:latin typeface="Cambria Math" panose="02040503050406030204" pitchFamily="18" charset="0"/>
                  <a:ea typeface="Cambria Math" panose="02040503050406030204" pitchFamily="18" charset="0"/>
                  <a:cs typeface="+mn-cs"/>
                </a:rPr>
                <a:t> ∗</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S</a:t>
              </a:r>
              <a:r>
                <a:rPr lang="en-US" sz="1000" b="0" i="0" baseline="-25000">
                  <a:solidFill>
                    <a:schemeClr val="tx1"/>
                  </a:solidFill>
                  <a:effectLst/>
                  <a:latin typeface="Cambria Math" panose="02040503050406030204" pitchFamily="18" charset="0"/>
                  <a:ea typeface="Cambria Math" panose="02040503050406030204" pitchFamily="18" charset="0"/>
                  <a:cs typeface="+mn-cs"/>
                </a:rPr>
                <a:t>y )</a:t>
              </a:r>
              <a:r>
                <a:rPr lang="en-US" sz="1000" b="0" i="0">
                  <a:solidFill>
                    <a:schemeClr val="tx1"/>
                  </a:solidFill>
                  <a:effectLst/>
                  <a:latin typeface="Cambria Math" panose="02040503050406030204" pitchFamily="18" charset="0"/>
                  <a:ea typeface="Cambria Math" panose="02040503050406030204" pitchFamily="18" charset="0"/>
                  <a:cs typeface="+mn-cs"/>
                </a:rPr>
                <a:t> * (𝑑 </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S</a:t>
              </a:r>
              <a:r>
                <a:rPr lang="en-US" sz="1000" b="0" i="0" baseline="-25000">
                  <a:solidFill>
                    <a:schemeClr val="tx1"/>
                  </a:solidFill>
                  <a:effectLst/>
                  <a:latin typeface="Cambria Math" panose="02040503050406030204" pitchFamily="18" charset="0"/>
                  <a:ea typeface="Cambria Math" panose="02040503050406030204" pitchFamily="18" charset="0"/>
                  <a:cs typeface="+mn-cs"/>
                </a:rPr>
                <a:t>x </a:t>
              </a:r>
              <a:r>
                <a:rPr lang="en-US" sz="1000" b="0" i="0">
                  <a:solidFill>
                    <a:schemeClr val="tx1"/>
                  </a:solidFill>
                  <a:effectLst/>
                  <a:latin typeface="Cambria Math" panose="02040503050406030204" pitchFamily="18" charset="0"/>
                  <a:ea typeface="Cambria Math" panose="02040503050406030204" pitchFamily="18" charset="0"/>
                  <a:cs typeface="+mn-cs"/>
                </a:rPr>
                <a:t>+</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S</a:t>
              </a:r>
              <a:r>
                <a:rPr lang="en-US" sz="1000" b="0" i="0" baseline="-25000">
                  <a:solidFill>
                    <a:schemeClr val="tx1"/>
                  </a:solidFill>
                  <a:effectLst/>
                  <a:latin typeface="Cambria Math" panose="02040503050406030204" pitchFamily="18" charset="0"/>
                  <a:ea typeface="Cambria Math" panose="02040503050406030204" pitchFamily="18" charset="0"/>
                  <a:cs typeface="+mn-cs"/>
                </a:rPr>
                <a:t>y )</a:t>
              </a:r>
              <a:endParaRPr lang="en-US" sz="1000" b="0" i="0">
                <a:latin typeface="Cambria Math" panose="02040503050406030204" pitchFamily="18" charset="0"/>
                <a:ea typeface="Cambria Math" panose="02040503050406030204" pitchFamily="18" charset="0"/>
              </a:endParaRPr>
            </a:p>
          </xdr:txBody>
        </xdr:sp>
      </mc:Fallback>
    </mc:AlternateContent>
    <xdr:clientData/>
  </xdr:oneCellAnchor>
  <xdr:oneCellAnchor>
    <xdr:from>
      <xdr:col>26</xdr:col>
      <xdr:colOff>170794</xdr:colOff>
      <xdr:row>32</xdr:row>
      <xdr:rowOff>72259</xdr:rowOff>
    </xdr:from>
    <xdr:ext cx="1388305" cy="279513"/>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00000000-0008-0000-0100-00003F000000}"/>
                </a:ext>
              </a:extLst>
            </xdr:cNvPr>
            <xdr:cNvSpPr txBox="1"/>
          </xdr:nvSpPr>
          <xdr:spPr>
            <a:xfrm>
              <a:off x="15326974" y="6092059"/>
              <a:ext cx="1388305" cy="2795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n-US" sz="1000" b="0" i="0">
                      <a:latin typeface="Cambria Math" panose="02040503050406030204" pitchFamily="18" charset="0"/>
                      <a:ea typeface="Cambria Math" panose="02040503050406030204" pitchFamily="18" charset="0"/>
                    </a:rPr>
                    <m:t>DCR</m:t>
                  </m:r>
                  <m:r>
                    <m:rPr>
                      <m:sty m:val="p"/>
                    </m:rPr>
                    <a:rPr lang="en-US" sz="1000" b="0" i="0" baseline="-25000">
                      <a:latin typeface="Cambria Math" panose="02040503050406030204" pitchFamily="18" charset="0"/>
                      <a:ea typeface="Cambria Math" panose="02040503050406030204" pitchFamily="18" charset="0"/>
                    </a:rPr>
                    <m:t>Two</m:t>
                  </m:r>
                  <m:r>
                    <a:rPr lang="en-US" sz="1000" b="0" i="0" baseline="-25000">
                      <a:latin typeface="Cambria Math" panose="02040503050406030204" pitchFamily="18" charset="0"/>
                      <a:ea typeface="Cambria Math" panose="02040503050406030204" pitchFamily="18" charset="0"/>
                    </a:rPr>
                    <m:t>−</m:t>
                  </m:r>
                  <m:r>
                    <m:rPr>
                      <m:sty m:val="p"/>
                    </m:rPr>
                    <a:rPr lang="en-US" sz="1000" b="0" i="0" baseline="-25000">
                      <a:latin typeface="Cambria Math" panose="02040503050406030204" pitchFamily="18" charset="0"/>
                      <a:ea typeface="Cambria Math" panose="02040503050406030204" pitchFamily="18" charset="0"/>
                    </a:rPr>
                    <m:t>way</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shear</m:t>
                  </m:r>
                  <m:r>
                    <a:rPr lang="en-US" sz="1000" b="0" i="0">
                      <a:latin typeface="Cambria Math" panose="02040503050406030204" pitchFamily="18" charset="0"/>
                      <a:ea typeface="Cambria Math" panose="02040503050406030204" pitchFamily="18" charset="0"/>
                    </a:rPr>
                    <m:t>=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V</m:t>
                      </m:r>
                      <m:r>
                        <m:rPr>
                          <m:sty m:val="p"/>
                        </m:rPr>
                        <a:rPr lang="en-US" sz="1000" b="0" i="0" baseline="-25000">
                          <a:latin typeface="Cambria Math" panose="02040503050406030204" pitchFamily="18" charset="0"/>
                          <a:ea typeface="Cambria Math" panose="02040503050406030204" pitchFamily="18" charset="0"/>
                        </a:rPr>
                        <m:t>u</m:t>
                      </m:r>
                    </m:num>
                    <m:den>
                      <m:r>
                        <a:rPr lang="az-Cyrl-AZ" sz="1000" b="0" i="0">
                          <a:latin typeface="Cambria Math" panose="02040503050406030204" pitchFamily="18" charset="0"/>
                          <a:ea typeface="Cambria Math" panose="02040503050406030204" pitchFamily="18" charset="0"/>
                        </a:rPr>
                        <m:t>Ф</m:t>
                      </m:r>
                      <m:r>
                        <m:rPr>
                          <m:sty m:val="p"/>
                        </m:rPr>
                        <a:rPr lang="en-US" sz="1000" b="0" i="0">
                          <a:latin typeface="Cambria Math" panose="02040503050406030204" pitchFamily="18" charset="0"/>
                          <a:ea typeface="Cambria Math" panose="02040503050406030204" pitchFamily="18" charset="0"/>
                        </a:rPr>
                        <m:t>V</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n</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3" name="TextBox 62">
              <a:extLst>
                <a:ext uri="{FF2B5EF4-FFF2-40B4-BE49-F238E27FC236}">
                  <a16:creationId xmlns:a16="http://schemas.microsoft.com/office/drawing/2014/main" id="{4B3BB0C1-1BFF-44B7-86E9-0EE00D72C1DD}"/>
                </a:ext>
              </a:extLst>
            </xdr:cNvPr>
            <xdr:cNvSpPr txBox="1"/>
          </xdr:nvSpPr>
          <xdr:spPr>
            <a:xfrm>
              <a:off x="15326974" y="6092059"/>
              <a:ext cx="1388305" cy="2795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DCR</a:t>
              </a:r>
              <a:r>
                <a:rPr lang="en-US" sz="1000" b="0" i="0" baseline="-25000">
                  <a:latin typeface="Cambria Math" panose="02040503050406030204" pitchFamily="18" charset="0"/>
                  <a:ea typeface="Cambria Math" panose="02040503050406030204" pitchFamily="18" charset="0"/>
                </a:rPr>
                <a:t>Two−way shear</a:t>
              </a:r>
              <a:r>
                <a:rPr lang="en-US" sz="1000" b="0" i="0">
                  <a:latin typeface="Cambria Math" panose="02040503050406030204" pitchFamily="18" charset="0"/>
                  <a:ea typeface="Cambria Math" panose="02040503050406030204" pitchFamily="18" charset="0"/>
                </a:rPr>
                <a:t>=    V</a:t>
              </a:r>
              <a:r>
                <a:rPr lang="en-US" sz="1000" b="0" i="0" baseline="-25000">
                  <a:latin typeface="Cambria Math" panose="02040503050406030204" pitchFamily="18" charset="0"/>
                  <a:ea typeface="Cambria Math" panose="02040503050406030204" pitchFamily="18" charset="0"/>
                </a:rPr>
                <a:t>u/</a:t>
              </a:r>
              <a:r>
                <a:rPr lang="az-Cyrl-AZ" sz="1000" b="0" i="0">
                  <a:latin typeface="Cambria Math" panose="02040503050406030204" pitchFamily="18" charset="0"/>
                  <a:ea typeface="Cambria Math" panose="02040503050406030204" pitchFamily="18" charset="0"/>
                </a:rPr>
                <a:t>Ф</a:t>
              </a:r>
              <a:r>
                <a:rPr lang="en-US" sz="1000" b="0" i="0">
                  <a:latin typeface="Cambria Math" panose="02040503050406030204" pitchFamily="18" charset="0"/>
                  <a:ea typeface="Cambria Math" panose="02040503050406030204" pitchFamily="18" charset="0"/>
                </a:rPr>
                <a:t>V</a:t>
              </a:r>
              <a:r>
                <a:rPr lang="en-US" sz="1000" b="0" i="0" baseline="-25000">
                  <a:solidFill>
                    <a:schemeClr val="tx1"/>
                  </a:solidFill>
                  <a:effectLst/>
                  <a:latin typeface="Cambria Math" panose="02040503050406030204" pitchFamily="18" charset="0"/>
                  <a:ea typeface="Cambria Math" panose="02040503050406030204" pitchFamily="18" charset="0"/>
                  <a:cs typeface="+mn-cs"/>
                </a:rPr>
                <a:t>n</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38</xdr:col>
      <xdr:colOff>440120</xdr:colOff>
      <xdr:row>11</xdr:row>
      <xdr:rowOff>65690</xdr:rowOff>
    </xdr:from>
    <xdr:ext cx="896208" cy="284303"/>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00000000-0008-0000-0100-000040000000}"/>
                </a:ext>
              </a:extLst>
            </xdr:cNvPr>
            <xdr:cNvSpPr txBox="1"/>
          </xdr:nvSpPr>
          <xdr:spPr>
            <a:xfrm>
              <a:off x="22553360" y="2107850"/>
              <a:ext cx="896208" cy="2843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l-GR" sz="1000" b="0" i="0" baseline="0">
                      <a:latin typeface="Cambria Math" panose="02040503050406030204" pitchFamily="18" charset="0"/>
                      <a:ea typeface="Cambria Math" panose="02040503050406030204" pitchFamily="18" charset="0"/>
                    </a:rPr>
                    <m:t>ρ</m:t>
                  </m:r>
                  <m:r>
                    <m:rPr>
                      <m:sty m:val="p"/>
                    </m:rPr>
                    <a:rPr lang="en-US" sz="1000" b="0" i="0" baseline="-25000">
                      <a:latin typeface="Cambria Math" panose="02040503050406030204" pitchFamily="18" charset="0"/>
                      <a:ea typeface="Cambria Math" panose="02040503050406030204" pitchFamily="18" charset="0"/>
                    </a:rPr>
                    <m:t>X</m:t>
                  </m:r>
                  <m:r>
                    <a:rPr lang="en-US" sz="1000" b="0" i="0" baseline="-25000">
                      <a:latin typeface="Cambria Math" panose="02040503050406030204" pitchFamily="18" charset="0"/>
                      <a:ea typeface="Cambria Math" panose="02040503050406030204" pitchFamily="18" charset="0"/>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A</m:t>
                      </m:r>
                      <m:r>
                        <m:rPr>
                          <m:sty m:val="p"/>
                        </m:rPr>
                        <a:rPr lang="en-US" sz="1000" b="0" i="0" baseline="-25000">
                          <a:latin typeface="Cambria Math" panose="02040503050406030204" pitchFamily="18" charset="0"/>
                          <a:ea typeface="Cambria Math" panose="02040503050406030204" pitchFamily="18" charset="0"/>
                        </a:rPr>
                        <m:t>s</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provided</m:t>
                      </m:r>
                    </m:num>
                    <m:den>
                      <m:r>
                        <m:rPr>
                          <m:sty m:val="p"/>
                        </m:rPr>
                        <a:rPr lang="en-US" sz="1000" b="0" i="0">
                          <a:latin typeface="Cambria Math" panose="02040503050406030204" pitchFamily="18" charset="0"/>
                          <a:ea typeface="Cambria Math" panose="02040503050406030204" pitchFamily="18" charset="0"/>
                        </a:rPr>
                        <m:t>Y</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ftg</m:t>
                      </m:r>
                      <m:r>
                        <a:rPr lang="en-US" sz="1000" b="0" i="0" baseline="0">
                          <a:solidFill>
                            <a:schemeClr val="tx1"/>
                          </a:solidFill>
                          <a:effectLst/>
                          <a:latin typeface="Cambria Math" panose="02040503050406030204" pitchFamily="18" charset="0"/>
                          <a:ea typeface="Cambria Math" panose="02040503050406030204" pitchFamily="18" charset="0"/>
                          <a:cs typeface="+mn-cs"/>
                        </a:rPr>
                        <m:t> ∗ </m:t>
                      </m:r>
                      <m:r>
                        <m:rPr>
                          <m:sty m:val="p"/>
                        </m:rPr>
                        <a:rPr lang="en-US" sz="1000" b="0" i="0" baseline="0">
                          <a:solidFill>
                            <a:schemeClr val="tx1"/>
                          </a:solidFill>
                          <a:effectLst/>
                          <a:latin typeface="Cambria Math" panose="02040503050406030204" pitchFamily="18" charset="0"/>
                          <a:ea typeface="Cambria Math" panose="02040503050406030204" pitchFamily="18" charset="0"/>
                          <a:cs typeface="+mn-cs"/>
                        </a:rPr>
                        <m:t>d</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4" name="TextBox 63">
              <a:extLst>
                <a:ext uri="{FF2B5EF4-FFF2-40B4-BE49-F238E27FC236}">
                  <a16:creationId xmlns:a16="http://schemas.microsoft.com/office/drawing/2014/main" id="{3198E744-2A6F-45DC-90F1-3E5A019A34A1}"/>
                </a:ext>
              </a:extLst>
            </xdr:cNvPr>
            <xdr:cNvSpPr txBox="1"/>
          </xdr:nvSpPr>
          <xdr:spPr>
            <a:xfrm>
              <a:off x="22553360" y="2107850"/>
              <a:ext cx="896208" cy="2843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l-GR" sz="1000" b="0" i="0" baseline="0">
                  <a:latin typeface="Cambria Math" panose="02040503050406030204" pitchFamily="18" charset="0"/>
                  <a:ea typeface="Cambria Math" panose="02040503050406030204" pitchFamily="18" charset="0"/>
                </a:rPr>
                <a:t>ρ</a:t>
              </a:r>
              <a:r>
                <a:rPr lang="en-US" sz="1000" b="0" i="0" baseline="-25000">
                  <a:latin typeface="Cambria Math" panose="02040503050406030204" pitchFamily="18" charset="0"/>
                  <a:ea typeface="Cambria Math" panose="02040503050406030204" pitchFamily="18" charset="0"/>
                </a:rPr>
                <a:t>X =   </a:t>
              </a:r>
              <a:r>
                <a:rPr lang="en-US" sz="1000" b="0" i="0">
                  <a:latin typeface="Cambria Math" panose="02040503050406030204" pitchFamily="18" charset="0"/>
                  <a:ea typeface="Cambria Math" panose="02040503050406030204" pitchFamily="18" charset="0"/>
                </a:rPr>
                <a:t> (A</a:t>
              </a:r>
              <a:r>
                <a:rPr lang="en-US" sz="1000" b="0" i="0" baseline="-25000">
                  <a:latin typeface="Cambria Math" panose="02040503050406030204" pitchFamily="18" charset="0"/>
                  <a:ea typeface="Cambria Math" panose="02040503050406030204" pitchFamily="18" charset="0"/>
                </a:rPr>
                <a:t>s provided)/(</a:t>
              </a:r>
              <a:r>
                <a:rPr lang="en-US" sz="1000" b="0" i="0">
                  <a:latin typeface="Cambria Math" panose="02040503050406030204" pitchFamily="18" charset="0"/>
                  <a:ea typeface="Cambria Math" panose="02040503050406030204" pitchFamily="18" charset="0"/>
                </a:rPr>
                <a:t>Y</a:t>
              </a:r>
              <a:r>
                <a:rPr lang="en-US" sz="1000" b="0" i="0" baseline="-25000">
                  <a:solidFill>
                    <a:schemeClr val="tx1"/>
                  </a:solidFill>
                  <a:effectLst/>
                  <a:latin typeface="Cambria Math" panose="02040503050406030204" pitchFamily="18" charset="0"/>
                  <a:ea typeface="Cambria Math" panose="02040503050406030204" pitchFamily="18" charset="0"/>
                  <a:cs typeface="+mn-cs"/>
                </a:rPr>
                <a:t>ftg</a:t>
              </a:r>
              <a:r>
                <a:rPr lang="en-US" sz="1000" b="0" i="0" baseline="0">
                  <a:solidFill>
                    <a:schemeClr val="tx1"/>
                  </a:solidFill>
                  <a:effectLst/>
                  <a:latin typeface="Cambria Math" panose="02040503050406030204" pitchFamily="18" charset="0"/>
                  <a:ea typeface="Cambria Math" panose="02040503050406030204" pitchFamily="18" charset="0"/>
                  <a:cs typeface="+mn-cs"/>
                </a:rPr>
                <a:t> ∗ d)</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44</xdr:col>
      <xdr:colOff>420414</xdr:colOff>
      <xdr:row>11</xdr:row>
      <xdr:rowOff>72259</xdr:rowOff>
    </xdr:from>
    <xdr:ext cx="993614" cy="31670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00000000-0008-0000-0100-000041000000}"/>
                </a:ext>
              </a:extLst>
            </xdr:cNvPr>
            <xdr:cNvSpPr txBox="1"/>
          </xdr:nvSpPr>
          <xdr:spPr>
            <a:xfrm>
              <a:off x="25650234" y="2114419"/>
              <a:ext cx="993614" cy="3167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l-GR" sz="1000" b="0" i="0">
                      <a:latin typeface="Cambria Math" panose="02040503050406030204" pitchFamily="18" charset="0"/>
                      <a:ea typeface="Cambria Math" panose="02040503050406030204" pitchFamily="18" charset="0"/>
                    </a:rPr>
                    <m:t>ρ</m:t>
                  </m:r>
                  <m:r>
                    <m:rPr>
                      <m:sty m:val="p"/>
                    </m:rPr>
                    <a:rPr lang="en-US" sz="1000" b="0" i="0" baseline="-25000">
                      <a:latin typeface="Cambria Math" panose="02040503050406030204" pitchFamily="18" charset="0"/>
                      <a:ea typeface="Cambria Math" panose="02040503050406030204" pitchFamily="18" charset="0"/>
                    </a:rPr>
                    <m:t>Y</m:t>
                  </m:r>
                  <m:r>
                    <a:rPr lang="en-US" sz="1000" b="0" i="0" baseline="-25000">
                      <a:latin typeface="Cambria Math" panose="02040503050406030204" pitchFamily="18" charset="0"/>
                      <a:ea typeface="Cambria Math" panose="02040503050406030204" pitchFamily="18" charset="0"/>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A</m:t>
                      </m:r>
                      <m:r>
                        <m:rPr>
                          <m:sty m:val="p"/>
                        </m:rPr>
                        <a:rPr lang="en-US" sz="1000" b="0" i="0" baseline="-25000">
                          <a:latin typeface="Cambria Math" panose="02040503050406030204" pitchFamily="18" charset="0"/>
                          <a:ea typeface="Cambria Math" panose="02040503050406030204" pitchFamily="18" charset="0"/>
                        </a:rPr>
                        <m:t>s</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provided</m:t>
                      </m:r>
                    </m:num>
                    <m:den>
                      <m:r>
                        <m:rPr>
                          <m:sty m:val="p"/>
                        </m:rPr>
                        <a:rPr lang="en-US" sz="1000" b="0" i="0">
                          <a:latin typeface="Cambria Math" panose="02040503050406030204" pitchFamily="18" charset="0"/>
                          <a:ea typeface="Cambria Math" panose="02040503050406030204" pitchFamily="18" charset="0"/>
                        </a:rPr>
                        <m:t>X</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ftg</m:t>
                      </m:r>
                      <m:r>
                        <a:rPr lang="en-US" sz="1000" b="0" i="1" baseline="0">
                          <a:solidFill>
                            <a:schemeClr val="tx1"/>
                          </a:solidFill>
                          <a:effectLst/>
                          <a:latin typeface="Cambria Math" panose="02040503050406030204" pitchFamily="18" charset="0"/>
                          <a:ea typeface="Cambria Math" panose="02040503050406030204" pitchFamily="18" charset="0"/>
                          <a:cs typeface="+mn-cs"/>
                        </a:rPr>
                        <m:t> ∗ </m:t>
                      </m:r>
                      <m:r>
                        <a:rPr lang="en-US" sz="1000" b="0" i="1" baseline="0">
                          <a:solidFill>
                            <a:schemeClr val="tx1"/>
                          </a:solidFill>
                          <a:effectLst/>
                          <a:latin typeface="Cambria Math" panose="02040503050406030204" pitchFamily="18" charset="0"/>
                          <a:ea typeface="Cambria Math" panose="02040503050406030204" pitchFamily="18" charset="0"/>
                          <a:cs typeface="+mn-cs"/>
                        </a:rPr>
                        <m:t>𝑑</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5" name="TextBox 64">
              <a:extLst>
                <a:ext uri="{FF2B5EF4-FFF2-40B4-BE49-F238E27FC236}">
                  <a16:creationId xmlns:a16="http://schemas.microsoft.com/office/drawing/2014/main" id="{ADF7E7DB-439C-4410-BC03-B1AB1456AFF2}"/>
                </a:ext>
              </a:extLst>
            </xdr:cNvPr>
            <xdr:cNvSpPr txBox="1"/>
          </xdr:nvSpPr>
          <xdr:spPr>
            <a:xfrm>
              <a:off x="25650234" y="2114419"/>
              <a:ext cx="993614" cy="3167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l-GR" sz="1000" b="0" i="0">
                  <a:latin typeface="Cambria Math" panose="02040503050406030204" pitchFamily="18" charset="0"/>
                  <a:ea typeface="Cambria Math" panose="02040503050406030204" pitchFamily="18" charset="0"/>
                </a:rPr>
                <a:t>ρ</a:t>
              </a:r>
              <a:r>
                <a:rPr lang="en-US" sz="1000" b="0" i="0" baseline="-25000">
                  <a:latin typeface="Cambria Math" panose="02040503050406030204" pitchFamily="18" charset="0"/>
                  <a:ea typeface="Cambria Math" panose="02040503050406030204" pitchFamily="18" charset="0"/>
                </a:rPr>
                <a:t>Y =   </a:t>
              </a:r>
              <a:r>
                <a:rPr lang="en-US" sz="1000" b="0" i="0">
                  <a:latin typeface="Cambria Math" panose="02040503050406030204" pitchFamily="18" charset="0"/>
                  <a:ea typeface="Cambria Math" panose="02040503050406030204" pitchFamily="18" charset="0"/>
                </a:rPr>
                <a:t> (A</a:t>
              </a:r>
              <a:r>
                <a:rPr lang="en-US" sz="1000" b="0" i="0" baseline="-25000">
                  <a:latin typeface="Cambria Math" panose="02040503050406030204" pitchFamily="18" charset="0"/>
                  <a:ea typeface="Cambria Math" panose="02040503050406030204" pitchFamily="18" charset="0"/>
                </a:rPr>
                <a:t>s provided)/(</a:t>
              </a:r>
              <a:r>
                <a:rPr lang="en-US" sz="1000" b="0" i="0">
                  <a:latin typeface="Cambria Math" panose="02040503050406030204" pitchFamily="18" charset="0"/>
                  <a:ea typeface="Cambria Math" panose="02040503050406030204" pitchFamily="18" charset="0"/>
                </a:rPr>
                <a:t>X</a:t>
              </a:r>
              <a:r>
                <a:rPr lang="en-US" sz="1000" b="0" i="0" baseline="-25000">
                  <a:solidFill>
                    <a:schemeClr val="tx1"/>
                  </a:solidFill>
                  <a:effectLst/>
                  <a:latin typeface="Cambria Math" panose="02040503050406030204" pitchFamily="18" charset="0"/>
                  <a:ea typeface="Cambria Math" panose="02040503050406030204" pitchFamily="18" charset="0"/>
                  <a:cs typeface="+mn-cs"/>
                </a:rPr>
                <a:t>ftg</a:t>
              </a:r>
              <a:r>
                <a:rPr lang="en-US" sz="1000" b="0" i="0" baseline="0">
                  <a:solidFill>
                    <a:schemeClr val="tx1"/>
                  </a:solidFill>
                  <a:effectLst/>
                  <a:latin typeface="Cambria Math" panose="02040503050406030204" pitchFamily="18" charset="0"/>
                  <a:ea typeface="Cambria Math" panose="02040503050406030204" pitchFamily="18" charset="0"/>
                  <a:cs typeface="+mn-cs"/>
                </a:rPr>
                <a:t> ∗ 𝑑)</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38</xdr:col>
      <xdr:colOff>254284</xdr:colOff>
      <xdr:row>18</xdr:row>
      <xdr:rowOff>56362</xdr:rowOff>
    </xdr:from>
    <xdr:ext cx="1202179" cy="366310"/>
    <mc:AlternateContent xmlns:mc="http://schemas.openxmlformats.org/markup-compatibility/2006" xmlns:a14="http://schemas.microsoft.com/office/drawing/2010/main">
      <mc:Choice Requires="a14">
        <xdr:sp macro="" textlink="">
          <xdr:nvSpPr>
            <xdr:cNvPr id="66" name="TextBox 65">
              <a:extLst>
                <a:ext uri="{FF2B5EF4-FFF2-40B4-BE49-F238E27FC236}">
                  <a16:creationId xmlns:a16="http://schemas.microsoft.com/office/drawing/2014/main" id="{00000000-0008-0000-0100-000042000000}"/>
                </a:ext>
              </a:extLst>
            </xdr:cNvPr>
            <xdr:cNvSpPr txBox="1"/>
          </xdr:nvSpPr>
          <xdr:spPr>
            <a:xfrm>
              <a:off x="22367524" y="3508222"/>
              <a:ext cx="1202179" cy="366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a:rPr lang="en-US" sz="1000" b="0" i="1">
                      <a:solidFill>
                        <a:schemeClr val="tx1"/>
                      </a:solidFill>
                      <a:effectLst/>
                      <a:latin typeface="Cambria Math" panose="02040503050406030204" pitchFamily="18" charset="0"/>
                      <a:ea typeface="Cambria Math" panose="02040503050406030204" pitchFamily="18" charset="0"/>
                      <a:cs typeface="+mn-cs"/>
                    </a:rPr>
                    <m:t>𝑉</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S</m:t>
                  </m:r>
                  <m:r>
                    <a:rPr lang="en-US" sz="1000" b="0" i="0" baseline="-25000">
                      <a:solidFill>
                        <a:schemeClr val="tx1"/>
                      </a:solidFill>
                      <a:effectLst/>
                      <a:latin typeface="Cambria Math" panose="02040503050406030204" pitchFamily="18" charset="0"/>
                      <a:ea typeface="Cambria Math" panose="02040503050406030204" pitchFamily="18" charset="0"/>
                      <a:cs typeface="+mn-cs"/>
                    </a:rPr>
                    <m:t>−</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x</m:t>
                  </m:r>
                  <m:r>
                    <a:rPr lang="en-US" sz="1000" b="0" i="0" baseline="-25000">
                      <a:solidFill>
                        <a:schemeClr val="tx1"/>
                      </a:solidFill>
                      <a:effectLst/>
                      <a:latin typeface="Cambria Math" panose="02040503050406030204" pitchFamily="18" charset="0"/>
                      <a:ea typeface="Cambria Math" panose="02040503050406030204" pitchFamily="18" charset="0"/>
                      <a:cs typeface="+mn-cs"/>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A</m:t>
                      </m:r>
                      <m:r>
                        <m:rPr>
                          <m:sty m:val="p"/>
                        </m:rPr>
                        <a:rPr lang="en-US" sz="1000" b="0" i="0" baseline="-25000">
                          <a:latin typeface="Cambria Math" panose="02040503050406030204" pitchFamily="18" charset="0"/>
                          <a:ea typeface="Cambria Math" panose="02040503050406030204" pitchFamily="18" charset="0"/>
                        </a:rPr>
                        <m:t>s</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provided</m:t>
                      </m:r>
                      <m:r>
                        <a:rPr lang="en-US" sz="1000" b="0" i="0" baseline="-25000">
                          <a:latin typeface="Cambria Math" panose="02040503050406030204" pitchFamily="18" charset="0"/>
                          <a:ea typeface="Cambria Math" panose="02040503050406030204" pitchFamily="18" charset="0"/>
                        </a:rPr>
                        <m:t>  ∗  </m:t>
                      </m:r>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y</m:t>
                      </m:r>
                      <m:r>
                        <a:rPr lang="en-US" sz="1000" b="0" i="0">
                          <a:solidFill>
                            <a:schemeClr val="tx1"/>
                          </a:solidFill>
                          <a:effectLst/>
                          <a:latin typeface="Cambria Math" panose="02040503050406030204" pitchFamily="18" charset="0"/>
                          <a:ea typeface="Cambria Math" panose="02040503050406030204" pitchFamily="18" charset="0"/>
                          <a:cs typeface="+mn-cs"/>
                        </a:rPr>
                        <m:t> ∗ </m:t>
                      </m:r>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d</m:t>
                      </m:r>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num>
                    <m:den>
                      <m:r>
                        <m:rPr>
                          <m:sty m:val="p"/>
                        </m:rPr>
                        <a:rPr lang="en-US" sz="1000" b="0" i="0">
                          <a:latin typeface="Cambria Math" panose="02040503050406030204" pitchFamily="18" charset="0"/>
                          <a:ea typeface="Cambria Math" panose="02040503050406030204" pitchFamily="18" charset="0"/>
                        </a:rPr>
                        <m:t>S</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x</m:t>
                      </m:r>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6" name="TextBox 65">
              <a:extLst>
                <a:ext uri="{FF2B5EF4-FFF2-40B4-BE49-F238E27FC236}">
                  <a16:creationId xmlns:a16="http://schemas.microsoft.com/office/drawing/2014/main" id="{4D98146C-872F-4D42-903A-A1FDCC5EABC0}"/>
                </a:ext>
              </a:extLst>
            </xdr:cNvPr>
            <xdr:cNvSpPr txBox="1"/>
          </xdr:nvSpPr>
          <xdr:spPr>
            <a:xfrm>
              <a:off x="22367524" y="3508222"/>
              <a:ext cx="1202179" cy="366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solidFill>
                    <a:schemeClr val="tx1"/>
                  </a:solidFill>
                  <a:effectLst/>
                  <a:latin typeface="Cambria Math" panose="02040503050406030204" pitchFamily="18" charset="0"/>
                  <a:ea typeface="Cambria Math" panose="02040503050406030204" pitchFamily="18" charset="0"/>
                  <a:cs typeface="+mn-cs"/>
                </a:rPr>
                <a:t>𝑉</a:t>
              </a:r>
              <a:r>
                <a:rPr lang="en-US" sz="1000" b="0" i="0" baseline="-25000">
                  <a:solidFill>
                    <a:schemeClr val="tx1"/>
                  </a:solidFill>
                  <a:effectLst/>
                  <a:latin typeface="Cambria Math" panose="02040503050406030204" pitchFamily="18" charset="0"/>
                  <a:ea typeface="Cambria Math" panose="02040503050406030204" pitchFamily="18" charset="0"/>
                  <a:cs typeface="+mn-cs"/>
                </a:rPr>
                <a:t>S−x =   </a:t>
              </a:r>
              <a:r>
                <a:rPr lang="en-US" sz="1000" b="0" i="0">
                  <a:latin typeface="Cambria Math" panose="02040503050406030204" pitchFamily="18" charset="0"/>
                  <a:ea typeface="Cambria Math" panose="02040503050406030204" pitchFamily="18" charset="0"/>
                </a:rPr>
                <a:t> (A</a:t>
              </a:r>
              <a:r>
                <a:rPr lang="en-US" sz="1000" b="0" i="0" baseline="-25000">
                  <a:latin typeface="Cambria Math" panose="02040503050406030204" pitchFamily="18" charset="0"/>
                  <a:ea typeface="Cambria Math" panose="02040503050406030204" pitchFamily="18" charset="0"/>
                </a:rPr>
                <a:t>s provided  ∗  </a:t>
              </a:r>
              <a:r>
                <a:rPr lang="en-US" sz="1000" b="0" i="0">
                  <a:solidFill>
                    <a:schemeClr val="tx1"/>
                  </a:solidFill>
                  <a:effectLst/>
                  <a:latin typeface="Cambria Math" panose="02040503050406030204" pitchFamily="18" charset="0"/>
                  <a:ea typeface="Cambria Math" panose="02040503050406030204" pitchFamily="18" charset="0"/>
                  <a:cs typeface="+mn-cs"/>
                </a:rPr>
                <a:t>f</a:t>
              </a:r>
              <a:r>
                <a:rPr lang="en-US" sz="1000" b="0" i="0" baseline="-25000">
                  <a:solidFill>
                    <a:schemeClr val="tx1"/>
                  </a:solidFill>
                  <a:effectLst/>
                  <a:latin typeface="Cambria Math" panose="02040503050406030204" pitchFamily="18" charset="0"/>
                  <a:ea typeface="Cambria Math" panose="02040503050406030204" pitchFamily="18" charset="0"/>
                  <a:cs typeface="+mn-cs"/>
                </a:rPr>
                <a:t>y</a:t>
              </a:r>
              <a:r>
                <a:rPr lang="en-US" sz="1000" b="0" i="0">
                  <a:solidFill>
                    <a:schemeClr val="tx1"/>
                  </a:solidFill>
                  <a:effectLst/>
                  <a:latin typeface="Cambria Math" panose="02040503050406030204" pitchFamily="18" charset="0"/>
                  <a:ea typeface="Cambria Math" panose="02040503050406030204" pitchFamily="18" charset="0"/>
                  <a:cs typeface="+mn-cs"/>
                </a:rPr>
                <a:t> ∗ d</a:t>
              </a:r>
              <a:r>
                <a:rPr lang="en-US" sz="1000" b="0" i="0" baseline="-25000">
                  <a:solidFill>
                    <a:schemeClr val="tx1"/>
                  </a:solidFill>
                  <a:effectLst/>
                  <a:latin typeface="Cambria Math" panose="02040503050406030204" pitchFamily="18" charset="0"/>
                  <a:ea typeface="Cambria Math" panose="02040503050406030204" pitchFamily="18" charset="0"/>
                  <a:cs typeface="+mn-cs"/>
                </a:rPr>
                <a:t> )/(</a:t>
              </a:r>
              <a:r>
                <a:rPr lang="en-US" sz="1000" b="0" i="0">
                  <a:latin typeface="Cambria Math" panose="02040503050406030204" pitchFamily="18" charset="0"/>
                  <a:ea typeface="Cambria Math" panose="02040503050406030204" pitchFamily="18" charset="0"/>
                </a:rPr>
                <a:t>S</a:t>
              </a:r>
              <a:r>
                <a:rPr lang="en-US" sz="1000" b="0" i="0" baseline="-25000">
                  <a:solidFill>
                    <a:schemeClr val="tx1"/>
                  </a:solidFill>
                  <a:effectLst/>
                  <a:latin typeface="Cambria Math" panose="02040503050406030204" pitchFamily="18" charset="0"/>
                  <a:ea typeface="Cambria Math" panose="02040503050406030204" pitchFamily="18" charset="0"/>
                  <a:cs typeface="+mn-cs"/>
                </a:rPr>
                <a:t>x )</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44</xdr:col>
      <xdr:colOff>250475</xdr:colOff>
      <xdr:row>18</xdr:row>
      <xdr:rowOff>39414</xdr:rowOff>
    </xdr:from>
    <xdr:ext cx="1523682" cy="353492"/>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00000000-0008-0000-0100-000043000000}"/>
                </a:ext>
              </a:extLst>
            </xdr:cNvPr>
            <xdr:cNvSpPr txBox="1"/>
          </xdr:nvSpPr>
          <xdr:spPr>
            <a:xfrm>
              <a:off x="25480295" y="3491274"/>
              <a:ext cx="1523682" cy="353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a:rPr lang="en-US" sz="1000" b="0" i="1">
                      <a:solidFill>
                        <a:schemeClr val="tx1"/>
                      </a:solidFill>
                      <a:effectLst/>
                      <a:latin typeface="Cambria Math" panose="02040503050406030204" pitchFamily="18" charset="0"/>
                      <a:ea typeface="Cambria Math" panose="02040503050406030204" pitchFamily="18" charset="0"/>
                      <a:cs typeface="+mn-cs"/>
                    </a:rPr>
                    <m:t>𝑉</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S</m:t>
                  </m:r>
                  <m:r>
                    <a:rPr lang="en-US" sz="1000" b="0" i="0" baseline="-25000">
                      <a:solidFill>
                        <a:schemeClr val="tx1"/>
                      </a:solidFill>
                      <a:effectLst/>
                      <a:latin typeface="Cambria Math" panose="02040503050406030204" pitchFamily="18" charset="0"/>
                      <a:ea typeface="Cambria Math" panose="02040503050406030204" pitchFamily="18" charset="0"/>
                      <a:cs typeface="+mn-cs"/>
                    </a:rPr>
                    <m:t>−</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y</m:t>
                  </m:r>
                  <m:r>
                    <a:rPr lang="en-US" sz="1000" b="0" i="0" baseline="-25000">
                      <a:solidFill>
                        <a:schemeClr val="tx1"/>
                      </a:solidFill>
                      <a:effectLst/>
                      <a:latin typeface="Cambria Math" panose="02040503050406030204" pitchFamily="18" charset="0"/>
                      <a:ea typeface="Cambria Math" panose="02040503050406030204" pitchFamily="18" charset="0"/>
                      <a:cs typeface="+mn-cs"/>
                    </a:rPr>
                    <m:t> =   </m:t>
                  </m:r>
                  <m:f>
                    <m:fPr>
                      <m:ctrlPr>
                        <a:rPr lang="en-US" sz="1000" b="0" i="1">
                          <a:latin typeface="Cambria Math" panose="02040503050406030204" pitchFamily="18" charset="0"/>
                          <a:ea typeface="Cambria Math" panose="02040503050406030204" pitchFamily="18" charset="0"/>
                        </a:rPr>
                      </m:ctrlPr>
                    </m:fPr>
                    <m:num>
                      <m:r>
                        <m:rPr>
                          <m:sty m:val="p"/>
                        </m:rPr>
                        <a:rPr lang="en-US" sz="1100" b="0" i="0">
                          <a:solidFill>
                            <a:schemeClr val="tx1"/>
                          </a:solidFill>
                          <a:effectLst/>
                          <a:latin typeface="Cambria Math" panose="02040503050406030204" pitchFamily="18" charset="0"/>
                          <a:ea typeface="+mn-ea"/>
                          <a:cs typeface="+mn-cs"/>
                        </a:rPr>
                        <m:t>A</m:t>
                      </m:r>
                      <m:r>
                        <m:rPr>
                          <m:sty m:val="p"/>
                        </m:rPr>
                        <a:rPr lang="en-US" sz="1100" b="0" i="0" baseline="-25000">
                          <a:solidFill>
                            <a:schemeClr val="tx1"/>
                          </a:solidFill>
                          <a:effectLst/>
                          <a:latin typeface="Cambria Math" panose="02040503050406030204" pitchFamily="18" charset="0"/>
                          <a:ea typeface="+mn-ea"/>
                          <a:cs typeface="+mn-cs"/>
                        </a:rPr>
                        <m:t>s</m:t>
                      </m:r>
                      <m:r>
                        <a:rPr lang="en-US" sz="1100" b="0" i="0" baseline="-25000">
                          <a:solidFill>
                            <a:schemeClr val="tx1"/>
                          </a:solidFill>
                          <a:effectLst/>
                          <a:latin typeface="Cambria Math" panose="02040503050406030204" pitchFamily="18" charset="0"/>
                          <a:ea typeface="+mn-ea"/>
                          <a:cs typeface="+mn-cs"/>
                        </a:rPr>
                        <m:t> </m:t>
                      </m:r>
                      <m:r>
                        <m:rPr>
                          <m:sty m:val="p"/>
                        </m:rPr>
                        <a:rPr lang="en-US" sz="1100" b="0" i="0" baseline="-25000">
                          <a:solidFill>
                            <a:schemeClr val="tx1"/>
                          </a:solidFill>
                          <a:effectLst/>
                          <a:latin typeface="Cambria Math" panose="02040503050406030204" pitchFamily="18" charset="0"/>
                          <a:ea typeface="+mn-ea"/>
                          <a:cs typeface="+mn-cs"/>
                        </a:rPr>
                        <m:t>provided</m:t>
                      </m:r>
                      <m:r>
                        <a:rPr lang="en-US" sz="1100" b="0" i="0">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m:rPr>
                              <m:sty m:val="p"/>
                            </m:rPr>
                            <a:rPr lang="en-US" sz="1100" b="0" i="0">
                              <a:solidFill>
                                <a:schemeClr val="tx1"/>
                              </a:solidFill>
                              <a:effectLst/>
                              <a:latin typeface="Cambria Math" panose="02040503050406030204" pitchFamily="18" charset="0"/>
                              <a:ea typeface="+mn-ea"/>
                              <a:cs typeface="+mn-cs"/>
                            </a:rPr>
                            <m:t>f</m:t>
                          </m:r>
                        </m:e>
                        <m:sub>
                          <m:r>
                            <m:rPr>
                              <m:sty m:val="p"/>
                            </m:rPr>
                            <a:rPr lang="en-US" sz="1100" b="0" i="0">
                              <a:solidFill>
                                <a:schemeClr val="tx1"/>
                              </a:solidFill>
                              <a:effectLst/>
                              <a:latin typeface="Cambria Math" panose="02040503050406030204" pitchFamily="18" charset="0"/>
                              <a:ea typeface="+mn-ea"/>
                              <a:cs typeface="+mn-cs"/>
                            </a:rPr>
                            <m:t>y</m:t>
                          </m:r>
                        </m:sub>
                      </m:sSub>
                      <m:r>
                        <a:rPr lang="en-US" sz="1100" b="0" i="0">
                          <a:solidFill>
                            <a:schemeClr val="tx1"/>
                          </a:solidFill>
                          <a:effectLst/>
                          <a:latin typeface="Cambria Math" panose="02040503050406030204" pitchFamily="18" charset="0"/>
                          <a:ea typeface="+mn-ea"/>
                          <a:cs typeface="+mn-cs"/>
                        </a:rPr>
                        <m:t> ∗ </m:t>
                      </m:r>
                      <m:r>
                        <m:rPr>
                          <m:sty m:val="p"/>
                        </m:rPr>
                        <a:rPr lang="en-US" sz="1100" b="0" i="0">
                          <a:solidFill>
                            <a:schemeClr val="tx1"/>
                          </a:solidFill>
                          <a:effectLst/>
                          <a:latin typeface="Cambria Math" panose="02040503050406030204" pitchFamily="18" charset="0"/>
                          <a:ea typeface="+mn-ea"/>
                          <a:cs typeface="+mn-cs"/>
                        </a:rPr>
                        <m:t>d</m:t>
                      </m:r>
                      <m:r>
                        <a:rPr lang="en-US" sz="1100" b="0" i="0">
                          <a:solidFill>
                            <a:schemeClr val="tx1"/>
                          </a:solidFill>
                          <a:effectLst/>
                          <a:latin typeface="Cambria Math" panose="02040503050406030204" pitchFamily="18" charset="0"/>
                          <a:ea typeface="+mn-ea"/>
                          <a:cs typeface="+mn-cs"/>
                        </a:rPr>
                        <m:t>  </m:t>
                      </m:r>
                    </m:num>
                    <m:den>
                      <m:r>
                        <m:rPr>
                          <m:sty m:val="p"/>
                        </m:rPr>
                        <a:rPr lang="en-US" sz="1000" b="0" i="0" baseline="0">
                          <a:solidFill>
                            <a:schemeClr val="tx1"/>
                          </a:solidFill>
                          <a:effectLst/>
                          <a:latin typeface="Cambria Math" panose="02040503050406030204" pitchFamily="18" charset="0"/>
                          <a:ea typeface="Cambria Math" panose="02040503050406030204" pitchFamily="18" charset="0"/>
                          <a:cs typeface="+mn-cs"/>
                        </a:rPr>
                        <m:t>S</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y</m:t>
                      </m:r>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7" name="TextBox 66">
              <a:extLst>
                <a:ext uri="{FF2B5EF4-FFF2-40B4-BE49-F238E27FC236}">
                  <a16:creationId xmlns:a16="http://schemas.microsoft.com/office/drawing/2014/main" id="{B073B391-03CB-4979-B936-DFFF43B0B084}"/>
                </a:ext>
              </a:extLst>
            </xdr:cNvPr>
            <xdr:cNvSpPr txBox="1"/>
          </xdr:nvSpPr>
          <xdr:spPr>
            <a:xfrm>
              <a:off x="25480295" y="3491274"/>
              <a:ext cx="1523682" cy="3534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solidFill>
                    <a:schemeClr val="tx1"/>
                  </a:solidFill>
                  <a:effectLst/>
                  <a:latin typeface="Cambria Math" panose="02040503050406030204" pitchFamily="18" charset="0"/>
                  <a:ea typeface="Cambria Math" panose="02040503050406030204" pitchFamily="18" charset="0"/>
                  <a:cs typeface="+mn-cs"/>
                </a:rPr>
                <a:t>𝑉</a:t>
              </a:r>
              <a:r>
                <a:rPr lang="en-US" sz="1000" b="0" i="0" baseline="-25000">
                  <a:solidFill>
                    <a:schemeClr val="tx1"/>
                  </a:solidFill>
                  <a:effectLst/>
                  <a:latin typeface="Cambria Math" panose="02040503050406030204" pitchFamily="18" charset="0"/>
                  <a:ea typeface="Cambria Math" panose="02040503050406030204" pitchFamily="18" charset="0"/>
                  <a:cs typeface="+mn-cs"/>
                </a:rPr>
                <a:t>S−y =   </a:t>
              </a:r>
              <a:r>
                <a:rPr lang="en-US" sz="1100" b="0" i="0">
                  <a:solidFill>
                    <a:schemeClr val="tx1"/>
                  </a:solidFill>
                  <a:effectLst/>
                  <a:latin typeface="Cambria Math" panose="02040503050406030204" pitchFamily="18" charset="0"/>
                  <a:ea typeface="+mn-ea"/>
                  <a:cs typeface="+mn-cs"/>
                </a:rPr>
                <a:t> </a:t>
              </a:r>
              <a:r>
                <a:rPr lang="en-US" sz="10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A</a:t>
              </a:r>
              <a:r>
                <a:rPr lang="en-US" sz="1100" b="0" i="0" baseline="-25000">
                  <a:solidFill>
                    <a:schemeClr val="tx1"/>
                  </a:solidFill>
                  <a:effectLst/>
                  <a:latin typeface="Cambria Math" panose="02040503050406030204" pitchFamily="18" charset="0"/>
                  <a:ea typeface="+mn-ea"/>
                  <a:cs typeface="+mn-cs"/>
                </a:rPr>
                <a:t>s provided</a:t>
              </a:r>
              <a:r>
                <a:rPr lang="en-US" sz="1100" b="0" i="0">
                  <a:solidFill>
                    <a:schemeClr val="tx1"/>
                  </a:solidFill>
                  <a:effectLst/>
                  <a:latin typeface="Cambria Math" panose="02040503050406030204" pitchFamily="18" charset="0"/>
                  <a:ea typeface="+mn-ea"/>
                  <a:cs typeface="+mn-cs"/>
                </a:rPr>
                <a:t> ∗f_y  ∗ d  </a:t>
              </a:r>
              <a:r>
                <a:rPr lang="en-US" sz="1000" b="0" i="0">
                  <a:solidFill>
                    <a:schemeClr val="tx1"/>
                  </a:solidFill>
                  <a:effectLst/>
                  <a:latin typeface="Cambria Math" panose="02040503050406030204" pitchFamily="18" charset="0"/>
                  <a:ea typeface="Cambria Math" panose="02040503050406030204" pitchFamily="18" charset="0"/>
                  <a:cs typeface="+mn-cs"/>
                </a:rPr>
                <a:t>)/(</a:t>
              </a:r>
              <a:r>
                <a:rPr lang="en-US" sz="1000" b="0" i="0" baseline="0">
                  <a:solidFill>
                    <a:schemeClr val="tx1"/>
                  </a:solidFill>
                  <a:effectLst/>
                  <a:latin typeface="Cambria Math" panose="02040503050406030204" pitchFamily="18" charset="0"/>
                  <a:ea typeface="Cambria Math" panose="02040503050406030204" pitchFamily="18" charset="0"/>
                  <a:cs typeface="+mn-cs"/>
                </a:rPr>
                <a:t>S</a:t>
              </a:r>
              <a:r>
                <a:rPr lang="en-US" sz="1000" b="0" i="0" baseline="-25000">
                  <a:solidFill>
                    <a:schemeClr val="tx1"/>
                  </a:solidFill>
                  <a:effectLst/>
                  <a:latin typeface="Cambria Math" panose="02040503050406030204" pitchFamily="18" charset="0"/>
                  <a:ea typeface="Cambria Math" panose="02040503050406030204" pitchFamily="18" charset="0"/>
                  <a:cs typeface="+mn-cs"/>
                </a:rPr>
                <a:t>y )</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38</xdr:col>
      <xdr:colOff>433552</xdr:colOff>
      <xdr:row>36</xdr:row>
      <xdr:rowOff>52552</xdr:rowOff>
    </xdr:from>
    <xdr:ext cx="1518598" cy="296232"/>
    <mc:AlternateContent xmlns:mc="http://schemas.openxmlformats.org/markup-compatibility/2006" xmlns:a14="http://schemas.microsoft.com/office/drawing/2010/main">
      <mc:Choice Requires="a14">
        <xdr:sp macro="" textlink="">
          <xdr:nvSpPr>
            <xdr:cNvPr id="68" name="TextBox 67">
              <a:extLst>
                <a:ext uri="{FF2B5EF4-FFF2-40B4-BE49-F238E27FC236}">
                  <a16:creationId xmlns:a16="http://schemas.microsoft.com/office/drawing/2014/main" id="{00000000-0008-0000-0100-000044000000}"/>
                </a:ext>
              </a:extLst>
            </xdr:cNvPr>
            <xdr:cNvSpPr txBox="1"/>
          </xdr:nvSpPr>
          <xdr:spPr>
            <a:xfrm>
              <a:off x="22546792" y="6758152"/>
              <a:ext cx="1518598" cy="296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n-US" sz="1000" b="0" i="0">
                      <a:latin typeface="Cambria Math" panose="02040503050406030204" pitchFamily="18" charset="0"/>
                      <a:ea typeface="Cambria Math" panose="02040503050406030204" pitchFamily="18" charset="0"/>
                    </a:rPr>
                    <m:t>DCR</m:t>
                  </m:r>
                  <m:r>
                    <m:rPr>
                      <m:sty m:val="p"/>
                    </m:rPr>
                    <a:rPr lang="en-US" sz="1000" b="0" i="0" baseline="-25000">
                      <a:latin typeface="Cambria Math" panose="02040503050406030204" pitchFamily="18" charset="0"/>
                      <a:ea typeface="Cambria Math" panose="02040503050406030204" pitchFamily="18" charset="0"/>
                    </a:rPr>
                    <m:t>One</m:t>
                  </m:r>
                  <m:r>
                    <a:rPr lang="en-US" sz="1000" b="0" i="0" baseline="-25000">
                      <a:latin typeface="Cambria Math" panose="02040503050406030204" pitchFamily="18" charset="0"/>
                      <a:ea typeface="Cambria Math" panose="02040503050406030204" pitchFamily="18" charset="0"/>
                    </a:rPr>
                    <m:t>−</m:t>
                  </m:r>
                  <m:r>
                    <m:rPr>
                      <m:sty m:val="p"/>
                    </m:rPr>
                    <a:rPr lang="en-US" sz="1000" b="0" i="0" baseline="-25000">
                      <a:latin typeface="Cambria Math" panose="02040503050406030204" pitchFamily="18" charset="0"/>
                      <a:ea typeface="Cambria Math" panose="02040503050406030204" pitchFamily="18" charset="0"/>
                    </a:rPr>
                    <m:t>way</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shear</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x</m:t>
                  </m:r>
                  <m:r>
                    <a:rPr lang="en-US" sz="1000" b="0" i="0" baseline="-25000">
                      <a:latin typeface="Cambria Math" panose="02040503050406030204" pitchFamily="18" charset="0"/>
                      <a:ea typeface="Cambria Math" panose="02040503050406030204" pitchFamily="18" charset="0"/>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V</m:t>
                      </m:r>
                      <m:r>
                        <m:rPr>
                          <m:sty m:val="p"/>
                        </m:rPr>
                        <a:rPr lang="en-US" sz="1000" b="0" i="0" baseline="-25000">
                          <a:latin typeface="Cambria Math" panose="02040503050406030204" pitchFamily="18" charset="0"/>
                          <a:ea typeface="Cambria Math" panose="02040503050406030204" pitchFamily="18" charset="0"/>
                        </a:rPr>
                        <m:t>u</m:t>
                      </m:r>
                      <m:r>
                        <a:rPr lang="en-US" sz="1000" b="0" i="0" baseline="-25000">
                          <a:latin typeface="Cambria Math" panose="02040503050406030204" pitchFamily="18" charset="0"/>
                          <a:ea typeface="Cambria Math" panose="02040503050406030204" pitchFamily="18" charset="0"/>
                        </a:rPr>
                        <m:t>−</m:t>
                      </m:r>
                      <m:r>
                        <m:rPr>
                          <m:sty m:val="p"/>
                        </m:rPr>
                        <a:rPr lang="en-US" sz="1000" b="0" i="0" baseline="-25000">
                          <a:latin typeface="Cambria Math" panose="02040503050406030204" pitchFamily="18" charset="0"/>
                          <a:ea typeface="Cambria Math" panose="02040503050406030204" pitchFamily="18" charset="0"/>
                        </a:rPr>
                        <m:t>x</m:t>
                      </m:r>
                    </m:num>
                    <m:den>
                      <m:r>
                        <a:rPr lang="az-Cyrl-AZ" sz="1000" b="0" i="0">
                          <a:latin typeface="Cambria Math" panose="02040503050406030204" pitchFamily="18" charset="0"/>
                          <a:ea typeface="Cambria Math" panose="02040503050406030204" pitchFamily="18" charset="0"/>
                        </a:rPr>
                        <m:t>Ф</m:t>
                      </m:r>
                      <m:r>
                        <m:rPr>
                          <m:sty m:val="p"/>
                        </m:rPr>
                        <a:rPr lang="en-US" sz="1000" b="0" i="0">
                          <a:latin typeface="Cambria Math" panose="02040503050406030204" pitchFamily="18" charset="0"/>
                          <a:ea typeface="Cambria Math" panose="02040503050406030204" pitchFamily="18" charset="0"/>
                        </a:rPr>
                        <m:t>V</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n</m:t>
                      </m:r>
                      <m:r>
                        <a:rPr lang="en-US" sz="1000" b="0" i="0" baseline="-25000">
                          <a:solidFill>
                            <a:schemeClr val="tx1"/>
                          </a:solidFill>
                          <a:effectLst/>
                          <a:latin typeface="Cambria Math" panose="02040503050406030204" pitchFamily="18" charset="0"/>
                          <a:ea typeface="Cambria Math" panose="02040503050406030204" pitchFamily="18" charset="0"/>
                          <a:cs typeface="+mn-cs"/>
                        </a:rPr>
                        <m:t>−</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x</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8" name="TextBox 67">
              <a:extLst>
                <a:ext uri="{FF2B5EF4-FFF2-40B4-BE49-F238E27FC236}">
                  <a16:creationId xmlns:a16="http://schemas.microsoft.com/office/drawing/2014/main" id="{0D5F530B-5B39-491A-93F5-048EE037A707}"/>
                </a:ext>
              </a:extLst>
            </xdr:cNvPr>
            <xdr:cNvSpPr txBox="1"/>
          </xdr:nvSpPr>
          <xdr:spPr>
            <a:xfrm>
              <a:off x="22546792" y="6758152"/>
              <a:ext cx="1518598" cy="296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DCR</a:t>
              </a:r>
              <a:r>
                <a:rPr lang="en-US" sz="1000" b="0" i="0" baseline="-25000">
                  <a:latin typeface="Cambria Math" panose="02040503050406030204" pitchFamily="18" charset="0"/>
                  <a:ea typeface="Cambria Math" panose="02040503050406030204" pitchFamily="18" charset="0"/>
                </a:rPr>
                <a:t>One−way shear, x =   </a:t>
              </a:r>
              <a:r>
                <a:rPr lang="en-US" sz="1000" b="0" i="0">
                  <a:latin typeface="Cambria Math" panose="02040503050406030204" pitchFamily="18" charset="0"/>
                  <a:ea typeface="Cambria Math" panose="02040503050406030204" pitchFamily="18" charset="0"/>
                </a:rPr>
                <a:t> (V</a:t>
              </a:r>
              <a:r>
                <a:rPr lang="en-US" sz="1000" b="0" i="0" baseline="-25000">
                  <a:latin typeface="Cambria Math" panose="02040503050406030204" pitchFamily="18" charset="0"/>
                  <a:ea typeface="Cambria Math" panose="02040503050406030204" pitchFamily="18" charset="0"/>
                </a:rPr>
                <a:t>u−x)/(</a:t>
              </a:r>
              <a:r>
                <a:rPr lang="az-Cyrl-AZ" sz="1000" b="0" i="0">
                  <a:latin typeface="Cambria Math" panose="02040503050406030204" pitchFamily="18" charset="0"/>
                  <a:ea typeface="Cambria Math" panose="02040503050406030204" pitchFamily="18" charset="0"/>
                </a:rPr>
                <a:t>Ф</a:t>
              </a:r>
              <a:r>
                <a:rPr lang="en-US" sz="1000" b="0" i="0">
                  <a:latin typeface="Cambria Math" panose="02040503050406030204" pitchFamily="18" charset="0"/>
                  <a:ea typeface="Cambria Math" panose="02040503050406030204" pitchFamily="18" charset="0"/>
                </a:rPr>
                <a:t>V</a:t>
              </a:r>
              <a:r>
                <a:rPr lang="en-US" sz="1000" b="0" i="0" baseline="-25000">
                  <a:solidFill>
                    <a:schemeClr val="tx1"/>
                  </a:solidFill>
                  <a:effectLst/>
                  <a:latin typeface="Cambria Math" panose="02040503050406030204" pitchFamily="18" charset="0"/>
                  <a:ea typeface="Cambria Math" panose="02040503050406030204" pitchFamily="18" charset="0"/>
                  <a:cs typeface="+mn-cs"/>
                </a:rPr>
                <a:t>n−x)</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44</xdr:col>
      <xdr:colOff>300875</xdr:colOff>
      <xdr:row>36</xdr:row>
      <xdr:rowOff>52766</xdr:rowOff>
    </xdr:from>
    <xdr:ext cx="1516648" cy="291173"/>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00000000-0008-0000-0100-000045000000}"/>
                </a:ext>
              </a:extLst>
            </xdr:cNvPr>
            <xdr:cNvSpPr txBox="1"/>
          </xdr:nvSpPr>
          <xdr:spPr>
            <a:xfrm>
              <a:off x="25530695" y="6758366"/>
              <a:ext cx="1516648" cy="2911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n-US" sz="1000" b="0" i="0">
                      <a:latin typeface="Cambria Math" panose="02040503050406030204" pitchFamily="18" charset="0"/>
                      <a:ea typeface="Cambria Math" panose="02040503050406030204" pitchFamily="18" charset="0"/>
                    </a:rPr>
                    <m:t>DCR</m:t>
                  </m:r>
                  <m:r>
                    <m:rPr>
                      <m:sty m:val="p"/>
                    </m:rPr>
                    <a:rPr lang="en-US" sz="1000" b="0" i="0" baseline="-25000">
                      <a:latin typeface="Cambria Math" panose="02040503050406030204" pitchFamily="18" charset="0"/>
                      <a:ea typeface="Cambria Math" panose="02040503050406030204" pitchFamily="18" charset="0"/>
                    </a:rPr>
                    <m:t>One</m:t>
                  </m:r>
                  <m:r>
                    <a:rPr lang="en-US" sz="1000" b="0" i="0" baseline="-25000">
                      <a:latin typeface="Cambria Math" panose="02040503050406030204" pitchFamily="18" charset="0"/>
                      <a:ea typeface="Cambria Math" panose="02040503050406030204" pitchFamily="18" charset="0"/>
                    </a:rPr>
                    <m:t>−</m:t>
                  </m:r>
                  <m:r>
                    <m:rPr>
                      <m:sty m:val="p"/>
                    </m:rPr>
                    <a:rPr lang="en-US" sz="1000" b="0" i="0" baseline="-25000">
                      <a:latin typeface="Cambria Math" panose="02040503050406030204" pitchFamily="18" charset="0"/>
                      <a:ea typeface="Cambria Math" panose="02040503050406030204" pitchFamily="18" charset="0"/>
                    </a:rPr>
                    <m:t>way</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shear</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y</m:t>
                  </m:r>
                  <m:r>
                    <a:rPr lang="en-US" sz="1000" b="0" i="0" baseline="-25000">
                      <a:latin typeface="Cambria Math" panose="02040503050406030204" pitchFamily="18" charset="0"/>
                      <a:ea typeface="Cambria Math" panose="02040503050406030204" pitchFamily="18" charset="0"/>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V</m:t>
                      </m:r>
                      <m:r>
                        <m:rPr>
                          <m:sty m:val="p"/>
                        </m:rPr>
                        <a:rPr lang="en-US" sz="1000" b="0" i="0" baseline="-25000">
                          <a:latin typeface="Cambria Math" panose="02040503050406030204" pitchFamily="18" charset="0"/>
                          <a:ea typeface="Cambria Math" panose="02040503050406030204" pitchFamily="18" charset="0"/>
                        </a:rPr>
                        <m:t>u</m:t>
                      </m:r>
                      <m:r>
                        <a:rPr lang="en-US" sz="1000" b="0" i="0" baseline="-25000">
                          <a:latin typeface="Cambria Math" panose="02040503050406030204" pitchFamily="18" charset="0"/>
                          <a:ea typeface="Cambria Math" panose="02040503050406030204" pitchFamily="18" charset="0"/>
                        </a:rPr>
                        <m:t>−</m:t>
                      </m:r>
                      <m:r>
                        <m:rPr>
                          <m:sty m:val="p"/>
                        </m:rPr>
                        <a:rPr lang="en-US" sz="1000" b="0" i="0" baseline="-25000">
                          <a:latin typeface="Cambria Math" panose="02040503050406030204" pitchFamily="18" charset="0"/>
                          <a:ea typeface="Cambria Math" panose="02040503050406030204" pitchFamily="18" charset="0"/>
                        </a:rPr>
                        <m:t>y</m:t>
                      </m:r>
                    </m:num>
                    <m:den>
                      <m:r>
                        <a:rPr lang="az-Cyrl-AZ" sz="1000" b="0" i="0">
                          <a:latin typeface="Cambria Math" panose="02040503050406030204" pitchFamily="18" charset="0"/>
                          <a:ea typeface="Cambria Math" panose="02040503050406030204" pitchFamily="18" charset="0"/>
                        </a:rPr>
                        <m:t>Ф</m:t>
                      </m:r>
                      <m:r>
                        <m:rPr>
                          <m:sty m:val="p"/>
                        </m:rPr>
                        <a:rPr lang="en-US" sz="1000" b="0" i="0">
                          <a:latin typeface="Cambria Math" panose="02040503050406030204" pitchFamily="18" charset="0"/>
                          <a:ea typeface="Cambria Math" panose="02040503050406030204" pitchFamily="18" charset="0"/>
                        </a:rPr>
                        <m:t>V</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n</m:t>
                      </m:r>
                      <m:r>
                        <a:rPr lang="en-US" sz="1000" b="0" i="0" baseline="-25000">
                          <a:solidFill>
                            <a:schemeClr val="tx1"/>
                          </a:solidFill>
                          <a:effectLst/>
                          <a:latin typeface="Cambria Math" panose="02040503050406030204" pitchFamily="18" charset="0"/>
                          <a:ea typeface="Cambria Math" panose="02040503050406030204" pitchFamily="18" charset="0"/>
                          <a:cs typeface="+mn-cs"/>
                        </a:rPr>
                        <m:t>−</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y</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69" name="TextBox 68">
              <a:extLst>
                <a:ext uri="{FF2B5EF4-FFF2-40B4-BE49-F238E27FC236}">
                  <a16:creationId xmlns:a16="http://schemas.microsoft.com/office/drawing/2014/main" id="{DE7B11C8-12AF-4415-A052-37F4B39A0441}"/>
                </a:ext>
              </a:extLst>
            </xdr:cNvPr>
            <xdr:cNvSpPr txBox="1"/>
          </xdr:nvSpPr>
          <xdr:spPr>
            <a:xfrm>
              <a:off x="25530695" y="6758366"/>
              <a:ext cx="1516648" cy="2911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DCR</a:t>
              </a:r>
              <a:r>
                <a:rPr lang="en-US" sz="1000" b="0" i="0" baseline="-25000">
                  <a:latin typeface="Cambria Math" panose="02040503050406030204" pitchFamily="18" charset="0"/>
                  <a:ea typeface="Cambria Math" panose="02040503050406030204" pitchFamily="18" charset="0"/>
                </a:rPr>
                <a:t>One−way shear, y =   </a:t>
              </a:r>
              <a:r>
                <a:rPr lang="en-US" sz="1000" b="0" i="0">
                  <a:latin typeface="Cambria Math" panose="02040503050406030204" pitchFamily="18" charset="0"/>
                  <a:ea typeface="Cambria Math" panose="02040503050406030204" pitchFamily="18" charset="0"/>
                </a:rPr>
                <a:t> (V</a:t>
              </a:r>
              <a:r>
                <a:rPr lang="en-US" sz="1000" b="0" i="0" baseline="-25000">
                  <a:latin typeface="Cambria Math" panose="02040503050406030204" pitchFamily="18" charset="0"/>
                  <a:ea typeface="Cambria Math" panose="02040503050406030204" pitchFamily="18" charset="0"/>
                </a:rPr>
                <a:t>u−y)/(</a:t>
              </a:r>
              <a:r>
                <a:rPr lang="az-Cyrl-AZ" sz="1000" b="0" i="0">
                  <a:latin typeface="Cambria Math" panose="02040503050406030204" pitchFamily="18" charset="0"/>
                  <a:ea typeface="Cambria Math" panose="02040503050406030204" pitchFamily="18" charset="0"/>
                </a:rPr>
                <a:t>Ф</a:t>
              </a:r>
              <a:r>
                <a:rPr lang="en-US" sz="1000" b="0" i="0">
                  <a:latin typeface="Cambria Math" panose="02040503050406030204" pitchFamily="18" charset="0"/>
                  <a:ea typeface="Cambria Math" panose="02040503050406030204" pitchFamily="18" charset="0"/>
                </a:rPr>
                <a:t>V</a:t>
              </a:r>
              <a:r>
                <a:rPr lang="en-US" sz="1000" b="0" i="0" baseline="-25000">
                  <a:solidFill>
                    <a:schemeClr val="tx1"/>
                  </a:solidFill>
                  <a:effectLst/>
                  <a:latin typeface="Cambria Math" panose="02040503050406030204" pitchFamily="18" charset="0"/>
                  <a:ea typeface="Cambria Math" panose="02040503050406030204" pitchFamily="18" charset="0"/>
                  <a:cs typeface="+mn-cs"/>
                </a:rPr>
                <a:t>n−y)</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51</xdr:col>
      <xdr:colOff>484199</xdr:colOff>
      <xdr:row>7</xdr:row>
      <xdr:rowOff>54416</xdr:rowOff>
    </xdr:from>
    <xdr:ext cx="1171181" cy="343376"/>
    <mc:AlternateContent xmlns:mc="http://schemas.openxmlformats.org/markup-compatibility/2006" xmlns:a14="http://schemas.microsoft.com/office/drawing/2010/main">
      <mc:Choice Requires="a14">
        <xdr:sp macro="" textlink="">
          <xdr:nvSpPr>
            <xdr:cNvPr id="70" name="TextBox 69">
              <a:extLst>
                <a:ext uri="{FF2B5EF4-FFF2-40B4-BE49-F238E27FC236}">
                  <a16:creationId xmlns:a16="http://schemas.microsoft.com/office/drawing/2014/main" id="{00000000-0008-0000-0100-000046000000}"/>
                </a:ext>
              </a:extLst>
            </xdr:cNvPr>
            <xdr:cNvSpPr txBox="1"/>
          </xdr:nvSpPr>
          <xdr:spPr>
            <a:xfrm>
              <a:off x="29760239" y="1365056"/>
              <a:ext cx="1171181" cy="343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a:rPr lang="en-US" sz="1000" b="0" i="1">
                      <a:latin typeface="Cambria Math" panose="02040503050406030204" pitchFamily="18" charset="0"/>
                      <a:ea typeface="Cambria Math" panose="02040503050406030204" pitchFamily="18" charset="0"/>
                    </a:rPr>
                    <m:t>𝑎</m:t>
                  </m:r>
                  <m:r>
                    <a:rPr lang="en-US" sz="1000" b="0" i="0" baseline="0">
                      <a:latin typeface="Cambria Math" panose="02040503050406030204" pitchFamily="18" charset="0"/>
                      <a:ea typeface="Cambria Math" panose="02040503050406030204" pitchFamily="18" charset="0"/>
                    </a:rPr>
                    <m:t> =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A</m:t>
                      </m:r>
                      <m:r>
                        <m:rPr>
                          <m:sty m:val="p"/>
                        </m:rPr>
                        <a:rPr lang="en-US" sz="1000" b="0" i="0" baseline="-25000">
                          <a:latin typeface="Cambria Math" panose="02040503050406030204" pitchFamily="18" charset="0"/>
                          <a:ea typeface="Cambria Math" panose="02040503050406030204" pitchFamily="18" charset="0"/>
                        </a:rPr>
                        <m:t>s</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provided</m:t>
                      </m:r>
                      <m:r>
                        <a:rPr lang="en-US" sz="1000" b="0" i="0" baseline="0">
                          <a:latin typeface="Cambria Math" panose="02040503050406030204" pitchFamily="18" charset="0"/>
                          <a:ea typeface="Cambria Math" panose="02040503050406030204" pitchFamily="18" charset="0"/>
                        </a:rPr>
                        <m:t>  ∗ </m:t>
                      </m:r>
                      <m:sSub>
                        <m:sSubPr>
                          <m:ctrlPr>
                            <a:rPr lang="en-US" sz="1000" b="0" i="1" baseline="0">
                              <a:latin typeface="Cambria Math" panose="02040503050406030204" pitchFamily="18" charset="0"/>
                              <a:ea typeface="Cambria Math" panose="02040503050406030204" pitchFamily="18" charset="0"/>
                            </a:rPr>
                          </m:ctrlPr>
                        </m:sSubPr>
                        <m:e>
                          <m:r>
                            <m:rPr>
                              <m:sty m:val="p"/>
                            </m:rPr>
                            <a:rPr lang="en-US" sz="1000" b="0" i="0" baseline="0">
                              <a:latin typeface="Cambria Math" panose="02040503050406030204" pitchFamily="18" charset="0"/>
                              <a:ea typeface="Cambria Math" panose="02040503050406030204" pitchFamily="18" charset="0"/>
                            </a:rPr>
                            <m:t>f</m:t>
                          </m:r>
                        </m:e>
                        <m:sub>
                          <m:r>
                            <m:rPr>
                              <m:sty m:val="p"/>
                            </m:rPr>
                            <a:rPr lang="en-US" sz="1000" b="0" i="0" baseline="0">
                              <a:latin typeface="Cambria Math" panose="02040503050406030204" pitchFamily="18" charset="0"/>
                              <a:ea typeface="Cambria Math" panose="02040503050406030204" pitchFamily="18" charset="0"/>
                            </a:rPr>
                            <m:t>y</m:t>
                          </m:r>
                        </m:sub>
                      </m:sSub>
                    </m:num>
                    <m:den>
                      <m:r>
                        <a:rPr lang="en-US" sz="1000" b="0" i="0" baseline="0">
                          <a:latin typeface="Cambria Math" panose="02040503050406030204" pitchFamily="18" charset="0"/>
                          <a:ea typeface="Cambria Math" panose="02040503050406030204" pitchFamily="18" charset="0"/>
                        </a:rPr>
                        <m:t>0.85 ∗</m:t>
                      </m:r>
                      <m:sSup>
                        <m:sSupPr>
                          <m:ctrlPr>
                            <a:rPr lang="en-US" sz="1000" b="0" i="1" baseline="0">
                              <a:latin typeface="Cambria Math" panose="02040503050406030204" pitchFamily="18" charset="0"/>
                              <a:ea typeface="Cambria Math" panose="02040503050406030204" pitchFamily="18" charset="0"/>
                            </a:rPr>
                          </m:ctrlPr>
                        </m:sSupPr>
                        <m:e>
                          <m:r>
                            <a:rPr lang="en-US" sz="1000" b="0" i="0" baseline="0">
                              <a:latin typeface="Cambria Math" panose="02040503050406030204" pitchFamily="18" charset="0"/>
                              <a:ea typeface="Cambria Math" panose="02040503050406030204" pitchFamily="18" charset="0"/>
                            </a:rPr>
                            <m:t> </m:t>
                          </m:r>
                          <m:r>
                            <m:rPr>
                              <m:sty m:val="p"/>
                            </m:rPr>
                            <a:rPr lang="en-US" sz="1000" b="0" i="0" baseline="0">
                              <a:latin typeface="Cambria Math" panose="02040503050406030204" pitchFamily="18" charset="0"/>
                              <a:ea typeface="Cambria Math" panose="02040503050406030204" pitchFamily="18" charset="0"/>
                            </a:rPr>
                            <m:t>f</m:t>
                          </m:r>
                        </m:e>
                        <m:sup>
                          <m:r>
                            <a:rPr lang="en-US" sz="1000" b="0" i="0" baseline="0">
                              <a:latin typeface="Cambria Math" panose="02040503050406030204" pitchFamily="18" charset="0"/>
                              <a:ea typeface="Cambria Math" panose="02040503050406030204" pitchFamily="18" charset="0"/>
                            </a:rPr>
                            <m:t>′</m:t>
                          </m:r>
                        </m:sup>
                      </m:sSup>
                      <m:r>
                        <m:rPr>
                          <m:sty m:val="p"/>
                        </m:rPr>
                        <a:rPr lang="en-US" sz="1000" b="0" i="0" baseline="-25000">
                          <a:latin typeface="Cambria Math" panose="02040503050406030204" pitchFamily="18" charset="0"/>
                          <a:ea typeface="Cambria Math" panose="02040503050406030204" pitchFamily="18" charset="0"/>
                        </a:rPr>
                        <m:t>c</m:t>
                      </m:r>
                      <m:r>
                        <a:rPr lang="en-US" sz="1000" b="0" i="0" baseline="0">
                          <a:latin typeface="Cambria Math" panose="02040503050406030204" pitchFamily="18" charset="0"/>
                          <a:ea typeface="Cambria Math" panose="02040503050406030204" pitchFamily="18" charset="0"/>
                        </a:rPr>
                        <m:t>  ∗ </m:t>
                      </m:r>
                      <m:sSub>
                        <m:sSubPr>
                          <m:ctrlPr>
                            <a:rPr lang="en-US" sz="1000" b="0" i="1" baseline="0">
                              <a:latin typeface="Cambria Math" panose="02040503050406030204" pitchFamily="18" charset="0"/>
                              <a:ea typeface="Cambria Math" panose="02040503050406030204" pitchFamily="18" charset="0"/>
                            </a:rPr>
                          </m:ctrlPr>
                        </m:sSubPr>
                        <m:e>
                          <m:r>
                            <m:rPr>
                              <m:sty m:val="p"/>
                            </m:rPr>
                            <a:rPr lang="en-US" sz="1000" b="0" i="0" baseline="0">
                              <a:latin typeface="Cambria Math" panose="02040503050406030204" pitchFamily="18" charset="0"/>
                              <a:ea typeface="Cambria Math" panose="02040503050406030204" pitchFamily="18" charset="0"/>
                            </a:rPr>
                            <m:t>X</m:t>
                          </m:r>
                        </m:e>
                        <m:sub>
                          <m:r>
                            <m:rPr>
                              <m:sty m:val="p"/>
                            </m:rPr>
                            <a:rPr lang="en-US" sz="1000" b="0" i="0" baseline="0">
                              <a:latin typeface="Cambria Math" panose="02040503050406030204" pitchFamily="18" charset="0"/>
                              <a:ea typeface="Cambria Math" panose="02040503050406030204" pitchFamily="18" charset="0"/>
                            </a:rPr>
                            <m:t>ftg</m:t>
                          </m:r>
                        </m:sub>
                      </m:sSub>
                      <m:r>
                        <a:rPr lang="en-US" sz="1000" b="0" i="0" baseline="-25000">
                          <a:solidFill>
                            <a:schemeClr val="tx1"/>
                          </a:solidFill>
                          <a:effectLst/>
                          <a:latin typeface="Cambria Math" panose="02040503050406030204" pitchFamily="18" charset="0"/>
                          <a:ea typeface="Cambria Math" panose="02040503050406030204" pitchFamily="18" charset="0"/>
                          <a:cs typeface="+mn-cs"/>
                        </a:rPr>
                        <m:t> </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70" name="TextBox 69">
              <a:extLst>
                <a:ext uri="{FF2B5EF4-FFF2-40B4-BE49-F238E27FC236}">
                  <a16:creationId xmlns:a16="http://schemas.microsoft.com/office/drawing/2014/main" id="{190068A2-A27C-4C34-8A0F-45B5D42CD3C9}"/>
                </a:ext>
              </a:extLst>
            </xdr:cNvPr>
            <xdr:cNvSpPr txBox="1"/>
          </xdr:nvSpPr>
          <xdr:spPr>
            <a:xfrm>
              <a:off x="29760239" y="1365056"/>
              <a:ext cx="1171181" cy="343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𝑎</a:t>
              </a:r>
              <a:r>
                <a:rPr lang="en-US" sz="1000" b="0" i="0" baseline="0">
                  <a:latin typeface="Cambria Math" panose="02040503050406030204" pitchFamily="18" charset="0"/>
                  <a:ea typeface="Cambria Math" panose="02040503050406030204" pitchFamily="18" charset="0"/>
                </a:rPr>
                <a:t> =   </a:t>
              </a:r>
              <a:r>
                <a:rPr lang="en-US" sz="1000" b="0" i="0">
                  <a:latin typeface="Cambria Math" panose="02040503050406030204" pitchFamily="18" charset="0"/>
                  <a:ea typeface="Cambria Math" panose="02040503050406030204" pitchFamily="18" charset="0"/>
                </a:rPr>
                <a:t> (A</a:t>
              </a:r>
              <a:r>
                <a:rPr lang="en-US" sz="1000" b="0" i="0" baseline="-25000">
                  <a:latin typeface="Cambria Math" panose="02040503050406030204" pitchFamily="18" charset="0"/>
                  <a:ea typeface="Cambria Math" panose="02040503050406030204" pitchFamily="18" charset="0"/>
                </a:rPr>
                <a:t>s provided</a:t>
              </a:r>
              <a:r>
                <a:rPr lang="en-US" sz="1000" b="0" i="0" baseline="0">
                  <a:latin typeface="Cambria Math" panose="02040503050406030204" pitchFamily="18" charset="0"/>
                  <a:ea typeface="Cambria Math" panose="02040503050406030204" pitchFamily="18" charset="0"/>
                </a:rPr>
                <a:t>  ∗ f_y)/(0.85 ∗〖 f〗^′</a:t>
              </a:r>
              <a:r>
                <a:rPr lang="en-US" sz="1000" b="0" i="0" baseline="-25000">
                  <a:latin typeface="Cambria Math" panose="02040503050406030204" pitchFamily="18" charset="0"/>
                  <a:ea typeface="Cambria Math" panose="02040503050406030204" pitchFamily="18" charset="0"/>
                </a:rPr>
                <a:t> c</a:t>
              </a:r>
              <a:r>
                <a:rPr lang="en-US" sz="1000" b="0" i="0" baseline="0">
                  <a:latin typeface="Cambria Math" panose="02040503050406030204" pitchFamily="18" charset="0"/>
                  <a:ea typeface="Cambria Math" panose="02040503050406030204" pitchFamily="18" charset="0"/>
                </a:rPr>
                <a:t>  ∗ X_ftg</a:t>
              </a:r>
              <a:r>
                <a:rPr lang="en-US" sz="1000" b="0" i="0" baseline="-25000">
                  <a:solidFill>
                    <a:schemeClr val="tx1"/>
                  </a:solidFill>
                  <a:effectLst/>
                  <a:latin typeface="Cambria Math" panose="02040503050406030204" pitchFamily="18" charset="0"/>
                  <a:ea typeface="Cambria Math" panose="02040503050406030204" pitchFamily="18" charset="0"/>
                  <a:cs typeface="+mn-cs"/>
                </a:rPr>
                <a:t>  )</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57</xdr:col>
      <xdr:colOff>585462</xdr:colOff>
      <xdr:row>7</xdr:row>
      <xdr:rowOff>39414</xdr:rowOff>
    </xdr:from>
    <xdr:ext cx="996553" cy="343376"/>
    <mc:AlternateContent xmlns:mc="http://schemas.openxmlformats.org/markup-compatibility/2006" xmlns:a14="http://schemas.microsoft.com/office/drawing/2010/main">
      <mc:Choice Requires="a14">
        <xdr:sp macro="" textlink="">
          <xdr:nvSpPr>
            <xdr:cNvPr id="71" name="TextBox 70">
              <a:extLst>
                <a:ext uri="{FF2B5EF4-FFF2-40B4-BE49-F238E27FC236}">
                  <a16:creationId xmlns:a16="http://schemas.microsoft.com/office/drawing/2014/main" id="{00000000-0008-0000-0100-000047000000}"/>
                </a:ext>
              </a:extLst>
            </xdr:cNvPr>
            <xdr:cNvSpPr txBox="1"/>
          </xdr:nvSpPr>
          <xdr:spPr>
            <a:xfrm>
              <a:off x="33343842" y="1350054"/>
              <a:ext cx="996553" cy="343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a:rPr lang="en-US" sz="1000" b="0" i="1">
                      <a:latin typeface="Cambria Math" panose="02040503050406030204" pitchFamily="18" charset="0"/>
                      <a:ea typeface="Cambria Math" panose="02040503050406030204" pitchFamily="18" charset="0"/>
                    </a:rPr>
                    <m:t>𝑎</m:t>
                  </m:r>
                  <m:r>
                    <a:rPr lang="en-US" sz="1000" b="0" i="0" baseline="-25000">
                      <a:latin typeface="Cambria Math" panose="02040503050406030204" pitchFamily="18" charset="0"/>
                      <a:ea typeface="Cambria Math" panose="02040503050406030204" pitchFamily="18" charset="0"/>
                    </a:rPr>
                    <m:t> = </m:t>
                  </m:r>
                  <m:r>
                    <a:rPr lang="en-US" sz="1000" b="0" i="0">
                      <a:latin typeface="Cambria Math" panose="02040503050406030204" pitchFamily="18" charset="0"/>
                      <a:ea typeface="Cambria Math" panose="02040503050406030204" pitchFamily="18" charset="0"/>
                    </a:rPr>
                    <m:t>  </m:t>
                  </m:r>
                  <m:f>
                    <m:fPr>
                      <m:ctrlPr>
                        <a:rPr lang="en-US" sz="1000" b="0" i="1">
                          <a:latin typeface="Cambria Math" panose="02040503050406030204" pitchFamily="18" charset="0"/>
                          <a:ea typeface="Cambria Math" panose="02040503050406030204" pitchFamily="18" charset="0"/>
                        </a:rPr>
                      </m:ctrlPr>
                    </m:fPr>
                    <m:num>
                      <m:r>
                        <m:rPr>
                          <m:sty m:val="p"/>
                        </m:rPr>
                        <a:rPr lang="en-US" sz="1000" b="0" i="0">
                          <a:latin typeface="Cambria Math" panose="02040503050406030204" pitchFamily="18" charset="0"/>
                          <a:ea typeface="Cambria Math" panose="02040503050406030204" pitchFamily="18" charset="0"/>
                        </a:rPr>
                        <m:t>A</m:t>
                      </m:r>
                      <m:r>
                        <m:rPr>
                          <m:sty m:val="p"/>
                        </m:rPr>
                        <a:rPr lang="en-US" sz="1000" b="0" i="0" baseline="-25000">
                          <a:latin typeface="Cambria Math" panose="02040503050406030204" pitchFamily="18" charset="0"/>
                          <a:ea typeface="Cambria Math" panose="02040503050406030204" pitchFamily="18" charset="0"/>
                        </a:rPr>
                        <m:t>s</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provided</m:t>
                      </m:r>
                      <m:r>
                        <a:rPr lang="en-US" sz="1000" b="0" i="0" baseline="0">
                          <a:latin typeface="Cambria Math" panose="02040503050406030204" pitchFamily="18" charset="0"/>
                          <a:ea typeface="Cambria Math" panose="02040503050406030204" pitchFamily="18" charset="0"/>
                        </a:rPr>
                        <m:t>  ∗ </m:t>
                      </m:r>
                      <m:sSub>
                        <m:sSubPr>
                          <m:ctrlPr>
                            <a:rPr lang="en-US" sz="1000" b="0" i="1" baseline="0">
                              <a:latin typeface="Cambria Math" panose="02040503050406030204" pitchFamily="18" charset="0"/>
                              <a:ea typeface="Cambria Math" panose="02040503050406030204" pitchFamily="18" charset="0"/>
                            </a:rPr>
                          </m:ctrlPr>
                        </m:sSubPr>
                        <m:e>
                          <m:r>
                            <m:rPr>
                              <m:sty m:val="p"/>
                            </m:rPr>
                            <a:rPr lang="en-US" sz="1000" b="0" i="0" baseline="0">
                              <a:latin typeface="Cambria Math" panose="02040503050406030204" pitchFamily="18" charset="0"/>
                              <a:ea typeface="Cambria Math" panose="02040503050406030204" pitchFamily="18" charset="0"/>
                            </a:rPr>
                            <m:t>f</m:t>
                          </m:r>
                        </m:e>
                        <m:sub>
                          <m:r>
                            <m:rPr>
                              <m:sty m:val="p"/>
                            </m:rPr>
                            <a:rPr lang="en-US" sz="1000" b="0" i="0" baseline="0">
                              <a:latin typeface="Cambria Math" panose="02040503050406030204" pitchFamily="18" charset="0"/>
                              <a:ea typeface="Cambria Math" panose="02040503050406030204" pitchFamily="18" charset="0"/>
                            </a:rPr>
                            <m:t>y</m:t>
                          </m:r>
                        </m:sub>
                      </m:sSub>
                    </m:num>
                    <m:den>
                      <m:r>
                        <a:rPr lang="en-US" sz="1000" b="0" i="0" baseline="0">
                          <a:latin typeface="Cambria Math" panose="02040503050406030204" pitchFamily="18" charset="0"/>
                          <a:ea typeface="Cambria Math" panose="02040503050406030204" pitchFamily="18" charset="0"/>
                        </a:rPr>
                        <m:t>0.85 ∗</m:t>
                      </m:r>
                      <m:sSup>
                        <m:sSupPr>
                          <m:ctrlPr>
                            <a:rPr lang="en-US" sz="1000" b="0" i="1" baseline="0">
                              <a:latin typeface="Cambria Math" panose="02040503050406030204" pitchFamily="18" charset="0"/>
                              <a:ea typeface="Cambria Math" panose="02040503050406030204" pitchFamily="18" charset="0"/>
                            </a:rPr>
                          </m:ctrlPr>
                        </m:sSupPr>
                        <m:e>
                          <m:r>
                            <a:rPr lang="en-US" sz="1000" b="0" i="0" baseline="0">
                              <a:latin typeface="Cambria Math" panose="02040503050406030204" pitchFamily="18" charset="0"/>
                              <a:ea typeface="Cambria Math" panose="02040503050406030204" pitchFamily="18" charset="0"/>
                            </a:rPr>
                            <m:t> </m:t>
                          </m:r>
                          <m:r>
                            <m:rPr>
                              <m:sty m:val="p"/>
                            </m:rPr>
                            <a:rPr lang="en-US" sz="1000" b="0" i="0" baseline="0">
                              <a:latin typeface="Cambria Math" panose="02040503050406030204" pitchFamily="18" charset="0"/>
                              <a:ea typeface="Cambria Math" panose="02040503050406030204" pitchFamily="18" charset="0"/>
                            </a:rPr>
                            <m:t>f</m:t>
                          </m:r>
                        </m:e>
                        <m:sup>
                          <m:r>
                            <a:rPr lang="en-US" sz="1000" b="0" i="0" baseline="0">
                              <a:latin typeface="Cambria Math" panose="02040503050406030204" pitchFamily="18" charset="0"/>
                              <a:ea typeface="Cambria Math" panose="02040503050406030204" pitchFamily="18" charset="0"/>
                            </a:rPr>
                            <m:t>′</m:t>
                          </m:r>
                        </m:sup>
                      </m:sSup>
                      <m:r>
                        <m:rPr>
                          <m:sty m:val="p"/>
                        </m:rPr>
                        <a:rPr lang="en-US" sz="1000" b="0" i="0" baseline="-25000">
                          <a:latin typeface="Cambria Math" panose="02040503050406030204" pitchFamily="18" charset="0"/>
                          <a:ea typeface="Cambria Math" panose="02040503050406030204" pitchFamily="18" charset="0"/>
                        </a:rPr>
                        <m:t>c</m:t>
                      </m:r>
                      <m:r>
                        <a:rPr lang="en-US" sz="1000" b="0" i="0" baseline="0">
                          <a:latin typeface="Cambria Math" panose="02040503050406030204" pitchFamily="18" charset="0"/>
                          <a:ea typeface="Cambria Math" panose="02040503050406030204" pitchFamily="18" charset="0"/>
                        </a:rPr>
                        <m:t>  ∗ </m:t>
                      </m:r>
                      <m:r>
                        <m:rPr>
                          <m:sty m:val="p"/>
                        </m:rPr>
                        <a:rPr lang="en-US" sz="1000" b="0" i="0">
                          <a:latin typeface="Cambria Math" panose="02040503050406030204" pitchFamily="18" charset="0"/>
                          <a:ea typeface="Cambria Math" panose="02040503050406030204" pitchFamily="18" charset="0"/>
                        </a:rPr>
                        <m:t>Y</m:t>
                      </m:r>
                      <m:r>
                        <m:rPr>
                          <m:sty m:val="p"/>
                        </m:rPr>
                        <a:rPr lang="en-US" sz="1000" b="0" i="0" baseline="-25000">
                          <a:solidFill>
                            <a:schemeClr val="tx1"/>
                          </a:solidFill>
                          <a:effectLst/>
                          <a:latin typeface="Cambria Math" panose="02040503050406030204" pitchFamily="18" charset="0"/>
                          <a:ea typeface="Cambria Math" panose="02040503050406030204" pitchFamily="18" charset="0"/>
                          <a:cs typeface="+mn-cs"/>
                        </a:rPr>
                        <m:t>ftg</m:t>
                      </m:r>
                      <m:r>
                        <a:rPr lang="en-US" sz="1000" b="0" i="0" baseline="0">
                          <a:solidFill>
                            <a:schemeClr val="tx1"/>
                          </a:solidFill>
                          <a:effectLst/>
                          <a:latin typeface="Cambria Math" panose="02040503050406030204" pitchFamily="18" charset="0"/>
                          <a:ea typeface="Cambria Math" panose="02040503050406030204" pitchFamily="18" charset="0"/>
                          <a:cs typeface="+mn-cs"/>
                        </a:rPr>
                        <m:t> </m:t>
                      </m:r>
                    </m:den>
                  </m:f>
                </m:oMath>
              </a14:m>
              <a:r>
                <a:rPr lang="en-US" sz="1000" b="0" i="0">
                  <a:latin typeface="Cambria Math" panose="02040503050406030204" pitchFamily="18" charset="0"/>
                  <a:ea typeface="Cambria Math" panose="02040503050406030204" pitchFamily="18" charset="0"/>
                </a:rPr>
                <a:t> </a:t>
              </a:r>
            </a:p>
          </xdr:txBody>
        </xdr:sp>
      </mc:Choice>
      <mc:Fallback xmlns="">
        <xdr:sp macro="" textlink="">
          <xdr:nvSpPr>
            <xdr:cNvPr id="71" name="TextBox 70">
              <a:extLst>
                <a:ext uri="{FF2B5EF4-FFF2-40B4-BE49-F238E27FC236}">
                  <a16:creationId xmlns:a16="http://schemas.microsoft.com/office/drawing/2014/main" id="{57ABE67C-2917-4132-BAB1-E2533A80CD6B}"/>
                </a:ext>
              </a:extLst>
            </xdr:cNvPr>
            <xdr:cNvSpPr txBox="1"/>
          </xdr:nvSpPr>
          <xdr:spPr>
            <a:xfrm>
              <a:off x="33343842" y="1350054"/>
              <a:ext cx="996553" cy="343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𝑎</a:t>
              </a:r>
              <a:r>
                <a:rPr lang="en-US" sz="1000" b="0" i="0" baseline="-25000">
                  <a:latin typeface="Cambria Math" panose="02040503050406030204" pitchFamily="18" charset="0"/>
                  <a:ea typeface="Cambria Math" panose="02040503050406030204" pitchFamily="18" charset="0"/>
                </a:rPr>
                <a:t> = </a:t>
              </a:r>
              <a:r>
                <a:rPr lang="en-US" sz="1000" b="0" i="0">
                  <a:latin typeface="Cambria Math" panose="02040503050406030204" pitchFamily="18" charset="0"/>
                  <a:ea typeface="Cambria Math" panose="02040503050406030204" pitchFamily="18" charset="0"/>
                </a:rPr>
                <a:t>   (A</a:t>
              </a:r>
              <a:r>
                <a:rPr lang="en-US" sz="1000" b="0" i="0" baseline="-25000">
                  <a:latin typeface="Cambria Math" panose="02040503050406030204" pitchFamily="18" charset="0"/>
                  <a:ea typeface="Cambria Math" panose="02040503050406030204" pitchFamily="18" charset="0"/>
                </a:rPr>
                <a:t>s provided</a:t>
              </a:r>
              <a:r>
                <a:rPr lang="en-US" sz="1000" b="0" i="0" baseline="0">
                  <a:latin typeface="Cambria Math" panose="02040503050406030204" pitchFamily="18" charset="0"/>
                  <a:ea typeface="Cambria Math" panose="02040503050406030204" pitchFamily="18" charset="0"/>
                </a:rPr>
                <a:t>  ∗ f_y)/(0.85 ∗〖 f〗^′</a:t>
              </a:r>
              <a:r>
                <a:rPr lang="en-US" sz="1000" b="0" i="0" baseline="-25000">
                  <a:latin typeface="Cambria Math" panose="02040503050406030204" pitchFamily="18" charset="0"/>
                  <a:ea typeface="Cambria Math" panose="02040503050406030204" pitchFamily="18" charset="0"/>
                </a:rPr>
                <a:t> c</a:t>
              </a:r>
              <a:r>
                <a:rPr lang="en-US" sz="1000" b="0" i="0" baseline="0">
                  <a:latin typeface="Cambria Math" panose="02040503050406030204" pitchFamily="18" charset="0"/>
                  <a:ea typeface="Cambria Math" panose="02040503050406030204" pitchFamily="18" charset="0"/>
                </a:rPr>
                <a:t>  ∗ </a:t>
              </a:r>
              <a:r>
                <a:rPr lang="en-US" sz="1000" b="0" i="0">
                  <a:latin typeface="Cambria Math" panose="02040503050406030204" pitchFamily="18" charset="0"/>
                  <a:ea typeface="Cambria Math" panose="02040503050406030204" pitchFamily="18" charset="0"/>
                </a:rPr>
                <a:t>Y</a:t>
              </a:r>
              <a:r>
                <a:rPr lang="en-US" sz="1000" b="0" i="0" baseline="-25000">
                  <a:solidFill>
                    <a:schemeClr val="tx1"/>
                  </a:solidFill>
                  <a:effectLst/>
                  <a:latin typeface="Cambria Math" panose="02040503050406030204" pitchFamily="18" charset="0"/>
                  <a:ea typeface="Cambria Math" panose="02040503050406030204" pitchFamily="18" charset="0"/>
                  <a:cs typeface="+mn-cs"/>
                </a:rPr>
                <a:t>ftg</a:t>
              </a:r>
              <a:r>
                <a:rPr lang="en-US" sz="1000" b="0" i="0" baseline="0">
                  <a:solidFill>
                    <a:schemeClr val="tx1"/>
                  </a:solidFill>
                  <a:effectLst/>
                  <a:latin typeface="Cambria Math" panose="02040503050406030204" pitchFamily="18" charset="0"/>
                  <a:ea typeface="Cambria Math" panose="02040503050406030204" pitchFamily="18" charset="0"/>
                  <a:cs typeface="+mn-cs"/>
                </a:rPr>
                <a:t> )</a:t>
              </a:r>
              <a:r>
                <a:rPr lang="en-US" sz="1000" b="0" i="0">
                  <a:latin typeface="Cambria Math" panose="02040503050406030204" pitchFamily="18" charset="0"/>
                  <a:ea typeface="Cambria Math" panose="02040503050406030204" pitchFamily="18" charset="0"/>
                </a:rPr>
                <a:t> </a:t>
              </a:r>
            </a:p>
          </xdr:txBody>
        </xdr:sp>
      </mc:Fallback>
    </mc:AlternateContent>
    <xdr:clientData/>
  </xdr:oneCellAnchor>
  <xdr:oneCellAnchor>
    <xdr:from>
      <xdr:col>51</xdr:col>
      <xdr:colOff>422319</xdr:colOff>
      <xdr:row>26</xdr:row>
      <xdr:rowOff>73000</xdr:rowOff>
    </xdr:from>
    <xdr:ext cx="1518598" cy="296232"/>
    <mc:AlternateContent xmlns:mc="http://schemas.openxmlformats.org/markup-compatibility/2006" xmlns:a14="http://schemas.microsoft.com/office/drawing/2010/main">
      <mc:Choice Requires="a14">
        <xdr:sp macro="" textlink="">
          <xdr:nvSpPr>
            <xdr:cNvPr id="72" name="TextBox 71">
              <a:extLst>
                <a:ext uri="{FF2B5EF4-FFF2-40B4-BE49-F238E27FC236}">
                  <a16:creationId xmlns:a16="http://schemas.microsoft.com/office/drawing/2014/main" id="{00000000-0008-0000-0100-000048000000}"/>
                </a:ext>
              </a:extLst>
            </xdr:cNvPr>
            <xdr:cNvSpPr txBox="1"/>
          </xdr:nvSpPr>
          <xdr:spPr>
            <a:xfrm>
              <a:off x="29698359" y="5018380"/>
              <a:ext cx="1518598" cy="296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n-US" sz="1000" b="0" i="0">
                      <a:latin typeface="Cambria Math" panose="02040503050406030204" pitchFamily="18" charset="0"/>
                      <a:ea typeface="Cambria Math" panose="02040503050406030204" pitchFamily="18" charset="0"/>
                    </a:rPr>
                    <m:t>M</m:t>
                  </m:r>
                  <m:r>
                    <m:rPr>
                      <m:sty m:val="p"/>
                    </m:rPr>
                    <a:rPr lang="en-US" sz="1000" b="0" i="0" baseline="-25000">
                      <a:latin typeface="Cambria Math" panose="02040503050406030204" pitchFamily="18" charset="0"/>
                      <a:ea typeface="Cambria Math" panose="02040503050406030204" pitchFamily="18" charset="0"/>
                    </a:rPr>
                    <m:t>u</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x</m:t>
                  </m:r>
                  <m:r>
                    <a:rPr lang="en-US" sz="1000" b="0" i="0" baseline="-25000">
                      <a:latin typeface="Cambria Math" panose="02040503050406030204" pitchFamily="18" charset="0"/>
                      <a:ea typeface="Cambria Math" panose="02040503050406030204" pitchFamily="18" charset="0"/>
                    </a:rPr>
                    <m:t> =   </m:t>
                  </m:r>
                  <m:sSup>
                    <m:sSupPr>
                      <m:ctrlPr>
                        <a:rPr lang="en-US" sz="1000" b="0" i="1">
                          <a:solidFill>
                            <a:schemeClr val="tx1"/>
                          </a:solidFill>
                          <a:effectLst/>
                          <a:latin typeface="Cambria Math" panose="02040503050406030204" pitchFamily="18" charset="0"/>
                          <a:ea typeface="Cambria Math" panose="02040503050406030204" pitchFamily="18" charset="0"/>
                          <a:cs typeface="+mn-cs"/>
                        </a:rPr>
                      </m:ctrlPr>
                    </m:sSupPr>
                    <m:e>
                      <m:d>
                        <m:dPr>
                          <m:ctrlPr>
                            <a:rPr lang="en-US" sz="1000" b="0" i="1">
                              <a:solidFill>
                                <a:schemeClr val="tx1"/>
                              </a:solidFill>
                              <a:effectLst/>
                              <a:latin typeface="Cambria Math" panose="02040503050406030204" pitchFamily="18" charset="0"/>
                              <a:ea typeface="Cambria Math" panose="02040503050406030204" pitchFamily="18" charset="0"/>
                              <a:cs typeface="+mn-cs"/>
                            </a:rPr>
                          </m:ctrlPr>
                        </m:dPr>
                        <m:e>
                          <m:f>
                            <m:fPr>
                              <m:ctrlPr>
                                <a:rPr lang="en-US" sz="1000" b="0" i="1">
                                  <a:solidFill>
                                    <a:schemeClr val="tx1"/>
                                  </a:solidFill>
                                  <a:effectLst/>
                                  <a:latin typeface="Cambria Math" panose="02040503050406030204" pitchFamily="18" charset="0"/>
                                  <a:ea typeface="Cambria Math" panose="02040503050406030204" pitchFamily="18" charset="0"/>
                                  <a:cs typeface="+mn-cs"/>
                                </a:rPr>
                              </m:ctrlPr>
                            </m:fPr>
                            <m:num>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X</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num>
                            <m:den>
                              <m:r>
                                <a:rPr lang="en-US" sz="1000" b="0" i="0">
                                  <a:solidFill>
                                    <a:schemeClr val="tx1"/>
                                  </a:solidFill>
                                  <a:effectLst/>
                                  <a:latin typeface="Cambria Math" panose="02040503050406030204" pitchFamily="18" charset="0"/>
                                  <a:ea typeface="Cambria Math" panose="02040503050406030204" pitchFamily="18" charset="0"/>
                                  <a:cs typeface="+mn-cs"/>
                                </a:rPr>
                                <m:t>2</m:t>
                              </m:r>
                            </m:den>
                          </m:f>
                          <m:r>
                            <a:rPr lang="en-US" sz="1000" b="0" i="0">
                              <a:solidFill>
                                <a:schemeClr val="tx1"/>
                              </a:solidFill>
                              <a:effectLst/>
                              <a:latin typeface="Cambria Math" panose="02040503050406030204" pitchFamily="18" charset="0"/>
                              <a:ea typeface="Cambria Math" panose="02040503050406030204" pitchFamily="18" charset="0"/>
                              <a:cs typeface="+mn-cs"/>
                            </a:rPr>
                            <m:t> − </m:t>
                          </m:r>
                          <m:f>
                            <m:fPr>
                              <m:ctrlPr>
                                <a:rPr lang="en-US" sz="1000" b="0" i="1">
                                  <a:solidFill>
                                    <a:schemeClr val="tx1"/>
                                  </a:solidFill>
                                  <a:effectLst/>
                                  <a:latin typeface="Cambria Math" panose="02040503050406030204" pitchFamily="18" charset="0"/>
                                  <a:ea typeface="Cambria Math" panose="02040503050406030204" pitchFamily="18" charset="0"/>
                                  <a:cs typeface="+mn-cs"/>
                                </a:rPr>
                              </m:ctrlPr>
                            </m:fPr>
                            <m:num>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X</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col</m:t>
                                  </m:r>
                                </m:sub>
                              </m:sSub>
                            </m:num>
                            <m:den>
                              <m:r>
                                <a:rPr lang="en-US" sz="1000" b="0" i="0">
                                  <a:solidFill>
                                    <a:schemeClr val="tx1"/>
                                  </a:solidFill>
                                  <a:effectLst/>
                                  <a:latin typeface="Cambria Math" panose="02040503050406030204" pitchFamily="18" charset="0"/>
                                  <a:ea typeface="Cambria Math" panose="02040503050406030204" pitchFamily="18" charset="0"/>
                                  <a:cs typeface="+mn-cs"/>
                                </a:rPr>
                                <m:t>2</m:t>
                              </m:r>
                            </m:den>
                          </m:f>
                        </m:e>
                      </m:d>
                    </m:e>
                    <m:sup>
                      <m:r>
                        <a:rPr lang="en-US" sz="1000" b="0" i="0">
                          <a:solidFill>
                            <a:schemeClr val="tx1"/>
                          </a:solidFill>
                          <a:effectLst/>
                          <a:latin typeface="Cambria Math" panose="02040503050406030204" pitchFamily="18" charset="0"/>
                          <a:ea typeface="Cambria Math" panose="02040503050406030204" pitchFamily="18" charset="0"/>
                          <a:cs typeface="+mn-cs"/>
                        </a:rPr>
                        <m:t>2</m:t>
                      </m:r>
                    </m:sup>
                  </m:sSup>
                  <m:r>
                    <a:rPr lang="en-US" sz="1000" b="0" i="0">
                      <a:solidFill>
                        <a:schemeClr val="tx1"/>
                      </a:solidFill>
                      <a:effectLst/>
                      <a:latin typeface="Cambria Math" panose="02040503050406030204" pitchFamily="18" charset="0"/>
                      <a:ea typeface="Cambria Math" panose="02040503050406030204" pitchFamily="18" charset="0"/>
                      <a:cs typeface="+mn-cs"/>
                    </a:rPr>
                    <m:t> ∗ </m:t>
                  </m:r>
                  <m:f>
                    <m:fPr>
                      <m:ctrlPr>
                        <a:rPr lang="en-US" sz="1000" b="0" i="1" baseline="0">
                          <a:latin typeface="Cambria Math" panose="02040503050406030204" pitchFamily="18" charset="0"/>
                          <a:ea typeface="Cambria Math" panose="02040503050406030204" pitchFamily="18" charset="0"/>
                        </a:rPr>
                      </m:ctrlPr>
                    </m:fPr>
                    <m:num>
                      <m:sSub>
                        <m:sSubPr>
                          <m:ctrlPr>
                            <a:rPr lang="en-US" sz="1000" b="0" i="1" baseline="0">
                              <a:latin typeface="Cambria Math" panose="02040503050406030204" pitchFamily="18" charset="0"/>
                              <a:ea typeface="Cambria Math" panose="02040503050406030204" pitchFamily="18" charset="0"/>
                            </a:rPr>
                          </m:ctrlPr>
                        </m:sSubPr>
                        <m:e>
                          <m:r>
                            <m:rPr>
                              <m:sty m:val="p"/>
                            </m:rPr>
                            <a:rPr lang="en-US" sz="1000" b="0" i="0" baseline="0">
                              <a:latin typeface="Cambria Math" panose="02040503050406030204" pitchFamily="18" charset="0"/>
                              <a:ea typeface="Cambria Math" panose="02040503050406030204" pitchFamily="18" charset="0"/>
                            </a:rPr>
                            <m:t>q</m:t>
                          </m:r>
                        </m:e>
                        <m:sub>
                          <m:r>
                            <m:rPr>
                              <m:sty m:val="p"/>
                            </m:rPr>
                            <a:rPr lang="en-US" sz="1000" b="0" i="0" baseline="0">
                              <a:latin typeface="Cambria Math" panose="02040503050406030204" pitchFamily="18" charset="0"/>
                              <a:ea typeface="Cambria Math" panose="02040503050406030204" pitchFamily="18" charset="0"/>
                            </a:rPr>
                            <m:t>u</m:t>
                          </m:r>
                        </m:sub>
                      </m:sSub>
                    </m:num>
                    <m:den>
                      <m:r>
                        <a:rPr lang="en-US" sz="1000" b="0" i="0" baseline="0">
                          <a:latin typeface="Cambria Math" panose="02040503050406030204" pitchFamily="18" charset="0"/>
                          <a:ea typeface="Cambria Math" panose="02040503050406030204" pitchFamily="18" charset="0"/>
                        </a:rPr>
                        <m:t>2</m:t>
                      </m:r>
                    </m:den>
                  </m:f>
                </m:oMath>
              </a14:m>
              <a:r>
                <a:rPr lang="en-US" sz="1000" b="0" i="0" baseline="0">
                  <a:latin typeface="Cambria Math" panose="02040503050406030204" pitchFamily="18" charset="0"/>
                  <a:ea typeface="Cambria Math" panose="02040503050406030204" pitchFamily="18" charset="0"/>
                </a:rPr>
                <a:t> </a:t>
              </a:r>
            </a:p>
          </xdr:txBody>
        </xdr:sp>
      </mc:Choice>
      <mc:Fallback xmlns="">
        <xdr:sp macro="" textlink="">
          <xdr:nvSpPr>
            <xdr:cNvPr id="72" name="TextBox 71">
              <a:extLst>
                <a:ext uri="{FF2B5EF4-FFF2-40B4-BE49-F238E27FC236}">
                  <a16:creationId xmlns:a16="http://schemas.microsoft.com/office/drawing/2014/main" id="{F7ED0A86-20AB-4E16-A3AF-BB7F43B21615}"/>
                </a:ext>
              </a:extLst>
            </xdr:cNvPr>
            <xdr:cNvSpPr txBox="1"/>
          </xdr:nvSpPr>
          <xdr:spPr>
            <a:xfrm>
              <a:off x="29698359" y="5018380"/>
              <a:ext cx="1518598" cy="296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M</a:t>
              </a:r>
              <a:r>
                <a:rPr lang="en-US" sz="1000" b="0" i="0" baseline="-25000">
                  <a:latin typeface="Cambria Math" panose="02040503050406030204" pitchFamily="18" charset="0"/>
                  <a:ea typeface="Cambria Math" panose="02040503050406030204" pitchFamily="18" charset="0"/>
                </a:rPr>
                <a:t>u, x =   </a:t>
              </a:r>
              <a:r>
                <a:rPr lang="en-US" sz="1000" b="0" i="0">
                  <a:solidFill>
                    <a:schemeClr val="tx1"/>
                  </a:solidFill>
                  <a:effectLst/>
                  <a:latin typeface="Cambria Math" panose="02040503050406030204" pitchFamily="18" charset="0"/>
                  <a:ea typeface="Cambria Math" panose="02040503050406030204" pitchFamily="18" charset="0"/>
                  <a:cs typeface="+mn-cs"/>
                </a:rPr>
                <a:t>(X_ftg/2  − X_col/2)^2  ∗ </a:t>
              </a:r>
              <a:r>
                <a:rPr lang="en-US" sz="1000" b="0" i="0" baseline="0">
                  <a:latin typeface="Cambria Math" panose="02040503050406030204" pitchFamily="18" charset="0"/>
                  <a:ea typeface="Cambria Math" panose="02040503050406030204" pitchFamily="18" charset="0"/>
                </a:rPr>
                <a:t> q_u/2 </a:t>
              </a:r>
            </a:p>
          </xdr:txBody>
        </xdr:sp>
      </mc:Fallback>
    </mc:AlternateContent>
    <xdr:clientData/>
  </xdr:oneCellAnchor>
  <xdr:oneCellAnchor>
    <xdr:from>
      <xdr:col>57</xdr:col>
      <xdr:colOff>61730</xdr:colOff>
      <xdr:row>26</xdr:row>
      <xdr:rowOff>66009</xdr:rowOff>
    </xdr:from>
    <xdr:ext cx="1518598" cy="296232"/>
    <mc:AlternateContent xmlns:mc="http://schemas.openxmlformats.org/markup-compatibility/2006" xmlns:a14="http://schemas.microsoft.com/office/drawing/2010/main">
      <mc:Choice Requires="a14">
        <xdr:sp macro="" textlink="">
          <xdr:nvSpPr>
            <xdr:cNvPr id="73" name="TextBox 72">
              <a:extLst>
                <a:ext uri="{FF2B5EF4-FFF2-40B4-BE49-F238E27FC236}">
                  <a16:creationId xmlns:a16="http://schemas.microsoft.com/office/drawing/2014/main" id="{00000000-0008-0000-0100-000049000000}"/>
                </a:ext>
              </a:extLst>
            </xdr:cNvPr>
            <xdr:cNvSpPr txBox="1"/>
          </xdr:nvSpPr>
          <xdr:spPr>
            <a:xfrm>
              <a:off x="32820110" y="5011389"/>
              <a:ext cx="1518598" cy="296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r>
                    <m:rPr>
                      <m:sty m:val="p"/>
                    </m:rPr>
                    <a:rPr lang="en-US" sz="1000" b="0" i="0">
                      <a:latin typeface="Cambria Math" panose="02040503050406030204" pitchFamily="18" charset="0"/>
                      <a:ea typeface="Cambria Math" panose="02040503050406030204" pitchFamily="18" charset="0"/>
                    </a:rPr>
                    <m:t>M</m:t>
                  </m:r>
                  <m:r>
                    <m:rPr>
                      <m:sty m:val="p"/>
                    </m:rPr>
                    <a:rPr lang="en-US" sz="1000" b="0" i="0" baseline="-25000">
                      <a:latin typeface="Cambria Math" panose="02040503050406030204" pitchFamily="18" charset="0"/>
                      <a:ea typeface="Cambria Math" panose="02040503050406030204" pitchFamily="18" charset="0"/>
                    </a:rPr>
                    <m:t>u</m:t>
                  </m:r>
                  <m:r>
                    <a:rPr lang="en-US" sz="1000" b="0" i="0" baseline="-25000">
                      <a:latin typeface="Cambria Math" panose="02040503050406030204" pitchFamily="18" charset="0"/>
                      <a:ea typeface="Cambria Math" panose="02040503050406030204" pitchFamily="18" charset="0"/>
                    </a:rPr>
                    <m:t>, </m:t>
                  </m:r>
                  <m:r>
                    <m:rPr>
                      <m:sty m:val="p"/>
                    </m:rPr>
                    <a:rPr lang="en-US" sz="1000" b="0" i="0" baseline="-25000">
                      <a:latin typeface="Cambria Math" panose="02040503050406030204" pitchFamily="18" charset="0"/>
                      <a:ea typeface="Cambria Math" panose="02040503050406030204" pitchFamily="18" charset="0"/>
                    </a:rPr>
                    <m:t>y</m:t>
                  </m:r>
                  <m:r>
                    <a:rPr lang="en-US" sz="1000" b="0" i="0" baseline="0">
                      <a:latin typeface="Cambria Math" panose="02040503050406030204" pitchFamily="18" charset="0"/>
                      <a:ea typeface="Cambria Math" panose="02040503050406030204" pitchFamily="18" charset="0"/>
                    </a:rPr>
                    <m:t> =   </m:t>
                  </m:r>
                  <m:sSup>
                    <m:sSupPr>
                      <m:ctrlPr>
                        <a:rPr lang="en-US" sz="1000" b="0" i="1">
                          <a:solidFill>
                            <a:schemeClr val="tx1"/>
                          </a:solidFill>
                          <a:effectLst/>
                          <a:latin typeface="Cambria Math" panose="02040503050406030204" pitchFamily="18" charset="0"/>
                          <a:ea typeface="Cambria Math" panose="02040503050406030204" pitchFamily="18" charset="0"/>
                          <a:cs typeface="+mn-cs"/>
                        </a:rPr>
                      </m:ctrlPr>
                    </m:sSupPr>
                    <m:e>
                      <m:d>
                        <m:dPr>
                          <m:ctrlPr>
                            <a:rPr lang="en-US" sz="1000" b="0" i="1">
                              <a:solidFill>
                                <a:schemeClr val="tx1"/>
                              </a:solidFill>
                              <a:effectLst/>
                              <a:latin typeface="Cambria Math" panose="02040503050406030204" pitchFamily="18" charset="0"/>
                              <a:ea typeface="Cambria Math" panose="02040503050406030204" pitchFamily="18" charset="0"/>
                              <a:cs typeface="+mn-cs"/>
                            </a:rPr>
                          </m:ctrlPr>
                        </m:dPr>
                        <m:e>
                          <m:f>
                            <m:fPr>
                              <m:ctrlPr>
                                <a:rPr lang="en-US" sz="1000" b="0" i="1">
                                  <a:solidFill>
                                    <a:schemeClr val="tx1"/>
                                  </a:solidFill>
                                  <a:effectLst/>
                                  <a:latin typeface="Cambria Math" panose="02040503050406030204" pitchFamily="18" charset="0"/>
                                  <a:ea typeface="Cambria Math" panose="02040503050406030204" pitchFamily="18" charset="0"/>
                                  <a:cs typeface="+mn-cs"/>
                                </a:rPr>
                              </m:ctrlPr>
                            </m:fPr>
                            <m:num>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Y</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ftg</m:t>
                                  </m:r>
                                </m:sub>
                              </m:sSub>
                            </m:num>
                            <m:den>
                              <m:r>
                                <a:rPr lang="en-US" sz="1000" b="0" i="0">
                                  <a:solidFill>
                                    <a:schemeClr val="tx1"/>
                                  </a:solidFill>
                                  <a:effectLst/>
                                  <a:latin typeface="Cambria Math" panose="02040503050406030204" pitchFamily="18" charset="0"/>
                                  <a:ea typeface="Cambria Math" panose="02040503050406030204" pitchFamily="18" charset="0"/>
                                  <a:cs typeface="+mn-cs"/>
                                </a:rPr>
                                <m:t>2</m:t>
                              </m:r>
                            </m:den>
                          </m:f>
                          <m:r>
                            <a:rPr lang="en-US" sz="1000" b="0" i="0">
                              <a:solidFill>
                                <a:schemeClr val="tx1"/>
                              </a:solidFill>
                              <a:effectLst/>
                              <a:latin typeface="Cambria Math" panose="02040503050406030204" pitchFamily="18" charset="0"/>
                              <a:ea typeface="Cambria Math" panose="02040503050406030204" pitchFamily="18" charset="0"/>
                              <a:cs typeface="+mn-cs"/>
                            </a:rPr>
                            <m:t> − </m:t>
                          </m:r>
                          <m:f>
                            <m:fPr>
                              <m:ctrlPr>
                                <a:rPr lang="en-US" sz="1000" b="0" i="1">
                                  <a:solidFill>
                                    <a:schemeClr val="tx1"/>
                                  </a:solidFill>
                                  <a:effectLst/>
                                  <a:latin typeface="Cambria Math" panose="02040503050406030204" pitchFamily="18" charset="0"/>
                                  <a:ea typeface="Cambria Math" panose="02040503050406030204" pitchFamily="18" charset="0"/>
                                  <a:cs typeface="+mn-cs"/>
                                </a:rPr>
                              </m:ctrlPr>
                            </m:fPr>
                            <m:num>
                              <m:sSub>
                                <m:sSubPr>
                                  <m:ctrlPr>
                                    <a:rPr lang="en-US" sz="1000" b="0" i="1">
                                      <a:solidFill>
                                        <a:schemeClr val="tx1"/>
                                      </a:solidFill>
                                      <a:effectLst/>
                                      <a:latin typeface="Cambria Math" panose="02040503050406030204" pitchFamily="18" charset="0"/>
                                      <a:ea typeface="Cambria Math" panose="02040503050406030204" pitchFamily="18" charset="0"/>
                                      <a:cs typeface="+mn-cs"/>
                                    </a:rPr>
                                  </m:ctrlPr>
                                </m:sSubPr>
                                <m:e>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Y</m:t>
                                  </m:r>
                                </m:e>
                                <m:sub>
                                  <m:r>
                                    <m:rPr>
                                      <m:sty m:val="p"/>
                                    </m:rPr>
                                    <a:rPr lang="en-US" sz="1000" b="0" i="0">
                                      <a:solidFill>
                                        <a:schemeClr val="tx1"/>
                                      </a:solidFill>
                                      <a:effectLst/>
                                      <a:latin typeface="Cambria Math" panose="02040503050406030204" pitchFamily="18" charset="0"/>
                                      <a:ea typeface="Cambria Math" panose="02040503050406030204" pitchFamily="18" charset="0"/>
                                      <a:cs typeface="+mn-cs"/>
                                    </a:rPr>
                                    <m:t>col</m:t>
                                  </m:r>
                                </m:sub>
                              </m:sSub>
                            </m:num>
                            <m:den>
                              <m:r>
                                <a:rPr lang="en-US" sz="1000" b="0" i="0">
                                  <a:solidFill>
                                    <a:schemeClr val="tx1"/>
                                  </a:solidFill>
                                  <a:effectLst/>
                                  <a:latin typeface="Cambria Math" panose="02040503050406030204" pitchFamily="18" charset="0"/>
                                  <a:ea typeface="Cambria Math" panose="02040503050406030204" pitchFamily="18" charset="0"/>
                                  <a:cs typeface="+mn-cs"/>
                                </a:rPr>
                                <m:t>2</m:t>
                              </m:r>
                            </m:den>
                          </m:f>
                        </m:e>
                      </m:d>
                    </m:e>
                    <m:sup>
                      <m:r>
                        <a:rPr lang="en-US" sz="1000" b="0" i="0">
                          <a:solidFill>
                            <a:schemeClr val="tx1"/>
                          </a:solidFill>
                          <a:effectLst/>
                          <a:latin typeface="Cambria Math" panose="02040503050406030204" pitchFamily="18" charset="0"/>
                          <a:ea typeface="Cambria Math" panose="02040503050406030204" pitchFamily="18" charset="0"/>
                          <a:cs typeface="+mn-cs"/>
                        </a:rPr>
                        <m:t>2</m:t>
                      </m:r>
                    </m:sup>
                  </m:sSup>
                  <m:r>
                    <a:rPr lang="en-US" sz="1000" b="0" i="0">
                      <a:solidFill>
                        <a:schemeClr val="tx1"/>
                      </a:solidFill>
                      <a:effectLst/>
                      <a:latin typeface="Cambria Math" panose="02040503050406030204" pitchFamily="18" charset="0"/>
                      <a:ea typeface="Cambria Math" panose="02040503050406030204" pitchFamily="18" charset="0"/>
                      <a:cs typeface="+mn-cs"/>
                    </a:rPr>
                    <m:t> ∗ </m:t>
                  </m:r>
                  <m:f>
                    <m:fPr>
                      <m:ctrlPr>
                        <a:rPr lang="en-US" sz="1000" b="0" i="1" baseline="0">
                          <a:latin typeface="Cambria Math" panose="02040503050406030204" pitchFamily="18" charset="0"/>
                          <a:ea typeface="Cambria Math" panose="02040503050406030204" pitchFamily="18" charset="0"/>
                        </a:rPr>
                      </m:ctrlPr>
                    </m:fPr>
                    <m:num>
                      <m:sSub>
                        <m:sSubPr>
                          <m:ctrlPr>
                            <a:rPr lang="en-US" sz="1000" b="0" i="1" baseline="0">
                              <a:latin typeface="Cambria Math" panose="02040503050406030204" pitchFamily="18" charset="0"/>
                              <a:ea typeface="Cambria Math" panose="02040503050406030204" pitchFamily="18" charset="0"/>
                            </a:rPr>
                          </m:ctrlPr>
                        </m:sSubPr>
                        <m:e>
                          <m:r>
                            <m:rPr>
                              <m:sty m:val="p"/>
                            </m:rPr>
                            <a:rPr lang="en-US" sz="1000" b="0" i="0" baseline="0">
                              <a:latin typeface="Cambria Math" panose="02040503050406030204" pitchFamily="18" charset="0"/>
                              <a:ea typeface="Cambria Math" panose="02040503050406030204" pitchFamily="18" charset="0"/>
                            </a:rPr>
                            <m:t>q</m:t>
                          </m:r>
                        </m:e>
                        <m:sub>
                          <m:r>
                            <m:rPr>
                              <m:sty m:val="p"/>
                            </m:rPr>
                            <a:rPr lang="en-US" sz="1000" b="0" i="0" baseline="0">
                              <a:latin typeface="Cambria Math" panose="02040503050406030204" pitchFamily="18" charset="0"/>
                              <a:ea typeface="Cambria Math" panose="02040503050406030204" pitchFamily="18" charset="0"/>
                            </a:rPr>
                            <m:t>u</m:t>
                          </m:r>
                        </m:sub>
                      </m:sSub>
                    </m:num>
                    <m:den>
                      <m:r>
                        <a:rPr lang="en-US" sz="1000" b="0" i="0" baseline="0">
                          <a:latin typeface="Cambria Math" panose="02040503050406030204" pitchFamily="18" charset="0"/>
                          <a:ea typeface="Cambria Math" panose="02040503050406030204" pitchFamily="18" charset="0"/>
                        </a:rPr>
                        <m:t>2</m:t>
                      </m:r>
                    </m:den>
                  </m:f>
                </m:oMath>
              </a14:m>
              <a:r>
                <a:rPr lang="en-US" sz="1000" b="0" i="0" baseline="0">
                  <a:latin typeface="Cambria Math" panose="02040503050406030204" pitchFamily="18" charset="0"/>
                  <a:ea typeface="Cambria Math" panose="02040503050406030204" pitchFamily="18" charset="0"/>
                </a:rPr>
                <a:t> </a:t>
              </a:r>
            </a:p>
          </xdr:txBody>
        </xdr:sp>
      </mc:Choice>
      <mc:Fallback xmlns="">
        <xdr:sp macro="" textlink="">
          <xdr:nvSpPr>
            <xdr:cNvPr id="73" name="TextBox 72">
              <a:extLst>
                <a:ext uri="{FF2B5EF4-FFF2-40B4-BE49-F238E27FC236}">
                  <a16:creationId xmlns:a16="http://schemas.microsoft.com/office/drawing/2014/main" id="{081964F0-DFA8-4950-AA1C-E059B32197C7}"/>
                </a:ext>
              </a:extLst>
            </xdr:cNvPr>
            <xdr:cNvSpPr txBox="1"/>
          </xdr:nvSpPr>
          <xdr:spPr>
            <a:xfrm>
              <a:off x="32820110" y="5011389"/>
              <a:ext cx="1518598" cy="296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000" b="0" i="0">
                  <a:latin typeface="Cambria Math" panose="02040503050406030204" pitchFamily="18" charset="0"/>
                  <a:ea typeface="Cambria Math" panose="02040503050406030204" pitchFamily="18" charset="0"/>
                </a:rPr>
                <a:t>M</a:t>
              </a:r>
              <a:r>
                <a:rPr lang="en-US" sz="1000" b="0" i="0" baseline="-25000">
                  <a:latin typeface="Cambria Math" panose="02040503050406030204" pitchFamily="18" charset="0"/>
                  <a:ea typeface="Cambria Math" panose="02040503050406030204" pitchFamily="18" charset="0"/>
                </a:rPr>
                <a:t>u, y</a:t>
              </a:r>
              <a:r>
                <a:rPr lang="en-US" sz="1000" b="0" i="0" baseline="0">
                  <a:latin typeface="Cambria Math" panose="02040503050406030204" pitchFamily="18" charset="0"/>
                  <a:ea typeface="Cambria Math" panose="02040503050406030204" pitchFamily="18" charset="0"/>
                </a:rPr>
                <a:t> =   </a:t>
              </a:r>
              <a:r>
                <a:rPr lang="en-US" sz="1000" b="0" i="0">
                  <a:solidFill>
                    <a:schemeClr val="tx1"/>
                  </a:solidFill>
                  <a:effectLst/>
                  <a:latin typeface="Cambria Math" panose="02040503050406030204" pitchFamily="18" charset="0"/>
                  <a:ea typeface="Cambria Math" panose="02040503050406030204" pitchFamily="18" charset="0"/>
                  <a:cs typeface="+mn-cs"/>
                </a:rPr>
                <a:t>(Y_ftg/2  − Y_col/2)^2  ∗ </a:t>
              </a:r>
              <a:r>
                <a:rPr lang="en-US" sz="1000" b="0" i="0" baseline="0">
                  <a:latin typeface="Cambria Math" panose="02040503050406030204" pitchFamily="18" charset="0"/>
                  <a:ea typeface="Cambria Math" panose="02040503050406030204" pitchFamily="18" charset="0"/>
                </a:rPr>
                <a:t> q_u/2 </a:t>
              </a:r>
            </a:p>
          </xdr:txBody>
        </xdr:sp>
      </mc:Fallback>
    </mc:AlternateContent>
    <xdr:clientData/>
  </xdr:oneCellAnchor>
  <mc:AlternateContent xmlns:mc="http://schemas.openxmlformats.org/markup-compatibility/2006">
    <mc:Choice xmlns:a14="http://schemas.microsoft.com/office/drawing/2010/main" Requires="a14">
      <xdr:twoCellAnchor>
        <xdr:from>
          <xdr:col>20</xdr:col>
          <xdr:colOff>144780</xdr:colOff>
          <xdr:row>0</xdr:row>
          <xdr:rowOff>160020</xdr:rowOff>
        </xdr:from>
        <xdr:to>
          <xdr:col>22</xdr:col>
          <xdr:colOff>342900</xdr:colOff>
          <xdr:row>3</xdr:row>
          <xdr:rowOff>38100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Futura Lt BT"/>
                </a:rPr>
                <a:t>Print All Calculation</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OrchardParkPh1\Engineers\SNS\Spread%20Footing%20Design%20v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Spread Ftg Design"/>
      <sheetName val="Loading"/>
      <sheetName val="Footing Schedule"/>
      <sheetName val="Batch Solver"/>
      <sheetName val="Markup"/>
      <sheetName val="RAM STEEL - FOUNDATION LOADS"/>
      <sheetName val="Back of House - Saved table"/>
      <sheetName val="Back of House - Variables"/>
      <sheetName val="ETABS - JOINT LOCATIONS"/>
      <sheetName val="ETABS - JOINT REACTIONS (TDL)"/>
      <sheetName val="ETABS - JOINT REACTIONS (TLL)"/>
      <sheetName val="Spread Footing Design v2.2"/>
    </sheetNames>
    <definedNames>
      <definedName name="PrintAll"/>
      <definedName name="SelectColMark"/>
    </definedNames>
    <sheetDataSet>
      <sheetData sheetId="0">
        <row r="13">
          <cell r="D13" t="str">
            <v>Test Project2</v>
          </cell>
        </row>
        <row r="14">
          <cell r="D14" t="str">
            <v>ENG2</v>
          </cell>
        </row>
      </sheetData>
      <sheetData sheetId="1"/>
      <sheetData sheetId="2"/>
      <sheetData sheetId="3"/>
      <sheetData sheetId="4"/>
      <sheetData sheetId="5"/>
      <sheetData sheetId="6"/>
      <sheetData sheetId="7"/>
      <sheetData sheetId="8">
        <row r="10">
          <cell r="Z10">
            <v>60000</v>
          </cell>
          <cell r="AA10">
            <v>3000</v>
          </cell>
          <cell r="AB10">
            <v>3</v>
          </cell>
          <cell r="AC10">
            <v>17</v>
          </cell>
        </row>
        <row r="11">
          <cell r="Z11">
            <v>60000</v>
          </cell>
          <cell r="AA11">
            <v>3000</v>
          </cell>
          <cell r="AB11">
            <v>4</v>
          </cell>
          <cell r="AC11">
            <v>22</v>
          </cell>
        </row>
        <row r="12">
          <cell r="Z12">
            <v>60000</v>
          </cell>
          <cell r="AA12">
            <v>3000</v>
          </cell>
          <cell r="AB12">
            <v>5</v>
          </cell>
          <cell r="AC12">
            <v>28</v>
          </cell>
        </row>
        <row r="13">
          <cell r="Z13">
            <v>60000</v>
          </cell>
          <cell r="AA13">
            <v>3000</v>
          </cell>
          <cell r="AB13">
            <v>6</v>
          </cell>
          <cell r="AC13">
            <v>33</v>
          </cell>
        </row>
        <row r="14">
          <cell r="Z14">
            <v>60000</v>
          </cell>
          <cell r="AA14">
            <v>3000</v>
          </cell>
          <cell r="AB14">
            <v>7</v>
          </cell>
          <cell r="AC14">
            <v>48</v>
          </cell>
        </row>
        <row r="15">
          <cell r="Z15">
            <v>60000</v>
          </cell>
          <cell r="AA15">
            <v>3000</v>
          </cell>
          <cell r="AB15">
            <v>8</v>
          </cell>
          <cell r="AC15">
            <v>55</v>
          </cell>
        </row>
        <row r="16">
          <cell r="Z16">
            <v>60000</v>
          </cell>
          <cell r="AA16">
            <v>3000</v>
          </cell>
          <cell r="AB16">
            <v>9</v>
          </cell>
          <cell r="AC16">
            <v>62</v>
          </cell>
        </row>
        <row r="17">
          <cell r="Z17">
            <v>60000</v>
          </cell>
          <cell r="AA17">
            <v>3000</v>
          </cell>
          <cell r="AB17">
            <v>10</v>
          </cell>
          <cell r="AC17">
            <v>70</v>
          </cell>
        </row>
        <row r="18">
          <cell r="Z18">
            <v>60000</v>
          </cell>
          <cell r="AA18">
            <v>3000</v>
          </cell>
          <cell r="AB18">
            <v>11</v>
          </cell>
          <cell r="AC18">
            <v>78</v>
          </cell>
        </row>
        <row r="19">
          <cell r="Z19">
            <v>60000</v>
          </cell>
          <cell r="AA19">
            <v>3000</v>
          </cell>
          <cell r="AB19">
            <v>14</v>
          </cell>
          <cell r="AC19">
            <v>93</v>
          </cell>
        </row>
        <row r="20">
          <cell r="Z20">
            <v>60000</v>
          </cell>
          <cell r="AA20">
            <v>3000</v>
          </cell>
          <cell r="AB20">
            <v>18</v>
          </cell>
          <cell r="AC20">
            <v>124</v>
          </cell>
        </row>
        <row r="21">
          <cell r="Z21">
            <v>60000</v>
          </cell>
          <cell r="AA21">
            <v>4000</v>
          </cell>
          <cell r="AB21">
            <v>3</v>
          </cell>
          <cell r="AC21">
            <v>15</v>
          </cell>
        </row>
        <row r="22">
          <cell r="Z22">
            <v>60000</v>
          </cell>
          <cell r="AA22">
            <v>4000</v>
          </cell>
          <cell r="AB22">
            <v>4</v>
          </cell>
          <cell r="AC22">
            <v>19</v>
          </cell>
        </row>
        <row r="23">
          <cell r="Z23">
            <v>60000</v>
          </cell>
          <cell r="AA23">
            <v>4000</v>
          </cell>
          <cell r="AB23">
            <v>5</v>
          </cell>
          <cell r="AC23">
            <v>24</v>
          </cell>
        </row>
        <row r="24">
          <cell r="Z24">
            <v>60000</v>
          </cell>
          <cell r="AA24">
            <v>4000</v>
          </cell>
          <cell r="AB24">
            <v>6</v>
          </cell>
          <cell r="AC24">
            <v>29</v>
          </cell>
        </row>
        <row r="25">
          <cell r="Z25">
            <v>60000</v>
          </cell>
          <cell r="AA25">
            <v>4000</v>
          </cell>
          <cell r="AB25">
            <v>7</v>
          </cell>
          <cell r="AC25">
            <v>42</v>
          </cell>
        </row>
        <row r="26">
          <cell r="Z26">
            <v>60000</v>
          </cell>
          <cell r="AA26">
            <v>4000</v>
          </cell>
          <cell r="AB26">
            <v>8</v>
          </cell>
          <cell r="AC26">
            <v>48</v>
          </cell>
        </row>
        <row r="27">
          <cell r="Z27">
            <v>60000</v>
          </cell>
          <cell r="AA27">
            <v>4000</v>
          </cell>
          <cell r="AB27">
            <v>9</v>
          </cell>
          <cell r="AC27">
            <v>54</v>
          </cell>
        </row>
        <row r="28">
          <cell r="Z28">
            <v>60000</v>
          </cell>
          <cell r="AA28">
            <v>4000</v>
          </cell>
          <cell r="AB28">
            <v>10</v>
          </cell>
          <cell r="AC28">
            <v>61</v>
          </cell>
        </row>
        <row r="29">
          <cell r="Z29">
            <v>60000</v>
          </cell>
          <cell r="AA29">
            <v>4000</v>
          </cell>
          <cell r="AB29">
            <v>11</v>
          </cell>
          <cell r="AC29">
            <v>67</v>
          </cell>
        </row>
        <row r="30">
          <cell r="Z30">
            <v>60000</v>
          </cell>
          <cell r="AA30">
            <v>4000</v>
          </cell>
          <cell r="AB30">
            <v>14</v>
          </cell>
          <cell r="AC30">
            <v>81</v>
          </cell>
        </row>
        <row r="31">
          <cell r="Z31">
            <v>60000</v>
          </cell>
          <cell r="AA31">
            <v>4000</v>
          </cell>
          <cell r="AB31">
            <v>18</v>
          </cell>
          <cell r="AC31">
            <v>108</v>
          </cell>
        </row>
        <row r="32">
          <cell r="Z32">
            <v>60000</v>
          </cell>
          <cell r="AA32">
            <v>5000</v>
          </cell>
          <cell r="AB32">
            <v>3</v>
          </cell>
          <cell r="AC32">
            <v>13</v>
          </cell>
        </row>
        <row r="33">
          <cell r="Z33">
            <v>60000</v>
          </cell>
          <cell r="AA33">
            <v>5000</v>
          </cell>
          <cell r="AB33">
            <v>4</v>
          </cell>
          <cell r="AC33">
            <v>17</v>
          </cell>
        </row>
        <row r="34">
          <cell r="Z34">
            <v>60000</v>
          </cell>
          <cell r="AA34">
            <v>5000</v>
          </cell>
          <cell r="AB34">
            <v>5</v>
          </cell>
          <cell r="AC34">
            <v>22</v>
          </cell>
        </row>
        <row r="35">
          <cell r="Z35">
            <v>60000</v>
          </cell>
          <cell r="AA35">
            <v>5000</v>
          </cell>
          <cell r="AB35">
            <v>6</v>
          </cell>
          <cell r="AC35">
            <v>26</v>
          </cell>
        </row>
        <row r="36">
          <cell r="Z36">
            <v>60000</v>
          </cell>
          <cell r="AA36">
            <v>5000</v>
          </cell>
          <cell r="AB36">
            <v>7</v>
          </cell>
          <cell r="AC36">
            <v>38</v>
          </cell>
        </row>
        <row r="37">
          <cell r="Z37">
            <v>60000</v>
          </cell>
          <cell r="AA37">
            <v>5000</v>
          </cell>
          <cell r="AB37">
            <v>8</v>
          </cell>
          <cell r="AC37">
            <v>43</v>
          </cell>
        </row>
        <row r="38">
          <cell r="Z38">
            <v>60000</v>
          </cell>
          <cell r="AA38">
            <v>5000</v>
          </cell>
          <cell r="AB38">
            <v>9</v>
          </cell>
          <cell r="AC38">
            <v>48</v>
          </cell>
        </row>
        <row r="39">
          <cell r="Z39">
            <v>60000</v>
          </cell>
          <cell r="AA39">
            <v>5000</v>
          </cell>
          <cell r="AB39">
            <v>10</v>
          </cell>
          <cell r="AC39">
            <v>54</v>
          </cell>
        </row>
        <row r="40">
          <cell r="Z40">
            <v>60000</v>
          </cell>
          <cell r="AA40">
            <v>5000</v>
          </cell>
          <cell r="AB40">
            <v>11</v>
          </cell>
          <cell r="AC40">
            <v>60</v>
          </cell>
        </row>
        <row r="41">
          <cell r="Z41">
            <v>60000</v>
          </cell>
          <cell r="AA41">
            <v>5000</v>
          </cell>
          <cell r="AB41">
            <v>14</v>
          </cell>
          <cell r="AC41">
            <v>72</v>
          </cell>
        </row>
        <row r="42">
          <cell r="Z42">
            <v>60000</v>
          </cell>
          <cell r="AA42">
            <v>5000</v>
          </cell>
          <cell r="AB42">
            <v>18</v>
          </cell>
          <cell r="AC42">
            <v>96</v>
          </cell>
        </row>
        <row r="43">
          <cell r="Z43">
            <v>60000</v>
          </cell>
          <cell r="AA43">
            <v>6000</v>
          </cell>
          <cell r="AB43">
            <v>3</v>
          </cell>
          <cell r="AC43">
            <v>12</v>
          </cell>
        </row>
        <row r="44">
          <cell r="Z44">
            <v>60000</v>
          </cell>
          <cell r="AA44">
            <v>6000</v>
          </cell>
          <cell r="AB44">
            <v>4</v>
          </cell>
          <cell r="AC44">
            <v>16</v>
          </cell>
        </row>
        <row r="45">
          <cell r="Z45">
            <v>60000</v>
          </cell>
          <cell r="AA45">
            <v>6000</v>
          </cell>
          <cell r="AB45">
            <v>5</v>
          </cell>
          <cell r="AC45">
            <v>20</v>
          </cell>
        </row>
        <row r="46">
          <cell r="Z46">
            <v>60000</v>
          </cell>
          <cell r="AA46">
            <v>6000</v>
          </cell>
          <cell r="AB46">
            <v>6</v>
          </cell>
          <cell r="AC46">
            <v>24</v>
          </cell>
        </row>
        <row r="47">
          <cell r="Z47">
            <v>60000</v>
          </cell>
          <cell r="AA47">
            <v>6000</v>
          </cell>
          <cell r="AB47">
            <v>7</v>
          </cell>
          <cell r="AC47">
            <v>34</v>
          </cell>
        </row>
        <row r="48">
          <cell r="Z48">
            <v>60000</v>
          </cell>
          <cell r="AA48">
            <v>6000</v>
          </cell>
          <cell r="AB48">
            <v>8</v>
          </cell>
          <cell r="AC48">
            <v>39</v>
          </cell>
        </row>
        <row r="49">
          <cell r="Z49">
            <v>60000</v>
          </cell>
          <cell r="AA49">
            <v>6000</v>
          </cell>
          <cell r="AB49">
            <v>9</v>
          </cell>
          <cell r="AC49">
            <v>44</v>
          </cell>
        </row>
        <row r="50">
          <cell r="Z50">
            <v>60000</v>
          </cell>
          <cell r="AA50">
            <v>6000</v>
          </cell>
          <cell r="AB50">
            <v>10</v>
          </cell>
          <cell r="AC50">
            <v>50</v>
          </cell>
        </row>
        <row r="51">
          <cell r="Z51">
            <v>60000</v>
          </cell>
          <cell r="AA51">
            <v>6000</v>
          </cell>
          <cell r="AB51">
            <v>11</v>
          </cell>
          <cell r="AC51">
            <v>55</v>
          </cell>
        </row>
        <row r="52">
          <cell r="Z52">
            <v>60000</v>
          </cell>
          <cell r="AA52">
            <v>6000</v>
          </cell>
          <cell r="AB52">
            <v>14</v>
          </cell>
          <cell r="AC52">
            <v>66</v>
          </cell>
        </row>
        <row r="53">
          <cell r="Z53">
            <v>60000</v>
          </cell>
          <cell r="AA53">
            <v>6000</v>
          </cell>
          <cell r="AB53">
            <v>18</v>
          </cell>
          <cell r="AC53">
            <v>88</v>
          </cell>
        </row>
        <row r="54">
          <cell r="Z54">
            <v>60000</v>
          </cell>
          <cell r="AA54">
            <v>7000</v>
          </cell>
          <cell r="AB54">
            <v>3</v>
          </cell>
          <cell r="AC54">
            <v>12</v>
          </cell>
        </row>
        <row r="55">
          <cell r="Z55">
            <v>60000</v>
          </cell>
          <cell r="AA55">
            <v>7000</v>
          </cell>
          <cell r="AB55">
            <v>4</v>
          </cell>
          <cell r="AC55">
            <v>15</v>
          </cell>
        </row>
        <row r="56">
          <cell r="Z56">
            <v>60000</v>
          </cell>
          <cell r="AA56">
            <v>7000</v>
          </cell>
          <cell r="AB56">
            <v>5</v>
          </cell>
          <cell r="AC56">
            <v>18</v>
          </cell>
        </row>
        <row r="57">
          <cell r="Z57">
            <v>60000</v>
          </cell>
          <cell r="AA57">
            <v>7000</v>
          </cell>
          <cell r="AB57">
            <v>6</v>
          </cell>
          <cell r="AC57">
            <v>22</v>
          </cell>
        </row>
        <row r="58">
          <cell r="Z58">
            <v>60000</v>
          </cell>
          <cell r="AA58">
            <v>7000</v>
          </cell>
          <cell r="AB58">
            <v>7</v>
          </cell>
          <cell r="AC58">
            <v>32</v>
          </cell>
        </row>
        <row r="59">
          <cell r="Z59">
            <v>60000</v>
          </cell>
          <cell r="AA59">
            <v>7000</v>
          </cell>
          <cell r="AB59">
            <v>8</v>
          </cell>
          <cell r="AC59">
            <v>36</v>
          </cell>
        </row>
        <row r="60">
          <cell r="Z60">
            <v>60000</v>
          </cell>
          <cell r="AA60">
            <v>7000</v>
          </cell>
          <cell r="AB60">
            <v>9</v>
          </cell>
          <cell r="AC60">
            <v>41</v>
          </cell>
        </row>
        <row r="61">
          <cell r="Z61">
            <v>60000</v>
          </cell>
          <cell r="AA61">
            <v>7000</v>
          </cell>
          <cell r="AB61">
            <v>10</v>
          </cell>
          <cell r="AC61">
            <v>46</v>
          </cell>
        </row>
        <row r="62">
          <cell r="Z62">
            <v>60000</v>
          </cell>
          <cell r="AA62">
            <v>7000</v>
          </cell>
          <cell r="AB62">
            <v>11</v>
          </cell>
          <cell r="AC62">
            <v>51</v>
          </cell>
        </row>
        <row r="63">
          <cell r="Z63">
            <v>60000</v>
          </cell>
          <cell r="AA63">
            <v>7000</v>
          </cell>
          <cell r="AB63">
            <v>14</v>
          </cell>
          <cell r="AC63">
            <v>61</v>
          </cell>
        </row>
        <row r="64">
          <cell r="Z64">
            <v>60000</v>
          </cell>
          <cell r="AA64">
            <v>7000</v>
          </cell>
          <cell r="AB64">
            <v>18</v>
          </cell>
          <cell r="AC64">
            <v>81</v>
          </cell>
        </row>
        <row r="65">
          <cell r="Z65">
            <v>60000</v>
          </cell>
          <cell r="AA65">
            <v>8000</v>
          </cell>
          <cell r="AB65">
            <v>3</v>
          </cell>
          <cell r="AC65">
            <v>12</v>
          </cell>
        </row>
        <row r="66">
          <cell r="Z66">
            <v>60000</v>
          </cell>
          <cell r="AA66">
            <v>8000</v>
          </cell>
          <cell r="AB66">
            <v>4</v>
          </cell>
          <cell r="AC66">
            <v>14</v>
          </cell>
        </row>
        <row r="67">
          <cell r="Z67">
            <v>60000</v>
          </cell>
          <cell r="AA67">
            <v>8000</v>
          </cell>
          <cell r="AB67">
            <v>5</v>
          </cell>
          <cell r="AC67">
            <v>17</v>
          </cell>
        </row>
        <row r="68">
          <cell r="Z68">
            <v>60000</v>
          </cell>
          <cell r="AA68">
            <v>8000</v>
          </cell>
          <cell r="AB68">
            <v>6</v>
          </cell>
          <cell r="AC68">
            <v>21</v>
          </cell>
        </row>
        <row r="69">
          <cell r="Z69">
            <v>60000</v>
          </cell>
          <cell r="AA69">
            <v>8000</v>
          </cell>
          <cell r="AB69">
            <v>7</v>
          </cell>
          <cell r="AC69">
            <v>30</v>
          </cell>
        </row>
        <row r="70">
          <cell r="Z70">
            <v>60000</v>
          </cell>
          <cell r="AA70">
            <v>8000</v>
          </cell>
          <cell r="AB70">
            <v>8</v>
          </cell>
          <cell r="AC70">
            <v>34</v>
          </cell>
        </row>
        <row r="71">
          <cell r="Z71">
            <v>60000</v>
          </cell>
          <cell r="AA71">
            <v>8000</v>
          </cell>
          <cell r="AB71">
            <v>9</v>
          </cell>
          <cell r="AC71">
            <v>38</v>
          </cell>
        </row>
        <row r="72">
          <cell r="Z72">
            <v>60000</v>
          </cell>
          <cell r="AA72">
            <v>8000</v>
          </cell>
          <cell r="AB72">
            <v>10</v>
          </cell>
          <cell r="AC72">
            <v>43</v>
          </cell>
        </row>
        <row r="73">
          <cell r="Z73">
            <v>60000</v>
          </cell>
          <cell r="AA73">
            <v>8000</v>
          </cell>
          <cell r="AB73">
            <v>11</v>
          </cell>
          <cell r="AC73">
            <v>48</v>
          </cell>
        </row>
        <row r="74">
          <cell r="Z74">
            <v>60000</v>
          </cell>
          <cell r="AA74">
            <v>8000</v>
          </cell>
          <cell r="AB74">
            <v>14</v>
          </cell>
          <cell r="AC74">
            <v>57</v>
          </cell>
        </row>
        <row r="75">
          <cell r="Z75">
            <v>60000</v>
          </cell>
          <cell r="AA75">
            <v>8000</v>
          </cell>
          <cell r="AB75">
            <v>18</v>
          </cell>
          <cell r="AC75">
            <v>76</v>
          </cell>
        </row>
        <row r="76">
          <cell r="Z76">
            <v>60000</v>
          </cell>
          <cell r="AA76">
            <v>9000</v>
          </cell>
          <cell r="AB76">
            <v>3</v>
          </cell>
          <cell r="AC76">
            <v>12</v>
          </cell>
        </row>
        <row r="77">
          <cell r="Z77">
            <v>60000</v>
          </cell>
          <cell r="AA77">
            <v>9000</v>
          </cell>
          <cell r="AB77">
            <v>4</v>
          </cell>
          <cell r="AC77">
            <v>13</v>
          </cell>
        </row>
        <row r="78">
          <cell r="Z78">
            <v>60000</v>
          </cell>
          <cell r="AA78">
            <v>9000</v>
          </cell>
          <cell r="AB78">
            <v>5</v>
          </cell>
          <cell r="AC78">
            <v>16</v>
          </cell>
        </row>
        <row r="79">
          <cell r="Z79">
            <v>60000</v>
          </cell>
          <cell r="AA79">
            <v>9000</v>
          </cell>
          <cell r="AB79">
            <v>6</v>
          </cell>
          <cell r="AC79">
            <v>19</v>
          </cell>
        </row>
        <row r="80">
          <cell r="Z80">
            <v>60000</v>
          </cell>
          <cell r="AA80">
            <v>9000</v>
          </cell>
          <cell r="AB80">
            <v>7</v>
          </cell>
          <cell r="AC80">
            <v>28</v>
          </cell>
        </row>
        <row r="81">
          <cell r="Z81">
            <v>60000</v>
          </cell>
          <cell r="AA81">
            <v>9000</v>
          </cell>
          <cell r="AB81">
            <v>8</v>
          </cell>
          <cell r="AC81">
            <v>32</v>
          </cell>
        </row>
        <row r="82">
          <cell r="Z82">
            <v>60000</v>
          </cell>
          <cell r="AA82">
            <v>9000</v>
          </cell>
          <cell r="AB82">
            <v>9</v>
          </cell>
          <cell r="AC82">
            <v>36</v>
          </cell>
        </row>
        <row r="83">
          <cell r="Z83">
            <v>60000</v>
          </cell>
          <cell r="AA83">
            <v>9000</v>
          </cell>
          <cell r="AB83">
            <v>10</v>
          </cell>
          <cell r="AC83">
            <v>41</v>
          </cell>
        </row>
        <row r="84">
          <cell r="Z84">
            <v>60000</v>
          </cell>
          <cell r="AA84">
            <v>9000</v>
          </cell>
          <cell r="AB84">
            <v>11</v>
          </cell>
          <cell r="AC84">
            <v>45</v>
          </cell>
        </row>
        <row r="85">
          <cell r="Z85">
            <v>60000</v>
          </cell>
          <cell r="AA85">
            <v>9000</v>
          </cell>
          <cell r="AB85">
            <v>14</v>
          </cell>
          <cell r="AC85">
            <v>54</v>
          </cell>
        </row>
        <row r="86">
          <cell r="Z86">
            <v>60000</v>
          </cell>
          <cell r="AA86">
            <v>9000</v>
          </cell>
          <cell r="AB86">
            <v>18</v>
          </cell>
          <cell r="AC86">
            <v>72</v>
          </cell>
        </row>
        <row r="87">
          <cell r="Z87">
            <v>60000</v>
          </cell>
          <cell r="AA87">
            <v>10000</v>
          </cell>
          <cell r="AB87">
            <v>3</v>
          </cell>
          <cell r="AC87">
            <v>12</v>
          </cell>
        </row>
        <row r="88">
          <cell r="Z88">
            <v>60000</v>
          </cell>
          <cell r="AA88">
            <v>10000</v>
          </cell>
          <cell r="AB88">
            <v>4</v>
          </cell>
          <cell r="AC88">
            <v>12</v>
          </cell>
        </row>
        <row r="89">
          <cell r="Z89">
            <v>60000</v>
          </cell>
          <cell r="AA89">
            <v>10000</v>
          </cell>
          <cell r="AB89">
            <v>5</v>
          </cell>
          <cell r="AC89">
            <v>15</v>
          </cell>
        </row>
        <row r="90">
          <cell r="Z90">
            <v>60000</v>
          </cell>
          <cell r="AA90">
            <v>10000</v>
          </cell>
          <cell r="AB90">
            <v>6</v>
          </cell>
          <cell r="AC90">
            <v>18</v>
          </cell>
        </row>
        <row r="91">
          <cell r="Z91">
            <v>60000</v>
          </cell>
          <cell r="AA91">
            <v>10000</v>
          </cell>
          <cell r="AB91">
            <v>7</v>
          </cell>
          <cell r="AC91">
            <v>27</v>
          </cell>
        </row>
        <row r="92">
          <cell r="Z92">
            <v>60000</v>
          </cell>
          <cell r="AA92">
            <v>10000</v>
          </cell>
          <cell r="AB92">
            <v>8</v>
          </cell>
          <cell r="AC92">
            <v>30</v>
          </cell>
        </row>
        <row r="93">
          <cell r="Z93">
            <v>60000</v>
          </cell>
          <cell r="AA93">
            <v>10000</v>
          </cell>
          <cell r="AB93">
            <v>9</v>
          </cell>
          <cell r="AC93">
            <v>34</v>
          </cell>
        </row>
        <row r="94">
          <cell r="Z94">
            <v>60000</v>
          </cell>
          <cell r="AA94">
            <v>10000</v>
          </cell>
          <cell r="AB94">
            <v>10</v>
          </cell>
          <cell r="AC94">
            <v>39</v>
          </cell>
        </row>
        <row r="95">
          <cell r="Z95">
            <v>60000</v>
          </cell>
          <cell r="AA95">
            <v>10000</v>
          </cell>
          <cell r="AB95">
            <v>11</v>
          </cell>
          <cell r="AC95">
            <v>43</v>
          </cell>
        </row>
        <row r="96">
          <cell r="Z96">
            <v>60000</v>
          </cell>
          <cell r="AA96">
            <v>10000</v>
          </cell>
          <cell r="AB96">
            <v>14</v>
          </cell>
          <cell r="AC96">
            <v>51</v>
          </cell>
        </row>
        <row r="97">
          <cell r="Z97">
            <v>60000</v>
          </cell>
          <cell r="AA97">
            <v>10000</v>
          </cell>
          <cell r="AB97">
            <v>18</v>
          </cell>
          <cell r="AC97">
            <v>68</v>
          </cell>
        </row>
        <row r="98">
          <cell r="Z98">
            <v>80000</v>
          </cell>
          <cell r="AA98">
            <v>3000</v>
          </cell>
          <cell r="AB98">
            <v>3</v>
          </cell>
          <cell r="AC98">
            <v>26</v>
          </cell>
        </row>
        <row r="99">
          <cell r="Z99">
            <v>80000</v>
          </cell>
          <cell r="AA99">
            <v>3000</v>
          </cell>
          <cell r="AB99">
            <v>4</v>
          </cell>
          <cell r="AC99">
            <v>34</v>
          </cell>
        </row>
        <row r="100">
          <cell r="Z100">
            <v>80000</v>
          </cell>
          <cell r="AA100">
            <v>3000</v>
          </cell>
          <cell r="AB100">
            <v>5</v>
          </cell>
          <cell r="AC100">
            <v>42</v>
          </cell>
        </row>
        <row r="101">
          <cell r="Z101">
            <v>80000</v>
          </cell>
          <cell r="AA101">
            <v>3000</v>
          </cell>
          <cell r="AB101">
            <v>6</v>
          </cell>
          <cell r="AC101">
            <v>51</v>
          </cell>
        </row>
        <row r="102">
          <cell r="Z102">
            <v>80000</v>
          </cell>
          <cell r="AA102">
            <v>3000</v>
          </cell>
          <cell r="AB102">
            <v>7</v>
          </cell>
          <cell r="AC102">
            <v>74</v>
          </cell>
        </row>
        <row r="103">
          <cell r="Z103">
            <v>80000</v>
          </cell>
          <cell r="AA103">
            <v>3000</v>
          </cell>
          <cell r="AB103">
            <v>8</v>
          </cell>
          <cell r="AC103">
            <v>84</v>
          </cell>
        </row>
        <row r="104">
          <cell r="Z104">
            <v>80000</v>
          </cell>
          <cell r="AA104">
            <v>3000</v>
          </cell>
          <cell r="AB104">
            <v>9</v>
          </cell>
          <cell r="AC104">
            <v>95</v>
          </cell>
        </row>
        <row r="105">
          <cell r="Z105">
            <v>80000</v>
          </cell>
          <cell r="AA105">
            <v>3000</v>
          </cell>
          <cell r="AB105">
            <v>10</v>
          </cell>
          <cell r="AC105">
            <v>107</v>
          </cell>
        </row>
        <row r="106">
          <cell r="Z106">
            <v>80000</v>
          </cell>
          <cell r="AA106">
            <v>3000</v>
          </cell>
          <cell r="AB106">
            <v>11</v>
          </cell>
          <cell r="AC106">
            <v>119</v>
          </cell>
        </row>
        <row r="107">
          <cell r="Z107">
            <v>80000</v>
          </cell>
          <cell r="AA107">
            <v>3000</v>
          </cell>
          <cell r="AB107">
            <v>14</v>
          </cell>
          <cell r="AC107">
            <v>143</v>
          </cell>
        </row>
        <row r="108">
          <cell r="Z108">
            <v>80000</v>
          </cell>
          <cell r="AA108">
            <v>3000</v>
          </cell>
          <cell r="AB108">
            <v>18</v>
          </cell>
          <cell r="AC108">
            <v>190</v>
          </cell>
        </row>
        <row r="109">
          <cell r="Z109">
            <v>80000</v>
          </cell>
          <cell r="AA109">
            <v>4000</v>
          </cell>
          <cell r="AB109">
            <v>3</v>
          </cell>
          <cell r="AC109">
            <v>22</v>
          </cell>
        </row>
        <row r="110">
          <cell r="Z110">
            <v>80000</v>
          </cell>
          <cell r="AA110">
            <v>4000</v>
          </cell>
          <cell r="AB110">
            <v>4</v>
          </cell>
          <cell r="AC110">
            <v>30</v>
          </cell>
        </row>
        <row r="111">
          <cell r="Z111">
            <v>80000</v>
          </cell>
          <cell r="AA111">
            <v>4000</v>
          </cell>
          <cell r="AB111">
            <v>5</v>
          </cell>
          <cell r="AC111">
            <v>37</v>
          </cell>
        </row>
        <row r="112">
          <cell r="Z112">
            <v>80000</v>
          </cell>
          <cell r="AA112">
            <v>4000</v>
          </cell>
          <cell r="AB112">
            <v>6</v>
          </cell>
          <cell r="AC112">
            <v>44</v>
          </cell>
        </row>
        <row r="113">
          <cell r="Z113">
            <v>80000</v>
          </cell>
          <cell r="AA113">
            <v>4000</v>
          </cell>
          <cell r="AB113">
            <v>7</v>
          </cell>
          <cell r="AC113">
            <v>64</v>
          </cell>
        </row>
        <row r="114">
          <cell r="Z114">
            <v>80000</v>
          </cell>
          <cell r="AA114">
            <v>4000</v>
          </cell>
          <cell r="AB114">
            <v>8</v>
          </cell>
          <cell r="AC114">
            <v>73</v>
          </cell>
        </row>
        <row r="115">
          <cell r="Z115">
            <v>80000</v>
          </cell>
          <cell r="AA115">
            <v>4000</v>
          </cell>
          <cell r="AB115">
            <v>9</v>
          </cell>
          <cell r="AC115">
            <v>83</v>
          </cell>
        </row>
        <row r="116">
          <cell r="Z116">
            <v>80000</v>
          </cell>
          <cell r="AA116">
            <v>4000</v>
          </cell>
          <cell r="AB116">
            <v>10</v>
          </cell>
          <cell r="AC116">
            <v>93</v>
          </cell>
        </row>
        <row r="117">
          <cell r="Z117">
            <v>80000</v>
          </cell>
          <cell r="AA117">
            <v>4000</v>
          </cell>
          <cell r="AB117">
            <v>11</v>
          </cell>
          <cell r="AC117">
            <v>103</v>
          </cell>
        </row>
        <row r="118">
          <cell r="Z118">
            <v>80000</v>
          </cell>
          <cell r="AA118">
            <v>4000</v>
          </cell>
          <cell r="AB118">
            <v>14</v>
          </cell>
          <cell r="AC118">
            <v>124</v>
          </cell>
        </row>
        <row r="119">
          <cell r="Z119">
            <v>80000</v>
          </cell>
          <cell r="AA119">
            <v>4000</v>
          </cell>
          <cell r="AB119">
            <v>18</v>
          </cell>
          <cell r="AC119">
            <v>165</v>
          </cell>
        </row>
        <row r="120">
          <cell r="Z120">
            <v>80000</v>
          </cell>
          <cell r="AA120">
            <v>5000</v>
          </cell>
          <cell r="AB120">
            <v>3</v>
          </cell>
          <cell r="AC120">
            <v>20</v>
          </cell>
        </row>
        <row r="121">
          <cell r="Z121">
            <v>80000</v>
          </cell>
          <cell r="AA121">
            <v>5000</v>
          </cell>
          <cell r="AB121">
            <v>4</v>
          </cell>
          <cell r="AC121">
            <v>27</v>
          </cell>
        </row>
        <row r="122">
          <cell r="Z122">
            <v>80000</v>
          </cell>
          <cell r="AA122">
            <v>5000</v>
          </cell>
          <cell r="AB122">
            <v>5</v>
          </cell>
          <cell r="AC122">
            <v>33</v>
          </cell>
        </row>
        <row r="123">
          <cell r="Z123">
            <v>80000</v>
          </cell>
          <cell r="AA123">
            <v>5000</v>
          </cell>
          <cell r="AB123">
            <v>6</v>
          </cell>
          <cell r="AC123">
            <v>40</v>
          </cell>
        </row>
        <row r="124">
          <cell r="Z124">
            <v>80000</v>
          </cell>
          <cell r="AA124">
            <v>5000</v>
          </cell>
          <cell r="AB124">
            <v>7</v>
          </cell>
          <cell r="AC124">
            <v>57</v>
          </cell>
        </row>
        <row r="125">
          <cell r="Z125">
            <v>80000</v>
          </cell>
          <cell r="AA125">
            <v>5000</v>
          </cell>
          <cell r="AB125">
            <v>8</v>
          </cell>
          <cell r="AC125">
            <v>66</v>
          </cell>
        </row>
        <row r="126">
          <cell r="Z126">
            <v>80000</v>
          </cell>
          <cell r="AA126">
            <v>5000</v>
          </cell>
          <cell r="AB126">
            <v>9</v>
          </cell>
          <cell r="AC126">
            <v>74</v>
          </cell>
        </row>
        <row r="127">
          <cell r="Z127">
            <v>80000</v>
          </cell>
          <cell r="AA127">
            <v>5000</v>
          </cell>
          <cell r="AB127">
            <v>10</v>
          </cell>
          <cell r="AC127">
            <v>83</v>
          </cell>
        </row>
        <row r="128">
          <cell r="Z128">
            <v>80000</v>
          </cell>
          <cell r="AA128">
            <v>5000</v>
          </cell>
          <cell r="AB128">
            <v>11</v>
          </cell>
          <cell r="AC128">
            <v>92</v>
          </cell>
        </row>
        <row r="129">
          <cell r="Z129">
            <v>80000</v>
          </cell>
          <cell r="AA129">
            <v>5000</v>
          </cell>
          <cell r="AB129">
            <v>14</v>
          </cell>
          <cell r="AC129">
            <v>111</v>
          </cell>
        </row>
        <row r="130">
          <cell r="Z130">
            <v>80000</v>
          </cell>
          <cell r="AA130">
            <v>5000</v>
          </cell>
          <cell r="AB130">
            <v>18</v>
          </cell>
          <cell r="AC130">
            <v>147</v>
          </cell>
        </row>
        <row r="131">
          <cell r="Z131">
            <v>80000</v>
          </cell>
          <cell r="AA131">
            <v>6000</v>
          </cell>
          <cell r="AB131">
            <v>3</v>
          </cell>
          <cell r="AC131">
            <v>18</v>
          </cell>
        </row>
        <row r="132">
          <cell r="Z132">
            <v>80000</v>
          </cell>
          <cell r="AA132">
            <v>6000</v>
          </cell>
          <cell r="AB132">
            <v>4</v>
          </cell>
          <cell r="AC132">
            <v>24</v>
          </cell>
        </row>
        <row r="133">
          <cell r="Z133">
            <v>80000</v>
          </cell>
          <cell r="AA133">
            <v>6000</v>
          </cell>
          <cell r="AB133">
            <v>5</v>
          </cell>
          <cell r="AC133">
            <v>30</v>
          </cell>
        </row>
        <row r="134">
          <cell r="Z134">
            <v>80000</v>
          </cell>
          <cell r="AA134">
            <v>6000</v>
          </cell>
          <cell r="AB134">
            <v>6</v>
          </cell>
          <cell r="AC134">
            <v>36</v>
          </cell>
        </row>
        <row r="135">
          <cell r="Z135">
            <v>80000</v>
          </cell>
          <cell r="AA135">
            <v>6000</v>
          </cell>
          <cell r="AB135">
            <v>7</v>
          </cell>
          <cell r="AC135">
            <v>52</v>
          </cell>
        </row>
        <row r="136">
          <cell r="Z136">
            <v>80000</v>
          </cell>
          <cell r="AA136">
            <v>6000</v>
          </cell>
          <cell r="AB136">
            <v>8</v>
          </cell>
          <cell r="AC136">
            <v>60</v>
          </cell>
        </row>
        <row r="137">
          <cell r="Z137">
            <v>80000</v>
          </cell>
          <cell r="AA137">
            <v>6000</v>
          </cell>
          <cell r="AB137">
            <v>9</v>
          </cell>
          <cell r="AC137">
            <v>67</v>
          </cell>
        </row>
        <row r="138">
          <cell r="Z138">
            <v>80000</v>
          </cell>
          <cell r="AA138">
            <v>6000</v>
          </cell>
          <cell r="AB138">
            <v>10</v>
          </cell>
          <cell r="AC138">
            <v>76</v>
          </cell>
        </row>
        <row r="139">
          <cell r="Z139">
            <v>80000</v>
          </cell>
          <cell r="AA139">
            <v>6000</v>
          </cell>
          <cell r="AB139">
            <v>11</v>
          </cell>
          <cell r="AC139">
            <v>84</v>
          </cell>
        </row>
        <row r="140">
          <cell r="Z140">
            <v>80000</v>
          </cell>
          <cell r="AA140">
            <v>6000</v>
          </cell>
          <cell r="AB140">
            <v>14</v>
          </cell>
          <cell r="AC140">
            <v>101</v>
          </cell>
        </row>
        <row r="141">
          <cell r="Z141">
            <v>80000</v>
          </cell>
          <cell r="AA141">
            <v>6000</v>
          </cell>
          <cell r="AB141">
            <v>18</v>
          </cell>
          <cell r="AC141">
            <v>135</v>
          </cell>
        </row>
        <row r="142">
          <cell r="Z142">
            <v>80000</v>
          </cell>
          <cell r="AA142">
            <v>7000</v>
          </cell>
          <cell r="AB142">
            <v>3</v>
          </cell>
          <cell r="AC142">
            <v>17</v>
          </cell>
        </row>
        <row r="143">
          <cell r="Z143">
            <v>80000</v>
          </cell>
          <cell r="AA143">
            <v>7000</v>
          </cell>
          <cell r="AB143">
            <v>4</v>
          </cell>
          <cell r="AC143">
            <v>22</v>
          </cell>
        </row>
        <row r="144">
          <cell r="Z144">
            <v>80000</v>
          </cell>
          <cell r="AA144">
            <v>7000</v>
          </cell>
          <cell r="AB144">
            <v>5</v>
          </cell>
          <cell r="AC144">
            <v>28</v>
          </cell>
        </row>
        <row r="145">
          <cell r="Z145">
            <v>80000</v>
          </cell>
          <cell r="AA145">
            <v>7000</v>
          </cell>
          <cell r="AB145">
            <v>6</v>
          </cell>
          <cell r="AC145">
            <v>33</v>
          </cell>
        </row>
        <row r="146">
          <cell r="Z146">
            <v>80000</v>
          </cell>
          <cell r="AA146">
            <v>7000</v>
          </cell>
          <cell r="AB146">
            <v>7</v>
          </cell>
          <cell r="AC146">
            <v>49</v>
          </cell>
        </row>
        <row r="147">
          <cell r="Z147">
            <v>80000</v>
          </cell>
          <cell r="AA147">
            <v>7000</v>
          </cell>
          <cell r="AB147">
            <v>8</v>
          </cell>
          <cell r="AC147">
            <v>55</v>
          </cell>
        </row>
        <row r="148">
          <cell r="Z148">
            <v>80000</v>
          </cell>
          <cell r="AA148">
            <v>7000</v>
          </cell>
          <cell r="AB148">
            <v>9</v>
          </cell>
          <cell r="AC148">
            <v>63</v>
          </cell>
        </row>
        <row r="149">
          <cell r="Z149">
            <v>80000</v>
          </cell>
          <cell r="AA149">
            <v>7000</v>
          </cell>
          <cell r="AB149">
            <v>10</v>
          </cell>
          <cell r="AC149">
            <v>70</v>
          </cell>
        </row>
        <row r="150">
          <cell r="Z150">
            <v>80000</v>
          </cell>
          <cell r="AA150">
            <v>7000</v>
          </cell>
          <cell r="AB150">
            <v>11</v>
          </cell>
          <cell r="AC150">
            <v>78</v>
          </cell>
        </row>
        <row r="151">
          <cell r="Z151">
            <v>80000</v>
          </cell>
          <cell r="AA151">
            <v>7000</v>
          </cell>
          <cell r="AB151">
            <v>14</v>
          </cell>
          <cell r="AC151">
            <v>94</v>
          </cell>
        </row>
        <row r="152">
          <cell r="Z152">
            <v>80000</v>
          </cell>
          <cell r="AA152">
            <v>7000</v>
          </cell>
          <cell r="AB152">
            <v>18</v>
          </cell>
          <cell r="AC152">
            <v>125</v>
          </cell>
        </row>
        <row r="153">
          <cell r="Z153">
            <v>80000</v>
          </cell>
          <cell r="AA153">
            <v>8000</v>
          </cell>
          <cell r="AB153">
            <v>3</v>
          </cell>
          <cell r="AC153">
            <v>16</v>
          </cell>
        </row>
        <row r="154">
          <cell r="Z154">
            <v>80000</v>
          </cell>
          <cell r="AA154">
            <v>8000</v>
          </cell>
          <cell r="AB154">
            <v>4</v>
          </cell>
          <cell r="AC154">
            <v>21</v>
          </cell>
        </row>
        <row r="155">
          <cell r="Z155">
            <v>80000</v>
          </cell>
          <cell r="AA155">
            <v>8000</v>
          </cell>
          <cell r="AB155">
            <v>5</v>
          </cell>
          <cell r="AC155">
            <v>26</v>
          </cell>
        </row>
        <row r="156">
          <cell r="Z156">
            <v>80000</v>
          </cell>
          <cell r="AA156">
            <v>8000</v>
          </cell>
          <cell r="AB156">
            <v>6</v>
          </cell>
          <cell r="AC156">
            <v>31</v>
          </cell>
        </row>
        <row r="157">
          <cell r="Z157">
            <v>80000</v>
          </cell>
          <cell r="AA157">
            <v>8000</v>
          </cell>
          <cell r="AB157">
            <v>7</v>
          </cell>
          <cell r="AC157">
            <v>46</v>
          </cell>
        </row>
        <row r="158">
          <cell r="Z158">
            <v>80000</v>
          </cell>
          <cell r="AA158">
            <v>8000</v>
          </cell>
          <cell r="AB158">
            <v>8</v>
          </cell>
          <cell r="AC158">
            <v>52</v>
          </cell>
        </row>
        <row r="159">
          <cell r="Z159">
            <v>80000</v>
          </cell>
          <cell r="AA159">
            <v>8000</v>
          </cell>
          <cell r="AB159">
            <v>9</v>
          </cell>
          <cell r="AC159">
            <v>59</v>
          </cell>
        </row>
        <row r="160">
          <cell r="Z160">
            <v>80000</v>
          </cell>
          <cell r="AA160">
            <v>8000</v>
          </cell>
          <cell r="AB160">
            <v>10</v>
          </cell>
          <cell r="AC160">
            <v>66</v>
          </cell>
        </row>
        <row r="161">
          <cell r="Z161">
            <v>80000</v>
          </cell>
          <cell r="AA161">
            <v>8000</v>
          </cell>
          <cell r="AB161">
            <v>11</v>
          </cell>
          <cell r="AC161">
            <v>73</v>
          </cell>
        </row>
        <row r="162">
          <cell r="Z162">
            <v>80000</v>
          </cell>
          <cell r="AA162">
            <v>8000</v>
          </cell>
          <cell r="AB162">
            <v>14</v>
          </cell>
          <cell r="AC162">
            <v>88</v>
          </cell>
        </row>
        <row r="163">
          <cell r="Z163">
            <v>80000</v>
          </cell>
          <cell r="AA163">
            <v>8000</v>
          </cell>
          <cell r="AB163">
            <v>18</v>
          </cell>
          <cell r="AC163">
            <v>117</v>
          </cell>
        </row>
        <row r="164">
          <cell r="Z164">
            <v>80000</v>
          </cell>
          <cell r="AA164">
            <v>9000</v>
          </cell>
          <cell r="AB164">
            <v>3</v>
          </cell>
          <cell r="AC164">
            <v>15</v>
          </cell>
        </row>
        <row r="165">
          <cell r="Z165">
            <v>80000</v>
          </cell>
          <cell r="AA165">
            <v>9000</v>
          </cell>
          <cell r="AB165">
            <v>4</v>
          </cell>
          <cell r="AC165">
            <v>20</v>
          </cell>
        </row>
        <row r="166">
          <cell r="Z166">
            <v>80000</v>
          </cell>
          <cell r="AA166">
            <v>9000</v>
          </cell>
          <cell r="AB166">
            <v>5</v>
          </cell>
          <cell r="AC166">
            <v>25</v>
          </cell>
        </row>
        <row r="167">
          <cell r="Z167">
            <v>80000</v>
          </cell>
          <cell r="AA167">
            <v>9000</v>
          </cell>
          <cell r="AB167">
            <v>6</v>
          </cell>
          <cell r="AC167">
            <v>30</v>
          </cell>
        </row>
        <row r="168">
          <cell r="Z168">
            <v>80000</v>
          </cell>
          <cell r="AA168">
            <v>9000</v>
          </cell>
          <cell r="AB168">
            <v>7</v>
          </cell>
          <cell r="AC168">
            <v>43</v>
          </cell>
        </row>
        <row r="169">
          <cell r="Z169">
            <v>80000</v>
          </cell>
          <cell r="AA169">
            <v>9000</v>
          </cell>
          <cell r="AB169">
            <v>8</v>
          </cell>
          <cell r="AC169">
            <v>49</v>
          </cell>
        </row>
        <row r="170">
          <cell r="Z170">
            <v>80000</v>
          </cell>
          <cell r="AA170">
            <v>9000</v>
          </cell>
          <cell r="AB170">
            <v>9</v>
          </cell>
          <cell r="AC170">
            <v>55</v>
          </cell>
        </row>
        <row r="171">
          <cell r="Z171">
            <v>80000</v>
          </cell>
          <cell r="AA171">
            <v>9000</v>
          </cell>
          <cell r="AB171">
            <v>10</v>
          </cell>
          <cell r="AC171">
            <v>62</v>
          </cell>
        </row>
        <row r="172">
          <cell r="Z172">
            <v>80000</v>
          </cell>
          <cell r="AA172">
            <v>9000</v>
          </cell>
          <cell r="AB172">
            <v>11</v>
          </cell>
          <cell r="AC172">
            <v>69</v>
          </cell>
        </row>
        <row r="173">
          <cell r="Z173">
            <v>80000</v>
          </cell>
          <cell r="AA173">
            <v>9000</v>
          </cell>
          <cell r="AB173">
            <v>14</v>
          </cell>
          <cell r="AC173">
            <v>83</v>
          </cell>
        </row>
        <row r="174">
          <cell r="Z174">
            <v>80000</v>
          </cell>
          <cell r="AA174">
            <v>9000</v>
          </cell>
          <cell r="AB174">
            <v>18</v>
          </cell>
          <cell r="AC174">
            <v>110</v>
          </cell>
        </row>
        <row r="175">
          <cell r="Z175">
            <v>80000</v>
          </cell>
          <cell r="AA175">
            <v>10000</v>
          </cell>
          <cell r="AB175">
            <v>3</v>
          </cell>
          <cell r="AC175">
            <v>14</v>
          </cell>
        </row>
        <row r="176">
          <cell r="Z176">
            <v>80000</v>
          </cell>
          <cell r="AA176">
            <v>10000</v>
          </cell>
          <cell r="AB176">
            <v>4</v>
          </cell>
          <cell r="AC176">
            <v>19</v>
          </cell>
        </row>
        <row r="177">
          <cell r="Z177">
            <v>80000</v>
          </cell>
          <cell r="AA177">
            <v>10000</v>
          </cell>
          <cell r="AB177">
            <v>5</v>
          </cell>
          <cell r="AC177">
            <v>23</v>
          </cell>
        </row>
        <row r="178">
          <cell r="Z178">
            <v>80000</v>
          </cell>
          <cell r="AA178">
            <v>10000</v>
          </cell>
          <cell r="AB178">
            <v>6</v>
          </cell>
          <cell r="AC178">
            <v>28</v>
          </cell>
        </row>
        <row r="179">
          <cell r="Z179">
            <v>80000</v>
          </cell>
          <cell r="AA179">
            <v>10000</v>
          </cell>
          <cell r="AB179">
            <v>7</v>
          </cell>
          <cell r="AC179">
            <v>41</v>
          </cell>
        </row>
        <row r="180">
          <cell r="Z180">
            <v>80000</v>
          </cell>
          <cell r="AA180">
            <v>10000</v>
          </cell>
          <cell r="AB180">
            <v>8</v>
          </cell>
          <cell r="AC180">
            <v>46</v>
          </cell>
        </row>
        <row r="181">
          <cell r="Z181">
            <v>80000</v>
          </cell>
          <cell r="AA181">
            <v>10000</v>
          </cell>
          <cell r="AB181">
            <v>9</v>
          </cell>
          <cell r="AC181">
            <v>52</v>
          </cell>
        </row>
        <row r="182">
          <cell r="Z182">
            <v>80000</v>
          </cell>
          <cell r="AA182">
            <v>10000</v>
          </cell>
          <cell r="AB182">
            <v>10</v>
          </cell>
          <cell r="AC182">
            <v>59</v>
          </cell>
        </row>
        <row r="183">
          <cell r="Z183">
            <v>80000</v>
          </cell>
          <cell r="AA183">
            <v>10000</v>
          </cell>
          <cell r="AB183">
            <v>11</v>
          </cell>
          <cell r="AC183">
            <v>65</v>
          </cell>
        </row>
        <row r="184">
          <cell r="Z184">
            <v>80000</v>
          </cell>
          <cell r="AA184">
            <v>10000</v>
          </cell>
          <cell r="AB184">
            <v>14</v>
          </cell>
          <cell r="AC184">
            <v>78</v>
          </cell>
        </row>
        <row r="185">
          <cell r="Z185">
            <v>80000</v>
          </cell>
          <cell r="AA185">
            <v>10000</v>
          </cell>
          <cell r="AB185">
            <v>18</v>
          </cell>
          <cell r="AC185">
            <v>104</v>
          </cell>
        </row>
        <row r="186">
          <cell r="Z186">
            <v>100000</v>
          </cell>
          <cell r="AA186">
            <v>3000</v>
          </cell>
          <cell r="AB186">
            <v>3</v>
          </cell>
          <cell r="AC186">
            <v>36</v>
          </cell>
        </row>
        <row r="187">
          <cell r="Z187">
            <v>100000</v>
          </cell>
          <cell r="AA187">
            <v>3000</v>
          </cell>
          <cell r="AB187">
            <v>4</v>
          </cell>
          <cell r="AC187">
            <v>48</v>
          </cell>
        </row>
        <row r="188">
          <cell r="Z188">
            <v>100000</v>
          </cell>
          <cell r="AA188">
            <v>3000</v>
          </cell>
          <cell r="AB188">
            <v>5</v>
          </cell>
          <cell r="AC188">
            <v>60</v>
          </cell>
        </row>
        <row r="189">
          <cell r="Z189">
            <v>100000</v>
          </cell>
          <cell r="AA189">
            <v>3000</v>
          </cell>
          <cell r="AB189">
            <v>6</v>
          </cell>
          <cell r="AC189">
            <v>72</v>
          </cell>
        </row>
        <row r="190">
          <cell r="Z190">
            <v>100000</v>
          </cell>
          <cell r="AA190">
            <v>3000</v>
          </cell>
          <cell r="AB190">
            <v>7</v>
          </cell>
          <cell r="AC190">
            <v>104</v>
          </cell>
        </row>
        <row r="191">
          <cell r="Z191">
            <v>100000</v>
          </cell>
          <cell r="AA191">
            <v>3000</v>
          </cell>
          <cell r="AB191">
            <v>8</v>
          </cell>
          <cell r="AC191">
            <v>119</v>
          </cell>
        </row>
        <row r="192">
          <cell r="Z192">
            <v>100000</v>
          </cell>
          <cell r="AA192">
            <v>3000</v>
          </cell>
          <cell r="AB192">
            <v>9</v>
          </cell>
          <cell r="AC192">
            <v>134</v>
          </cell>
        </row>
        <row r="193">
          <cell r="Z193">
            <v>100000</v>
          </cell>
          <cell r="AA193">
            <v>3000</v>
          </cell>
          <cell r="AB193">
            <v>10</v>
          </cell>
          <cell r="AC193">
            <v>151</v>
          </cell>
        </row>
        <row r="194">
          <cell r="Z194">
            <v>100000</v>
          </cell>
          <cell r="AA194">
            <v>3000</v>
          </cell>
          <cell r="AB194">
            <v>11</v>
          </cell>
          <cell r="AC194">
            <v>168</v>
          </cell>
        </row>
        <row r="195">
          <cell r="Z195">
            <v>100000</v>
          </cell>
          <cell r="AA195">
            <v>3000</v>
          </cell>
          <cell r="AB195">
            <v>14</v>
          </cell>
          <cell r="AC195">
            <v>201</v>
          </cell>
        </row>
        <row r="196">
          <cell r="Z196">
            <v>100000</v>
          </cell>
          <cell r="AA196">
            <v>3000</v>
          </cell>
          <cell r="AB196">
            <v>18</v>
          </cell>
          <cell r="AC196">
            <v>268</v>
          </cell>
        </row>
        <row r="197">
          <cell r="Z197">
            <v>100000</v>
          </cell>
          <cell r="AA197">
            <v>4000</v>
          </cell>
          <cell r="AB197">
            <v>3</v>
          </cell>
          <cell r="AC197">
            <v>31</v>
          </cell>
        </row>
        <row r="198">
          <cell r="Z198">
            <v>100000</v>
          </cell>
          <cell r="AA198">
            <v>4000</v>
          </cell>
          <cell r="AB198">
            <v>4</v>
          </cell>
          <cell r="AC198">
            <v>42</v>
          </cell>
        </row>
        <row r="199">
          <cell r="Z199">
            <v>100000</v>
          </cell>
          <cell r="AA199">
            <v>4000</v>
          </cell>
          <cell r="AB199">
            <v>5</v>
          </cell>
          <cell r="AC199">
            <v>52</v>
          </cell>
        </row>
        <row r="200">
          <cell r="Z200">
            <v>100000</v>
          </cell>
          <cell r="AA200">
            <v>4000</v>
          </cell>
          <cell r="AB200">
            <v>6</v>
          </cell>
          <cell r="AC200">
            <v>62</v>
          </cell>
        </row>
        <row r="201">
          <cell r="Z201">
            <v>100000</v>
          </cell>
          <cell r="AA201">
            <v>4000</v>
          </cell>
          <cell r="AB201">
            <v>7</v>
          </cell>
          <cell r="AC201">
            <v>90</v>
          </cell>
        </row>
        <row r="202">
          <cell r="Z202">
            <v>100000</v>
          </cell>
          <cell r="AA202">
            <v>4000</v>
          </cell>
          <cell r="AB202">
            <v>8</v>
          </cell>
          <cell r="AC202">
            <v>103</v>
          </cell>
        </row>
        <row r="203">
          <cell r="Z203">
            <v>100000</v>
          </cell>
          <cell r="AA203">
            <v>4000</v>
          </cell>
          <cell r="AB203">
            <v>9</v>
          </cell>
          <cell r="AC203">
            <v>116</v>
          </cell>
        </row>
        <row r="204">
          <cell r="Z204">
            <v>100000</v>
          </cell>
          <cell r="AA204">
            <v>4000</v>
          </cell>
          <cell r="AB204">
            <v>10</v>
          </cell>
          <cell r="AC204">
            <v>131</v>
          </cell>
        </row>
        <row r="205">
          <cell r="Z205">
            <v>100000</v>
          </cell>
          <cell r="AA205">
            <v>4000</v>
          </cell>
          <cell r="AB205">
            <v>11</v>
          </cell>
          <cell r="AC205">
            <v>145</v>
          </cell>
        </row>
        <row r="206">
          <cell r="Z206">
            <v>100000</v>
          </cell>
          <cell r="AA206">
            <v>4000</v>
          </cell>
          <cell r="AB206">
            <v>14</v>
          </cell>
          <cell r="AC206">
            <v>174</v>
          </cell>
        </row>
        <row r="207">
          <cell r="Z207">
            <v>100000</v>
          </cell>
          <cell r="AA207">
            <v>4000</v>
          </cell>
          <cell r="AB207">
            <v>18</v>
          </cell>
          <cell r="AC207">
            <v>232</v>
          </cell>
        </row>
        <row r="208">
          <cell r="Z208">
            <v>100000</v>
          </cell>
          <cell r="AA208">
            <v>5000</v>
          </cell>
          <cell r="AB208">
            <v>3</v>
          </cell>
          <cell r="AC208">
            <v>28</v>
          </cell>
        </row>
        <row r="209">
          <cell r="Z209">
            <v>100000</v>
          </cell>
          <cell r="AA209">
            <v>5000</v>
          </cell>
          <cell r="AB209">
            <v>4</v>
          </cell>
          <cell r="AC209">
            <v>37</v>
          </cell>
        </row>
        <row r="210">
          <cell r="Z210">
            <v>100000</v>
          </cell>
          <cell r="AA210">
            <v>5000</v>
          </cell>
          <cell r="AB210">
            <v>5</v>
          </cell>
          <cell r="AC210">
            <v>46</v>
          </cell>
        </row>
        <row r="211">
          <cell r="Z211">
            <v>100000</v>
          </cell>
          <cell r="AA211">
            <v>5000</v>
          </cell>
          <cell r="AB211">
            <v>6</v>
          </cell>
          <cell r="AC211">
            <v>56</v>
          </cell>
        </row>
        <row r="212">
          <cell r="Z212">
            <v>100000</v>
          </cell>
          <cell r="AA212">
            <v>5000</v>
          </cell>
          <cell r="AB212">
            <v>7</v>
          </cell>
          <cell r="AC212">
            <v>81</v>
          </cell>
        </row>
        <row r="213">
          <cell r="Z213">
            <v>100000</v>
          </cell>
          <cell r="AA213">
            <v>5000</v>
          </cell>
          <cell r="AB213">
            <v>8</v>
          </cell>
          <cell r="AC213">
            <v>92</v>
          </cell>
        </row>
        <row r="214">
          <cell r="Z214">
            <v>100000</v>
          </cell>
          <cell r="AA214">
            <v>5000</v>
          </cell>
          <cell r="AB214">
            <v>9</v>
          </cell>
          <cell r="AC214">
            <v>104</v>
          </cell>
        </row>
        <row r="215">
          <cell r="Z215">
            <v>100000</v>
          </cell>
          <cell r="AA215">
            <v>5000</v>
          </cell>
          <cell r="AB215">
            <v>10</v>
          </cell>
          <cell r="AC215">
            <v>117</v>
          </cell>
        </row>
        <row r="216">
          <cell r="Z216">
            <v>100000</v>
          </cell>
          <cell r="AA216">
            <v>5000</v>
          </cell>
          <cell r="AB216">
            <v>11</v>
          </cell>
          <cell r="AC216">
            <v>130</v>
          </cell>
        </row>
        <row r="217">
          <cell r="Z217">
            <v>100000</v>
          </cell>
          <cell r="AA217">
            <v>5000</v>
          </cell>
          <cell r="AB217">
            <v>14</v>
          </cell>
          <cell r="AC217">
            <v>156</v>
          </cell>
        </row>
        <row r="218">
          <cell r="Z218">
            <v>100000</v>
          </cell>
          <cell r="AA218">
            <v>5000</v>
          </cell>
          <cell r="AB218">
            <v>18</v>
          </cell>
          <cell r="AC218">
            <v>208</v>
          </cell>
        </row>
        <row r="219">
          <cell r="Z219">
            <v>100000</v>
          </cell>
          <cell r="AA219">
            <v>6000</v>
          </cell>
          <cell r="AB219">
            <v>3</v>
          </cell>
          <cell r="AC219">
            <v>26</v>
          </cell>
        </row>
        <row r="220">
          <cell r="Z220">
            <v>100000</v>
          </cell>
          <cell r="AA220">
            <v>6000</v>
          </cell>
          <cell r="AB220">
            <v>4</v>
          </cell>
          <cell r="AC220">
            <v>34</v>
          </cell>
        </row>
        <row r="221">
          <cell r="Z221">
            <v>100000</v>
          </cell>
          <cell r="AA221">
            <v>6000</v>
          </cell>
          <cell r="AB221">
            <v>5</v>
          </cell>
          <cell r="AC221">
            <v>42</v>
          </cell>
        </row>
        <row r="222">
          <cell r="Z222">
            <v>100000</v>
          </cell>
          <cell r="AA222">
            <v>6000</v>
          </cell>
          <cell r="AB222">
            <v>6</v>
          </cell>
          <cell r="AC222">
            <v>51</v>
          </cell>
        </row>
        <row r="223">
          <cell r="Z223">
            <v>100000</v>
          </cell>
          <cell r="AA223">
            <v>6000</v>
          </cell>
          <cell r="AB223">
            <v>7</v>
          </cell>
          <cell r="AC223">
            <v>74</v>
          </cell>
        </row>
        <row r="224">
          <cell r="Z224">
            <v>100000</v>
          </cell>
          <cell r="AA224">
            <v>6000</v>
          </cell>
          <cell r="AB224">
            <v>8</v>
          </cell>
          <cell r="AC224">
            <v>84</v>
          </cell>
        </row>
        <row r="225">
          <cell r="Z225">
            <v>100000</v>
          </cell>
          <cell r="AA225">
            <v>6000</v>
          </cell>
          <cell r="AB225">
            <v>9</v>
          </cell>
          <cell r="AC225">
            <v>95</v>
          </cell>
        </row>
        <row r="226">
          <cell r="Z226">
            <v>100000</v>
          </cell>
          <cell r="AA226">
            <v>6000</v>
          </cell>
          <cell r="AB226">
            <v>10</v>
          </cell>
          <cell r="AC226">
            <v>107</v>
          </cell>
        </row>
        <row r="227">
          <cell r="Z227">
            <v>100000</v>
          </cell>
          <cell r="AA227">
            <v>6000</v>
          </cell>
          <cell r="AB227">
            <v>11</v>
          </cell>
          <cell r="AC227">
            <v>119</v>
          </cell>
        </row>
        <row r="228">
          <cell r="Z228">
            <v>100000</v>
          </cell>
          <cell r="AA228">
            <v>6000</v>
          </cell>
          <cell r="AB228">
            <v>14</v>
          </cell>
          <cell r="AC228">
            <v>143</v>
          </cell>
        </row>
        <row r="229">
          <cell r="Z229">
            <v>100000</v>
          </cell>
          <cell r="AA229">
            <v>6000</v>
          </cell>
          <cell r="AB229">
            <v>18</v>
          </cell>
          <cell r="AC229">
            <v>190</v>
          </cell>
        </row>
        <row r="230">
          <cell r="Z230">
            <v>100000</v>
          </cell>
          <cell r="AA230">
            <v>7000</v>
          </cell>
          <cell r="AB230">
            <v>3</v>
          </cell>
          <cell r="AC230">
            <v>24</v>
          </cell>
        </row>
        <row r="231">
          <cell r="Z231">
            <v>100000</v>
          </cell>
          <cell r="AA231">
            <v>7000</v>
          </cell>
          <cell r="AB231">
            <v>4</v>
          </cell>
          <cell r="AC231">
            <v>32</v>
          </cell>
        </row>
        <row r="232">
          <cell r="Z232">
            <v>100000</v>
          </cell>
          <cell r="AA232">
            <v>7000</v>
          </cell>
          <cell r="AB232">
            <v>5</v>
          </cell>
          <cell r="AC232">
            <v>39</v>
          </cell>
        </row>
        <row r="233">
          <cell r="Z233">
            <v>100000</v>
          </cell>
          <cell r="AA233">
            <v>7000</v>
          </cell>
          <cell r="AB233">
            <v>6</v>
          </cell>
          <cell r="AC233">
            <v>47</v>
          </cell>
        </row>
        <row r="234">
          <cell r="Z234">
            <v>100000</v>
          </cell>
          <cell r="AA234">
            <v>7000</v>
          </cell>
          <cell r="AB234">
            <v>7</v>
          </cell>
          <cell r="AC234">
            <v>68</v>
          </cell>
        </row>
        <row r="235">
          <cell r="Z235">
            <v>100000</v>
          </cell>
          <cell r="AA235">
            <v>7000</v>
          </cell>
          <cell r="AB235">
            <v>8</v>
          </cell>
          <cell r="AC235">
            <v>78</v>
          </cell>
        </row>
        <row r="236">
          <cell r="Z236">
            <v>100000</v>
          </cell>
          <cell r="AA236">
            <v>7000</v>
          </cell>
          <cell r="AB236">
            <v>9</v>
          </cell>
          <cell r="AC236">
            <v>88</v>
          </cell>
        </row>
        <row r="237">
          <cell r="Z237">
            <v>100000</v>
          </cell>
          <cell r="AA237">
            <v>7000</v>
          </cell>
          <cell r="AB237">
            <v>10</v>
          </cell>
          <cell r="AC237">
            <v>99</v>
          </cell>
        </row>
        <row r="238">
          <cell r="Z238">
            <v>100000</v>
          </cell>
          <cell r="AA238">
            <v>7000</v>
          </cell>
          <cell r="AB238">
            <v>11</v>
          </cell>
          <cell r="AC238">
            <v>110</v>
          </cell>
        </row>
        <row r="239">
          <cell r="Z239">
            <v>100000</v>
          </cell>
          <cell r="AA239">
            <v>7000</v>
          </cell>
          <cell r="AB239">
            <v>14</v>
          </cell>
          <cell r="AC239">
            <v>132</v>
          </cell>
        </row>
        <row r="240">
          <cell r="Z240">
            <v>100000</v>
          </cell>
          <cell r="AA240">
            <v>7000</v>
          </cell>
          <cell r="AB240">
            <v>18</v>
          </cell>
          <cell r="AC240">
            <v>176</v>
          </cell>
        </row>
        <row r="241">
          <cell r="Z241">
            <v>100000</v>
          </cell>
          <cell r="AA241">
            <v>8000</v>
          </cell>
          <cell r="AB241">
            <v>3</v>
          </cell>
          <cell r="AC241">
            <v>22</v>
          </cell>
        </row>
        <row r="242">
          <cell r="Z242">
            <v>100000</v>
          </cell>
          <cell r="AA242">
            <v>8000</v>
          </cell>
          <cell r="AB242">
            <v>4</v>
          </cell>
          <cell r="AC242">
            <v>30</v>
          </cell>
        </row>
        <row r="243">
          <cell r="Z243">
            <v>100000</v>
          </cell>
          <cell r="AA243">
            <v>8000</v>
          </cell>
          <cell r="AB243">
            <v>5</v>
          </cell>
          <cell r="AC243">
            <v>37</v>
          </cell>
        </row>
        <row r="244">
          <cell r="Z244">
            <v>100000</v>
          </cell>
          <cell r="AA244">
            <v>8000</v>
          </cell>
          <cell r="AB244">
            <v>6</v>
          </cell>
          <cell r="AC244">
            <v>44</v>
          </cell>
        </row>
        <row r="245">
          <cell r="Z245">
            <v>100000</v>
          </cell>
          <cell r="AA245">
            <v>8000</v>
          </cell>
          <cell r="AB245">
            <v>7</v>
          </cell>
          <cell r="AC245">
            <v>64</v>
          </cell>
        </row>
        <row r="246">
          <cell r="Z246">
            <v>100000</v>
          </cell>
          <cell r="AA246">
            <v>8000</v>
          </cell>
          <cell r="AB246">
            <v>8</v>
          </cell>
          <cell r="AC246">
            <v>73</v>
          </cell>
        </row>
        <row r="247">
          <cell r="Z247">
            <v>100000</v>
          </cell>
          <cell r="AA247">
            <v>8000</v>
          </cell>
          <cell r="AB247">
            <v>9</v>
          </cell>
          <cell r="AC247">
            <v>82</v>
          </cell>
        </row>
        <row r="248">
          <cell r="Z248">
            <v>100000</v>
          </cell>
          <cell r="AA248">
            <v>8000</v>
          </cell>
          <cell r="AB248">
            <v>10</v>
          </cell>
          <cell r="AC248">
            <v>93</v>
          </cell>
        </row>
        <row r="249">
          <cell r="Z249">
            <v>100000</v>
          </cell>
          <cell r="AA249">
            <v>8000</v>
          </cell>
          <cell r="AB249">
            <v>11</v>
          </cell>
          <cell r="AC249">
            <v>103</v>
          </cell>
        </row>
        <row r="250">
          <cell r="Z250">
            <v>100000</v>
          </cell>
          <cell r="AA250">
            <v>8000</v>
          </cell>
          <cell r="AB250">
            <v>14</v>
          </cell>
          <cell r="AC250">
            <v>124</v>
          </cell>
        </row>
        <row r="251">
          <cell r="Z251">
            <v>100000</v>
          </cell>
          <cell r="AA251">
            <v>8000</v>
          </cell>
          <cell r="AB251">
            <v>18</v>
          </cell>
          <cell r="AC251">
            <v>165</v>
          </cell>
        </row>
        <row r="252">
          <cell r="Z252">
            <v>100000</v>
          </cell>
          <cell r="AA252">
            <v>9000</v>
          </cell>
          <cell r="AB252">
            <v>3</v>
          </cell>
          <cell r="AC252">
            <v>21</v>
          </cell>
        </row>
        <row r="253">
          <cell r="Z253">
            <v>100000</v>
          </cell>
          <cell r="AA253">
            <v>9000</v>
          </cell>
          <cell r="AB253">
            <v>4</v>
          </cell>
          <cell r="AC253">
            <v>28</v>
          </cell>
        </row>
        <row r="254">
          <cell r="Z254">
            <v>100000</v>
          </cell>
          <cell r="AA254">
            <v>9000</v>
          </cell>
          <cell r="AB254">
            <v>5</v>
          </cell>
          <cell r="AC254">
            <v>35</v>
          </cell>
        </row>
        <row r="255">
          <cell r="Z255">
            <v>100000</v>
          </cell>
          <cell r="AA255">
            <v>9000</v>
          </cell>
          <cell r="AB255">
            <v>6</v>
          </cell>
          <cell r="AC255">
            <v>42</v>
          </cell>
        </row>
        <row r="256">
          <cell r="Z256">
            <v>100000</v>
          </cell>
          <cell r="AA256">
            <v>9000</v>
          </cell>
          <cell r="AB256">
            <v>7</v>
          </cell>
          <cell r="AC256">
            <v>60</v>
          </cell>
        </row>
        <row r="257">
          <cell r="Z257">
            <v>100000</v>
          </cell>
          <cell r="AA257">
            <v>9000</v>
          </cell>
          <cell r="AB257">
            <v>8</v>
          </cell>
          <cell r="AC257">
            <v>69</v>
          </cell>
        </row>
        <row r="258">
          <cell r="Z258">
            <v>100000</v>
          </cell>
          <cell r="AA258">
            <v>9000</v>
          </cell>
          <cell r="AB258">
            <v>9</v>
          </cell>
          <cell r="AC258">
            <v>78</v>
          </cell>
        </row>
        <row r="259">
          <cell r="Z259">
            <v>100000</v>
          </cell>
          <cell r="AA259">
            <v>9000</v>
          </cell>
          <cell r="AB259">
            <v>10</v>
          </cell>
          <cell r="AC259">
            <v>88</v>
          </cell>
        </row>
        <row r="260">
          <cell r="Z260">
            <v>100000</v>
          </cell>
          <cell r="AA260">
            <v>9000</v>
          </cell>
          <cell r="AB260">
            <v>11</v>
          </cell>
          <cell r="AC260">
            <v>97</v>
          </cell>
        </row>
        <row r="261">
          <cell r="Z261">
            <v>100000</v>
          </cell>
          <cell r="AA261">
            <v>9000</v>
          </cell>
          <cell r="AB261">
            <v>14</v>
          </cell>
          <cell r="AC261">
            <v>116</v>
          </cell>
        </row>
        <row r="262">
          <cell r="Z262">
            <v>100000</v>
          </cell>
          <cell r="AA262">
            <v>9000</v>
          </cell>
          <cell r="AB262">
            <v>18</v>
          </cell>
          <cell r="AC262">
            <v>155</v>
          </cell>
        </row>
        <row r="263">
          <cell r="Z263">
            <v>100000</v>
          </cell>
          <cell r="AA263">
            <v>10000</v>
          </cell>
          <cell r="AB263">
            <v>3</v>
          </cell>
          <cell r="AC263">
            <v>20</v>
          </cell>
        </row>
        <row r="264">
          <cell r="Z264">
            <v>100000</v>
          </cell>
          <cell r="AA264">
            <v>10000</v>
          </cell>
          <cell r="AB264">
            <v>4</v>
          </cell>
          <cell r="AC264">
            <v>26</v>
          </cell>
        </row>
        <row r="265">
          <cell r="Z265">
            <v>100000</v>
          </cell>
          <cell r="AA265">
            <v>10000</v>
          </cell>
          <cell r="AB265">
            <v>5</v>
          </cell>
          <cell r="AC265">
            <v>33</v>
          </cell>
        </row>
        <row r="266">
          <cell r="Z266">
            <v>100000</v>
          </cell>
          <cell r="AA266">
            <v>10000</v>
          </cell>
          <cell r="AB266">
            <v>6</v>
          </cell>
          <cell r="AC266">
            <v>39</v>
          </cell>
        </row>
        <row r="267">
          <cell r="Z267">
            <v>100000</v>
          </cell>
          <cell r="AA267">
            <v>10000</v>
          </cell>
          <cell r="AB267">
            <v>7</v>
          </cell>
          <cell r="AC267">
            <v>57</v>
          </cell>
        </row>
        <row r="268">
          <cell r="Z268">
            <v>100000</v>
          </cell>
          <cell r="AA268">
            <v>10000</v>
          </cell>
          <cell r="AB268">
            <v>8</v>
          </cell>
          <cell r="AC268">
            <v>65</v>
          </cell>
        </row>
        <row r="269">
          <cell r="Z269">
            <v>100000</v>
          </cell>
          <cell r="AA269">
            <v>10000</v>
          </cell>
          <cell r="AB269">
            <v>9</v>
          </cell>
          <cell r="AC269">
            <v>74</v>
          </cell>
        </row>
        <row r="270">
          <cell r="Z270">
            <v>100000</v>
          </cell>
          <cell r="AA270">
            <v>10000</v>
          </cell>
          <cell r="AB270">
            <v>10</v>
          </cell>
          <cell r="AC270">
            <v>83</v>
          </cell>
        </row>
        <row r="271">
          <cell r="Z271">
            <v>100000</v>
          </cell>
          <cell r="AA271">
            <v>10000</v>
          </cell>
          <cell r="AB271">
            <v>11</v>
          </cell>
          <cell r="AC271">
            <v>92</v>
          </cell>
        </row>
        <row r="272">
          <cell r="Z272">
            <v>100000</v>
          </cell>
          <cell r="AA272">
            <v>10000</v>
          </cell>
          <cell r="AB272">
            <v>14</v>
          </cell>
          <cell r="AC272">
            <v>111</v>
          </cell>
        </row>
        <row r="273">
          <cell r="Z273">
            <v>100000</v>
          </cell>
          <cell r="AA273">
            <v>10000</v>
          </cell>
          <cell r="AB273">
            <v>18</v>
          </cell>
          <cell r="AC273">
            <v>147</v>
          </cell>
        </row>
      </sheetData>
      <sheetData sheetId="9"/>
      <sheetData sheetId="10"/>
      <sheetData sheetId="1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F3E2F-7AA6-4CD5-AA9C-C129E83022A2}">
  <dimension ref="A1:D24"/>
  <sheetViews>
    <sheetView workbookViewId="0">
      <selection activeCell="D25" sqref="D25"/>
    </sheetView>
  </sheetViews>
  <sheetFormatPr defaultColWidth="8.88671875" defaultRowHeight="14.4" x14ac:dyDescent="0.3"/>
  <cols>
    <col min="1" max="1" width="12.109375" customWidth="1"/>
  </cols>
  <sheetData>
    <row r="1" spans="1:4" x14ac:dyDescent="0.3">
      <c r="A1" s="87" t="s">
        <v>146</v>
      </c>
      <c r="B1" s="87" t="s">
        <v>147</v>
      </c>
      <c r="C1" s="87" t="s">
        <v>148</v>
      </c>
      <c r="D1" s="87" t="s">
        <v>149</v>
      </c>
    </row>
    <row r="2" spans="1:4" x14ac:dyDescent="0.3">
      <c r="A2" t="s">
        <v>170</v>
      </c>
      <c r="B2" s="87" t="str">
        <f>IF(PDL&gt;=0,"k","Must be positive!")</f>
        <v>k</v>
      </c>
      <c r="C2" s="87"/>
      <c r="D2" s="87">
        <v>438</v>
      </c>
    </row>
    <row r="3" spans="1:4" x14ac:dyDescent="0.3">
      <c r="A3" t="s">
        <v>169</v>
      </c>
      <c r="B3" s="87" t="str">
        <f>IF(PLL&gt;=0,"k","Must be positive!")</f>
        <v>k</v>
      </c>
      <c r="C3" s="87"/>
      <c r="D3" s="87">
        <v>260</v>
      </c>
    </row>
    <row r="4" spans="1:4" x14ac:dyDescent="0.3">
      <c r="A4" t="s">
        <v>168</v>
      </c>
      <c r="B4" s="87" t="str">
        <f>IF(A4&gt;=0,"ksf","Must be positive!")</f>
        <v>ksf</v>
      </c>
      <c r="C4" s="87"/>
      <c r="D4" s="87">
        <v>0</v>
      </c>
    </row>
    <row r="5" spans="1:4" x14ac:dyDescent="0.3">
      <c r="A5" t="s">
        <v>167</v>
      </c>
      <c r="B5" s="87" t="str">
        <f>IF(A5&gt;=0,"ksf","Must be positive!")</f>
        <v>ksf</v>
      </c>
      <c r="C5" s="87"/>
      <c r="D5" s="87">
        <v>19</v>
      </c>
    </row>
    <row r="6" spans="1:4" x14ac:dyDescent="0.3">
      <c r="A6" t="s">
        <v>166</v>
      </c>
      <c r="B6" s="87"/>
      <c r="C6" s="87"/>
      <c r="D6" s="87" t="s">
        <v>145</v>
      </c>
    </row>
    <row r="7" spans="1:4" x14ac:dyDescent="0.3">
      <c r="A7" t="s">
        <v>165</v>
      </c>
      <c r="B7" s="87" t="s">
        <v>36</v>
      </c>
      <c r="C7" s="87"/>
      <c r="D7" s="87">
        <v>216</v>
      </c>
    </row>
    <row r="8" spans="1:4" x14ac:dyDescent="0.3">
      <c r="A8" t="s">
        <v>164</v>
      </c>
      <c r="B8" s="87" t="s">
        <v>36</v>
      </c>
      <c r="C8" s="87"/>
      <c r="D8" s="87">
        <v>216</v>
      </c>
    </row>
    <row r="9" spans="1:4" x14ac:dyDescent="0.3">
      <c r="A9" t="s">
        <v>163</v>
      </c>
      <c r="B9" s="87" t="s">
        <v>36</v>
      </c>
      <c r="C9" s="87"/>
      <c r="D9" s="87">
        <v>20</v>
      </c>
    </row>
    <row r="10" spans="1:4" x14ac:dyDescent="0.3">
      <c r="A10" t="s">
        <v>162</v>
      </c>
      <c r="B10" s="87" t="s">
        <v>36</v>
      </c>
      <c r="C10" s="87"/>
      <c r="D10" s="87">
        <v>14</v>
      </c>
    </row>
    <row r="11" spans="1:4" x14ac:dyDescent="0.3">
      <c r="A11" t="s">
        <v>171</v>
      </c>
      <c r="B11" s="87" t="s">
        <v>76</v>
      </c>
      <c r="C11" s="87"/>
      <c r="D11" s="87">
        <v>6</v>
      </c>
    </row>
    <row r="12" spans="1:4" x14ac:dyDescent="0.3">
      <c r="A12" t="s">
        <v>161</v>
      </c>
      <c r="B12" s="87" t="s">
        <v>36</v>
      </c>
      <c r="C12" s="87"/>
      <c r="D12" s="87">
        <v>3</v>
      </c>
    </row>
    <row r="13" spans="1:4" x14ac:dyDescent="0.3">
      <c r="A13" t="s">
        <v>160</v>
      </c>
      <c r="B13" s="87" t="s">
        <v>36</v>
      </c>
      <c r="C13" s="87"/>
      <c r="D13" s="87">
        <v>60</v>
      </c>
    </row>
    <row r="14" spans="1:4" x14ac:dyDescent="0.3">
      <c r="A14" t="s">
        <v>177</v>
      </c>
      <c r="B14" s="87"/>
      <c r="C14" s="87"/>
      <c r="D14" s="87">
        <v>9</v>
      </c>
    </row>
    <row r="15" spans="1:4" x14ac:dyDescent="0.3">
      <c r="A15" t="s">
        <v>176</v>
      </c>
      <c r="B15" s="87"/>
      <c r="C15" s="87"/>
      <c r="D15" s="87">
        <v>53</v>
      </c>
    </row>
    <row r="16" spans="1:4" x14ac:dyDescent="0.3">
      <c r="A16" t="s">
        <v>175</v>
      </c>
      <c r="B16" s="87" t="s">
        <v>76</v>
      </c>
      <c r="C16" s="87"/>
      <c r="D16" s="87">
        <v>60</v>
      </c>
    </row>
    <row r="17" spans="1:4" x14ac:dyDescent="0.3">
      <c r="A17" t="s">
        <v>174</v>
      </c>
      <c r="B17" s="87"/>
      <c r="C17" s="87"/>
      <c r="D17" s="87">
        <v>11</v>
      </c>
    </row>
    <row r="18" spans="1:4" x14ac:dyDescent="0.3">
      <c r="A18" t="s">
        <v>173</v>
      </c>
      <c r="B18" s="87"/>
      <c r="C18" s="87"/>
      <c r="D18" s="87">
        <v>53</v>
      </c>
    </row>
    <row r="19" spans="1:4" x14ac:dyDescent="0.3">
      <c r="A19" t="s">
        <v>172</v>
      </c>
      <c r="B19" s="87" t="s">
        <v>76</v>
      </c>
      <c r="C19" s="87"/>
      <c r="D19" s="87">
        <v>60</v>
      </c>
    </row>
    <row r="20" spans="1:4" x14ac:dyDescent="0.3">
      <c r="A20" t="s">
        <v>159</v>
      </c>
      <c r="B20" s="87" t="s">
        <v>76</v>
      </c>
      <c r="C20" s="87"/>
      <c r="D20" s="87">
        <v>60</v>
      </c>
    </row>
    <row r="21" spans="1:4" x14ac:dyDescent="0.3">
      <c r="A21" t="s">
        <v>178</v>
      </c>
      <c r="B21" s="87"/>
      <c r="C21" s="87"/>
      <c r="D21" s="87">
        <v>6</v>
      </c>
    </row>
    <row r="22" spans="1:4" x14ac:dyDescent="0.3">
      <c r="A22" t="s">
        <v>158</v>
      </c>
      <c r="B22" s="87" t="s">
        <v>36</v>
      </c>
      <c r="C22" s="87"/>
      <c r="D22" s="87">
        <v>6</v>
      </c>
    </row>
    <row r="23" spans="1:4" x14ac:dyDescent="0.3">
      <c r="A23" t="s">
        <v>157</v>
      </c>
      <c r="B23" s="87" t="s">
        <v>36</v>
      </c>
      <c r="C23" s="87"/>
      <c r="D23" s="87">
        <v>6</v>
      </c>
    </row>
    <row r="24" spans="1:4" x14ac:dyDescent="0.3">
      <c r="A24" t="s">
        <v>156</v>
      </c>
      <c r="B24" s="87"/>
      <c r="C24" s="87"/>
      <c r="D24" s="87"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3B4E-7878-412E-9598-8E310B43A1A1}">
  <dimension ref="A1:BL50"/>
  <sheetViews>
    <sheetView topLeftCell="A10" zoomScale="125" workbookViewId="0">
      <selection activeCell="G20" sqref="G20"/>
    </sheetView>
  </sheetViews>
  <sheetFormatPr defaultColWidth="8.88671875" defaultRowHeight="14.4" x14ac:dyDescent="0.3"/>
  <sheetData>
    <row r="1" spans="1:64" x14ac:dyDescent="0.3">
      <c r="A1" s="1" t="s">
        <v>0</v>
      </c>
      <c r="B1" s="2"/>
      <c r="C1" s="2"/>
      <c r="D1" s="2"/>
      <c r="E1" s="2"/>
      <c r="F1" s="2"/>
      <c r="G1" s="2"/>
      <c r="H1" s="2"/>
      <c r="I1" s="2"/>
      <c r="J1" s="2"/>
      <c r="K1" s="3"/>
      <c r="L1" s="2"/>
      <c r="M1" s="4" t="s">
        <v>1</v>
      </c>
      <c r="N1" s="5"/>
      <c r="O1" s="5"/>
      <c r="P1" s="5"/>
      <c r="Q1" s="6"/>
      <c r="R1" s="2"/>
      <c r="S1" s="2"/>
      <c r="T1" s="2"/>
      <c r="U1" s="2"/>
      <c r="V1" s="2"/>
      <c r="W1" s="2"/>
      <c r="X1" s="2"/>
      <c r="Y1" s="7"/>
      <c r="Z1" s="2"/>
      <c r="AA1" s="8" t="s">
        <v>2</v>
      </c>
      <c r="AB1" s="2"/>
      <c r="AC1" s="2"/>
      <c r="AD1" s="2"/>
      <c r="AE1" s="2"/>
      <c r="AF1" s="2"/>
      <c r="AG1" s="2"/>
      <c r="AH1" s="2"/>
      <c r="AI1" s="9"/>
      <c r="AJ1" s="9"/>
      <c r="AK1" s="9"/>
      <c r="AL1" s="9"/>
      <c r="AM1" s="8" t="s">
        <v>3</v>
      </c>
      <c r="AN1" s="9"/>
      <c r="AO1" s="9"/>
      <c r="AP1" s="9"/>
      <c r="AQ1" s="9"/>
      <c r="AR1" s="9"/>
      <c r="AS1" s="9"/>
      <c r="AT1" s="9"/>
      <c r="AU1" s="9"/>
      <c r="AV1" s="9"/>
      <c r="AW1" s="9"/>
      <c r="AX1" s="9"/>
      <c r="AY1" s="9"/>
      <c r="AZ1" s="8" t="s">
        <v>4</v>
      </c>
      <c r="BA1" s="9"/>
      <c r="BB1" s="9"/>
      <c r="BC1" s="9"/>
      <c r="BD1" s="9"/>
      <c r="BE1" s="9"/>
      <c r="BF1" s="9"/>
      <c r="BG1" s="9"/>
      <c r="BH1" s="9"/>
      <c r="BI1" s="9"/>
      <c r="BJ1" s="9"/>
      <c r="BK1" s="9"/>
      <c r="BL1" s="9"/>
    </row>
    <row r="2" spans="1:64" x14ac:dyDescent="0.3">
      <c r="A2" s="90" t="s">
        <v>5</v>
      </c>
      <c r="B2" s="90"/>
      <c r="C2" s="91" t="str">
        <f>[1]Information!D13</f>
        <v>Test Project2</v>
      </c>
      <c r="D2" s="92"/>
      <c r="E2" s="2"/>
      <c r="F2" s="2"/>
      <c r="G2" s="10" t="s">
        <v>6</v>
      </c>
      <c r="H2" s="93" t="str">
        <f>[1]Information!D14</f>
        <v>ENG2</v>
      </c>
      <c r="I2" s="93"/>
      <c r="J2" s="2"/>
      <c r="K2" s="2"/>
      <c r="L2" s="2"/>
      <c r="M2" s="11" t="s">
        <v>7</v>
      </c>
      <c r="N2" s="12">
        <f>(AN4+AN3*IF(B12="YES",1,0))/(Xftg/12*Yftg/12)+B8</f>
        <v>2.9043209876543208</v>
      </c>
      <c r="O2" s="13" t="s">
        <v>8</v>
      </c>
      <c r="P2" s="13"/>
      <c r="Q2" s="14"/>
      <c r="R2" s="2"/>
      <c r="S2" s="2"/>
      <c r="T2" s="2"/>
      <c r="U2" s="2"/>
      <c r="V2" s="2"/>
      <c r="W2" s="2"/>
      <c r="X2" s="2"/>
      <c r="Y2" s="7"/>
      <c r="Z2" s="2"/>
      <c r="AA2" s="2"/>
      <c r="AB2" s="2"/>
      <c r="AC2" s="2"/>
      <c r="AD2" s="2"/>
      <c r="AE2" s="2"/>
      <c r="AF2" s="2"/>
      <c r="AG2" s="2"/>
      <c r="AH2" s="2"/>
      <c r="AI2" s="9"/>
      <c r="AJ2" s="9"/>
      <c r="AK2" s="9"/>
      <c r="AL2" s="9"/>
      <c r="AM2" s="15"/>
      <c r="AN2" s="9"/>
      <c r="AO2" s="9"/>
      <c r="AP2" s="9"/>
      <c r="AQ2" s="9"/>
      <c r="AR2" s="9"/>
      <c r="AS2" s="9"/>
      <c r="AT2" s="9"/>
      <c r="AU2" s="9"/>
      <c r="AV2" s="9"/>
      <c r="AW2" s="9"/>
      <c r="AX2" s="9"/>
      <c r="AY2" s="9"/>
      <c r="AZ2" s="9"/>
      <c r="BA2" s="9"/>
      <c r="BB2" s="9"/>
      <c r="BC2" s="9"/>
      <c r="BD2" s="9"/>
      <c r="BE2" s="9"/>
      <c r="BF2" s="9"/>
      <c r="BG2" s="9"/>
      <c r="BH2" s="9"/>
      <c r="BI2" s="9"/>
      <c r="BJ2" s="9"/>
      <c r="BK2" s="9"/>
      <c r="BL2" s="9"/>
    </row>
    <row r="3" spans="1:64" ht="16.2" thickBot="1" x14ac:dyDescent="0.35">
      <c r="A3" s="90" t="s">
        <v>9</v>
      </c>
      <c r="B3" s="90"/>
      <c r="C3" s="94" t="s">
        <v>10</v>
      </c>
      <c r="D3" s="92"/>
      <c r="E3" s="2"/>
      <c r="F3" s="2"/>
      <c r="G3" s="10" t="s">
        <v>11</v>
      </c>
      <c r="H3" s="95">
        <f ca="1">TODAY()</f>
        <v>44759</v>
      </c>
      <c r="I3" s="95"/>
      <c r="J3" s="2"/>
      <c r="K3" s="2"/>
      <c r="L3" s="2"/>
      <c r="M3" s="16" t="s">
        <v>12</v>
      </c>
      <c r="N3" s="17">
        <f>IF(B11&lt;&gt;"",N2/B11,"")</f>
        <v>0.1528589993502274</v>
      </c>
      <c r="O3" s="18"/>
      <c r="P3" s="19" t="str">
        <f>IF(N3&gt;1,"✗","✓")</f>
        <v>✓</v>
      </c>
      <c r="Q3" s="20"/>
      <c r="R3" s="2"/>
      <c r="S3" s="2"/>
      <c r="T3" s="2"/>
      <c r="U3" s="2"/>
      <c r="V3" s="2"/>
      <c r="W3" s="2"/>
      <c r="X3" s="2"/>
      <c r="Y3" s="7"/>
      <c r="Z3" s="2"/>
      <c r="AA3" s="2"/>
      <c r="AB3" s="2"/>
      <c r="AC3" s="2"/>
      <c r="AD3" s="2"/>
      <c r="AE3" s="2"/>
      <c r="AF3" s="2"/>
      <c r="AG3" s="2"/>
      <c r="AH3" s="2"/>
      <c r="AI3" s="9"/>
      <c r="AJ3" s="9"/>
      <c r="AK3" s="9"/>
      <c r="AL3" s="9"/>
      <c r="AM3" s="15" t="s">
        <v>13</v>
      </c>
      <c r="AN3" s="21">
        <f>Xftg/12*Yftg/12*h/12*0.15</f>
        <v>243</v>
      </c>
      <c r="AO3" s="9" t="s">
        <v>14</v>
      </c>
      <c r="AP3" s="9"/>
      <c r="AQ3" s="9"/>
      <c r="AR3" s="9"/>
      <c r="AS3" s="9"/>
      <c r="AT3" s="9"/>
      <c r="AU3" s="9"/>
      <c r="AV3" s="9"/>
      <c r="AW3" s="9"/>
      <c r="AX3" s="9"/>
      <c r="AY3" s="9"/>
      <c r="AZ3" s="15" t="s">
        <v>15</v>
      </c>
      <c r="BA3" s="21">
        <f>IF(fc&lt;4,0.85,IF(fc&gt;8,0.65,1.05-0.05*fc))</f>
        <v>0.75</v>
      </c>
      <c r="BB3" s="9"/>
      <c r="BC3" s="9"/>
      <c r="BD3" s="9"/>
      <c r="BE3" s="9"/>
      <c r="BF3" s="9"/>
      <c r="BG3" s="9"/>
      <c r="BH3" s="9"/>
      <c r="BI3" s="9"/>
      <c r="BJ3" s="9"/>
      <c r="BK3" s="9"/>
      <c r="BL3" s="9"/>
    </row>
    <row r="4" spans="1:64" ht="16.2" thickBot="1" x14ac:dyDescent="0.35">
      <c r="A4" s="2"/>
      <c r="B4" s="2"/>
      <c r="C4" s="2"/>
      <c r="D4" s="2"/>
      <c r="E4" s="2"/>
      <c r="F4" s="2"/>
      <c r="G4" s="2"/>
      <c r="H4" s="2"/>
      <c r="I4" s="2"/>
      <c r="J4" s="2"/>
      <c r="K4" s="2"/>
      <c r="L4" s="2"/>
      <c r="M4" s="2"/>
      <c r="N4" s="2"/>
      <c r="O4" s="2"/>
      <c r="P4" s="2"/>
      <c r="Q4" s="2"/>
      <c r="R4" s="2"/>
      <c r="S4" s="2"/>
      <c r="T4" s="2"/>
      <c r="U4" s="2"/>
      <c r="V4" s="2"/>
      <c r="W4" s="2"/>
      <c r="X4" s="2"/>
      <c r="Y4" s="7"/>
      <c r="Z4" s="2"/>
      <c r="AA4" s="2"/>
      <c r="AB4" s="2"/>
      <c r="AC4" s="2"/>
      <c r="AD4" s="2"/>
      <c r="AE4" s="2"/>
      <c r="AF4" s="2"/>
      <c r="AG4" s="2"/>
      <c r="AH4" s="2"/>
      <c r="AI4" s="9"/>
      <c r="AJ4" s="9"/>
      <c r="AK4" s="9"/>
      <c r="AL4" s="9"/>
      <c r="AM4" s="15" t="s">
        <v>16</v>
      </c>
      <c r="AN4" s="21">
        <f>PDL+PLL</f>
        <v>698</v>
      </c>
      <c r="AO4" s="9" t="s">
        <v>14</v>
      </c>
      <c r="AP4" s="9"/>
      <c r="AQ4" s="9"/>
      <c r="AR4" s="9"/>
      <c r="AS4" s="9"/>
      <c r="AT4" s="9"/>
      <c r="AU4" s="9"/>
      <c r="AV4" s="9"/>
      <c r="AW4" s="9"/>
      <c r="AX4" s="9"/>
      <c r="AY4" s="9"/>
      <c r="AZ4" s="15" t="s">
        <v>17</v>
      </c>
      <c r="BA4" s="22">
        <f>0.0018</f>
        <v>1.8E-3</v>
      </c>
      <c r="BB4" s="9"/>
      <c r="BC4" s="9"/>
      <c r="BD4" s="9"/>
      <c r="BE4" s="9"/>
      <c r="BF4" s="9"/>
      <c r="BG4" s="9"/>
      <c r="BH4" s="9"/>
      <c r="BI4" s="9"/>
      <c r="BJ4" s="9"/>
      <c r="BK4" s="9"/>
      <c r="BL4" s="9"/>
    </row>
    <row r="5" spans="1:64" ht="15.6" x14ac:dyDescent="0.3">
      <c r="A5" s="4" t="s">
        <v>18</v>
      </c>
      <c r="B5" s="5"/>
      <c r="C5" s="5"/>
      <c r="D5" s="6"/>
      <c r="E5" s="2"/>
      <c r="F5" s="23"/>
      <c r="G5" s="10" t="s">
        <v>19</v>
      </c>
      <c r="H5" s="24" t="s">
        <v>20</v>
      </c>
      <c r="I5" s="2"/>
      <c r="J5" s="2"/>
      <c r="K5" s="2"/>
      <c r="L5" s="2"/>
      <c r="M5" s="4" t="s">
        <v>21</v>
      </c>
      <c r="N5" s="5"/>
      <c r="O5" s="5"/>
      <c r="P5" s="5"/>
      <c r="Q5" s="6"/>
      <c r="R5" s="25"/>
      <c r="S5" s="4" t="s">
        <v>22</v>
      </c>
      <c r="T5" s="5"/>
      <c r="U5" s="5"/>
      <c r="V5" s="5"/>
      <c r="W5" s="6"/>
      <c r="X5" s="2"/>
      <c r="Y5" s="7"/>
      <c r="Z5" s="2"/>
      <c r="AA5" s="8" t="s">
        <v>23</v>
      </c>
      <c r="AB5" s="9"/>
      <c r="AC5" s="9"/>
      <c r="AD5" s="9"/>
      <c r="AE5" s="9"/>
      <c r="AF5" s="9"/>
      <c r="AG5" s="9"/>
      <c r="AH5" s="9"/>
      <c r="AI5" s="9"/>
      <c r="AJ5" s="9"/>
      <c r="AK5" s="9"/>
      <c r="AL5" s="9"/>
      <c r="AM5" s="15" t="s">
        <v>24</v>
      </c>
      <c r="AN5" s="21">
        <f>MAX(1.2*PDL+1.6*PLL,1.4*PDL)</f>
        <v>941.6</v>
      </c>
      <c r="AO5" s="26" t="s">
        <v>14</v>
      </c>
      <c r="AP5" s="9"/>
      <c r="AQ5" s="9"/>
      <c r="AR5" s="9"/>
      <c r="AS5" s="9"/>
      <c r="AT5" s="9"/>
      <c r="AU5" s="9"/>
      <c r="AV5" s="9"/>
      <c r="AW5" s="9"/>
      <c r="AX5" s="9"/>
      <c r="AY5" s="9"/>
      <c r="AZ5" s="9"/>
      <c r="BA5" s="9"/>
      <c r="BB5" s="9"/>
      <c r="BC5" s="9"/>
      <c r="BD5" s="9"/>
      <c r="BE5" s="9"/>
      <c r="BF5" s="9"/>
      <c r="BG5" s="9"/>
      <c r="BH5" s="9"/>
      <c r="BI5" s="9"/>
      <c r="BJ5" s="9"/>
      <c r="BK5" s="9"/>
      <c r="BL5" s="9"/>
    </row>
    <row r="6" spans="1:64" ht="15.6" x14ac:dyDescent="0.3">
      <c r="A6" s="11" t="s">
        <v>25</v>
      </c>
      <c r="B6" s="27">
        <f>'viktor-input-sheet'!D2</f>
        <v>438</v>
      </c>
      <c r="C6" s="13" t="str">
        <f>IF(PDL&gt;=0,"k","Must be positive!")</f>
        <v>k</v>
      </c>
      <c r="D6" s="28"/>
      <c r="E6" s="2"/>
      <c r="F6" s="2"/>
      <c r="G6" s="2"/>
      <c r="H6" s="2"/>
      <c r="I6" s="2"/>
      <c r="J6" s="2"/>
      <c r="K6" s="2"/>
      <c r="L6" s="2"/>
      <c r="M6" s="11" t="s">
        <v>26</v>
      </c>
      <c r="N6" s="29">
        <f>IF(B23&lt;1,"# Bars Error",VLOOKUP(B22,M39:P50,3)*B23)</f>
        <v>53</v>
      </c>
      <c r="O6" s="13" t="s">
        <v>27</v>
      </c>
      <c r="P6" s="13"/>
      <c r="Q6" s="14"/>
      <c r="R6" s="30"/>
      <c r="S6" s="11" t="s">
        <v>26</v>
      </c>
      <c r="T6" s="29">
        <f>IF(B27&lt;1,"# Bars Error",VLOOKUP(B26,M39:P50,3)*B27)</f>
        <v>82.68</v>
      </c>
      <c r="U6" s="13" t="s">
        <v>27</v>
      </c>
      <c r="V6" s="13"/>
      <c r="W6" s="14"/>
      <c r="X6" s="2"/>
      <c r="Y6" s="7"/>
      <c r="Z6" s="2"/>
      <c r="AA6" s="15"/>
      <c r="AB6" s="9"/>
      <c r="AC6" s="9"/>
      <c r="AD6" s="9"/>
      <c r="AE6" s="9"/>
      <c r="AF6" s="9"/>
      <c r="AG6" s="9"/>
      <c r="AH6" s="9"/>
      <c r="AI6" s="9"/>
      <c r="AJ6" s="9"/>
      <c r="AK6" s="9"/>
      <c r="AL6" s="9"/>
      <c r="AM6" s="15" t="s">
        <v>28</v>
      </c>
      <c r="AN6" s="31">
        <f>AN5/(Xftg/12*Yftg/12)</f>
        <v>2.9061728395061728</v>
      </c>
      <c r="AO6" s="9" t="s">
        <v>8</v>
      </c>
      <c r="AP6" s="9"/>
      <c r="AQ6" s="9"/>
      <c r="AR6" s="9"/>
      <c r="AS6" s="9"/>
      <c r="AT6" s="9"/>
      <c r="AU6" s="9"/>
      <c r="AV6" s="9"/>
      <c r="AW6" s="9"/>
      <c r="AX6" s="9"/>
      <c r="AY6" s="9"/>
      <c r="AZ6" s="32" t="s">
        <v>29</v>
      </c>
      <c r="BA6" s="9"/>
      <c r="BB6" s="9"/>
      <c r="BC6" s="9"/>
      <c r="BD6" s="9"/>
      <c r="BE6" s="9"/>
      <c r="BF6" s="32" t="s">
        <v>30</v>
      </c>
      <c r="BG6" s="9"/>
      <c r="BH6" s="9"/>
      <c r="BI6" s="9"/>
      <c r="BJ6" s="9"/>
      <c r="BK6" s="9"/>
      <c r="BL6" s="9"/>
    </row>
    <row r="7" spans="1:64" x14ac:dyDescent="0.3">
      <c r="A7" s="11" t="s">
        <v>31</v>
      </c>
      <c r="B7" s="27">
        <f>'viktor-input-sheet'!D3</f>
        <v>260</v>
      </c>
      <c r="C7" s="13" t="str">
        <f>IF(PLL&gt;=0,"k","Must be positive!")</f>
        <v>k</v>
      </c>
      <c r="D7" s="28"/>
      <c r="E7" s="2"/>
      <c r="F7" s="2"/>
      <c r="G7" s="2"/>
      <c r="H7" s="2"/>
      <c r="I7" s="2"/>
      <c r="J7" s="2"/>
      <c r="K7" s="2"/>
      <c r="L7" s="2"/>
      <c r="M7" s="11" t="s">
        <v>32</v>
      </c>
      <c r="N7" s="29">
        <f>rhomin*Yftg*h</f>
        <v>23.327999999999999</v>
      </c>
      <c r="O7" s="13" t="s">
        <v>27</v>
      </c>
      <c r="P7" s="33" t="str">
        <f>IF(N7&lt;N6,"OK","Increase Reinf.")</f>
        <v>OK</v>
      </c>
      <c r="Q7" s="34"/>
      <c r="R7" s="2"/>
      <c r="S7" s="11" t="s">
        <v>32</v>
      </c>
      <c r="T7" s="29">
        <f>rhomin*Xftg*h</f>
        <v>23.327999999999999</v>
      </c>
      <c r="U7" s="13" t="s">
        <v>27</v>
      </c>
      <c r="V7" s="33" t="str">
        <f>IF(T7&lt;T6,"OK","Increase Reinf.")</f>
        <v>OK</v>
      </c>
      <c r="W7" s="14"/>
      <c r="X7" s="2"/>
      <c r="Y7" s="7"/>
      <c r="Z7" s="2"/>
      <c r="AA7" s="15"/>
      <c r="AB7" s="9"/>
      <c r="AC7" s="9"/>
      <c r="AD7" s="9"/>
      <c r="AE7" s="9"/>
      <c r="AF7" s="9"/>
      <c r="AG7" s="9"/>
      <c r="AH7" s="9"/>
      <c r="AI7" s="9"/>
      <c r="AJ7" s="9"/>
      <c r="AK7" s="9"/>
      <c r="AL7" s="9"/>
      <c r="AM7" s="15"/>
      <c r="AN7" s="9"/>
      <c r="AO7" s="9"/>
      <c r="AP7" s="9"/>
      <c r="AQ7" s="9"/>
      <c r="AR7" s="9"/>
      <c r="AS7" s="9"/>
      <c r="AT7" s="9"/>
      <c r="AU7" s="9"/>
      <c r="AV7" s="9"/>
      <c r="AW7" s="9"/>
      <c r="AX7" s="9"/>
      <c r="AY7" s="9"/>
      <c r="AZ7" s="15" t="s">
        <v>33</v>
      </c>
      <c r="BA7" s="35">
        <f>T6</f>
        <v>82.68</v>
      </c>
      <c r="BB7" s="26" t="s">
        <v>27</v>
      </c>
      <c r="BC7" s="9"/>
      <c r="BD7" s="9"/>
      <c r="BE7" s="9"/>
      <c r="BF7" s="15" t="s">
        <v>33</v>
      </c>
      <c r="BG7" s="35">
        <f>N6</f>
        <v>53</v>
      </c>
      <c r="BH7" s="26" t="s">
        <v>27</v>
      </c>
      <c r="BI7" s="9"/>
      <c r="BJ7" s="9"/>
      <c r="BK7" s="9"/>
      <c r="BL7" s="9"/>
    </row>
    <row r="8" spans="1:64" ht="15" thickBot="1" x14ac:dyDescent="0.35">
      <c r="A8" s="36" t="s">
        <v>34</v>
      </c>
      <c r="B8" s="37">
        <f>'viktor-input-sheet'!D4</f>
        <v>0</v>
      </c>
      <c r="C8" s="18" t="str">
        <f>IF(B8&gt;=0,"ksf","Must be positive!")</f>
        <v>ksf</v>
      </c>
      <c r="D8" s="38"/>
      <c r="E8" s="2"/>
      <c r="F8" s="2"/>
      <c r="G8" s="2"/>
      <c r="H8" s="2"/>
      <c r="I8" s="2"/>
      <c r="J8" s="2"/>
      <c r="K8" s="2"/>
      <c r="L8" s="2"/>
      <c r="M8" s="11" t="s">
        <v>35</v>
      </c>
      <c r="N8" s="29">
        <f>IF(B23&lt;1,"# Bars Error",IF(B23=1,"N/A",(Yftg-cover-cover)/(B23-1)))</f>
        <v>4.0384615384615383</v>
      </c>
      <c r="O8" s="13" t="s">
        <v>36</v>
      </c>
      <c r="P8" s="33" t="str">
        <f>IF(N8="# Bars Error","",IF(AND(N8&lt;MIN(18,3*h),MAX(1,VLOOKUP(B22,M39:P50,2))),"OK",IF(N8&lt;MIN(18,3*h),MAX(1,VLOOKUP(B22,M39:P50,2)) &amp; "in MIN SPACING",MIN(18,3*h) &amp; "in MAX SPACING")))</f>
        <v>OK</v>
      </c>
      <c r="Q8" s="39"/>
      <c r="R8" s="2"/>
      <c r="S8" s="11" t="s">
        <v>35</v>
      </c>
      <c r="T8" s="29">
        <f>IF(B27&lt;1,"# Bars Error",IF(B27=1,"N/A",(Xftg-cover-cover)/(B27-1)))</f>
        <v>4.0384615384615383</v>
      </c>
      <c r="U8" s="13" t="s">
        <v>36</v>
      </c>
      <c r="V8" s="33" t="str">
        <f>IF(T8="# Bars Error","",IF(AND(T8&lt;MIN(18,3*h),T8&gt;MAX(1,VLOOKUP(B26,M39:P50,2))),"OK",IF(T8&lt;MIN(18,3*h),MAX(1,VLOOKUP(B26,M39:P50,2)) &amp; "in MIN",MIN(18,3*h) &amp; "in MAX")))</f>
        <v>OK</v>
      </c>
      <c r="W8" s="14"/>
      <c r="X8" s="2"/>
      <c r="Y8" s="7"/>
      <c r="Z8" s="2"/>
      <c r="AA8" s="15"/>
      <c r="AB8" s="9"/>
      <c r="AC8" s="9"/>
      <c r="AD8" s="9"/>
      <c r="AE8" s="9"/>
      <c r="AF8" s="9"/>
      <c r="AG8" s="9"/>
      <c r="AH8" s="9"/>
      <c r="AI8" s="9"/>
      <c r="AJ8" s="9"/>
      <c r="AK8" s="9"/>
      <c r="AL8" s="9"/>
      <c r="AM8" s="15" t="s">
        <v>37</v>
      </c>
      <c r="AN8" s="21">
        <v>0.75</v>
      </c>
      <c r="AO8" s="9"/>
      <c r="AP8" s="9"/>
      <c r="AQ8" s="9"/>
      <c r="AR8" s="9"/>
      <c r="AS8" s="9"/>
      <c r="AT8" s="9"/>
      <c r="AU8" s="9"/>
      <c r="AV8" s="9"/>
      <c r="AW8" s="9"/>
      <c r="AX8" s="9"/>
      <c r="AY8" s="9"/>
      <c r="AZ8" s="15"/>
      <c r="BA8" s="9"/>
      <c r="BB8" s="9"/>
      <c r="BC8" s="9"/>
      <c r="BD8" s="9"/>
      <c r="BE8" s="9"/>
      <c r="BF8" s="9"/>
      <c r="BG8" s="9"/>
      <c r="BH8" s="9"/>
      <c r="BI8" s="9"/>
      <c r="BJ8" s="9"/>
      <c r="BK8" s="9"/>
      <c r="BL8" s="9"/>
    </row>
    <row r="9" spans="1:64" ht="15" thickBot="1" x14ac:dyDescent="0.35">
      <c r="A9" s="2"/>
      <c r="B9" s="2"/>
      <c r="C9" s="2"/>
      <c r="D9" s="2"/>
      <c r="E9" s="2"/>
      <c r="F9" s="2"/>
      <c r="G9" s="2"/>
      <c r="H9" s="2"/>
      <c r="I9" s="2"/>
      <c r="J9" s="2"/>
      <c r="K9" s="2"/>
      <c r="L9" s="2"/>
      <c r="M9" s="11" t="s">
        <v>38</v>
      </c>
      <c r="N9" s="40" cm="1">
        <f t="array" ref="N9">IFERROR(INDEX('[1]Back of House - Variables'!AC10:AC273,MATCH(1,(B24*1000='[1]Back of House - Variables'!Z10:Z273)*(B18*1000='[1]Back of House - Variables'!AA10:AA273)*(B22='[1]Back of House - Variables'!AB10:AB273),0)),"Error")</f>
        <v>44</v>
      </c>
      <c r="O9" s="13" t="s">
        <v>36</v>
      </c>
      <c r="P9" s="33" t="str">
        <f>IF(N9="error","fy or f'c are out of range",IF(N9&lt;(Xftg/12/2-Xcol/12/2-cover/12)*12,"OK","Hook Required"))</f>
        <v>OK</v>
      </c>
      <c r="Q9" s="34"/>
      <c r="R9" s="30"/>
      <c r="S9" s="11" t="s">
        <v>38</v>
      </c>
      <c r="T9" s="40" cm="1">
        <f t="array" ref="T9">IFERROR(INDEX('[1]Back of House - Variables'!AC10:AC273,MATCH(1,(B28*1000='[1]Back of House - Variables'!Z10:Z273)*(B18*1000='[1]Back of House - Variables'!AA10:AA273)*(B26='[1]Back of House - Variables'!AB10:AB273),0)),"Error")</f>
        <v>55</v>
      </c>
      <c r="U9" s="13" t="s">
        <v>36</v>
      </c>
      <c r="V9" s="33" t="str">
        <f>IF(T9="error","fy or f'c are out of range",IF(T9&lt;(Yftg/12/2-Ycol/12/2-cover/12)*12,"OK","Hook Required"))</f>
        <v>OK</v>
      </c>
      <c r="W9" s="14"/>
      <c r="X9" s="2"/>
      <c r="Y9" s="7"/>
      <c r="Z9" s="2"/>
      <c r="AA9" s="15" t="s">
        <v>39</v>
      </c>
      <c r="AB9" s="31">
        <f>N2</f>
        <v>2.9043209876543208</v>
      </c>
      <c r="AC9" s="9" t="s">
        <v>8</v>
      </c>
      <c r="AD9" s="9"/>
      <c r="AE9" s="9"/>
      <c r="AF9" s="9"/>
      <c r="AG9" s="9"/>
      <c r="AH9" s="9"/>
      <c r="AI9" s="9"/>
      <c r="AJ9" s="9"/>
      <c r="AK9" s="9"/>
      <c r="AL9" s="9"/>
      <c r="AM9" s="15" t="s">
        <v>40</v>
      </c>
      <c r="AN9" s="9" t="s">
        <v>41</v>
      </c>
      <c r="AO9" s="9"/>
      <c r="AP9" s="9"/>
      <c r="AQ9" s="9"/>
      <c r="AR9" s="9"/>
      <c r="AS9" s="9"/>
      <c r="AT9" s="9"/>
      <c r="AU9" s="9"/>
      <c r="AV9" s="9"/>
      <c r="AW9" s="9"/>
      <c r="AX9" s="9"/>
      <c r="AY9" s="9"/>
      <c r="AZ9" s="15"/>
      <c r="BA9" s="9"/>
      <c r="BB9" s="9"/>
      <c r="BC9" s="9"/>
      <c r="BD9" s="9"/>
      <c r="BE9" s="9"/>
      <c r="BF9" s="9"/>
      <c r="BG9" s="9"/>
      <c r="BH9" s="9"/>
      <c r="BI9" s="9"/>
      <c r="BJ9" s="9"/>
      <c r="BK9" s="9"/>
      <c r="BL9" s="9"/>
    </row>
    <row r="10" spans="1:64" x14ac:dyDescent="0.3">
      <c r="A10" s="4" t="s">
        <v>42</v>
      </c>
      <c r="B10" s="5"/>
      <c r="C10" s="5"/>
      <c r="D10" s="6"/>
      <c r="E10" s="2"/>
      <c r="F10" s="2"/>
      <c r="G10" s="2"/>
      <c r="H10" s="2"/>
      <c r="I10" s="2"/>
      <c r="J10" s="2"/>
      <c r="K10" s="2"/>
      <c r="L10" s="2"/>
      <c r="M10" s="11" t="s">
        <v>43</v>
      </c>
      <c r="N10" s="40">
        <f>phiblong*N6*B24*(d-along/2)</f>
        <v>153353.52964705884</v>
      </c>
      <c r="O10" s="13" t="s">
        <v>44</v>
      </c>
      <c r="P10" s="13"/>
      <c r="Q10" s="14"/>
      <c r="R10" s="2"/>
      <c r="S10" s="11" t="s">
        <v>43</v>
      </c>
      <c r="T10" s="40">
        <f>IF(B27&lt;1,"# Bars Error",phibshort*T6*B28*(d-ashort/2))</f>
        <v>235622.76742588237</v>
      </c>
      <c r="U10" s="13" t="s">
        <v>44</v>
      </c>
      <c r="V10" s="13"/>
      <c r="W10" s="14"/>
      <c r="X10" s="2"/>
      <c r="Y10" s="7"/>
      <c r="Z10" s="2"/>
      <c r="AA10" s="15"/>
      <c r="AB10" s="9"/>
      <c r="AC10" s="9"/>
      <c r="AD10" s="9"/>
      <c r="AE10" s="9"/>
      <c r="AF10" s="9"/>
      <c r="AG10" s="9"/>
      <c r="AH10" s="9"/>
      <c r="AI10" s="9"/>
      <c r="AJ10" s="9"/>
      <c r="AK10" s="9"/>
      <c r="AL10" s="9"/>
      <c r="AM10" s="15"/>
      <c r="AN10" s="9"/>
      <c r="AO10" s="9"/>
      <c r="AP10" s="9"/>
      <c r="AQ10" s="9"/>
      <c r="AR10" s="9"/>
      <c r="AS10" s="9"/>
      <c r="AT10" s="9"/>
      <c r="AU10" s="9"/>
      <c r="AV10" s="9"/>
      <c r="AW10" s="9"/>
      <c r="AX10" s="9"/>
      <c r="AY10" s="9"/>
      <c r="AZ10" s="15" t="s">
        <v>45</v>
      </c>
      <c r="BA10" s="31">
        <f>T6*B28/(0.85*Xftg*fc)</f>
        <v>4.50326797385621</v>
      </c>
      <c r="BB10" s="9" t="s">
        <v>46</v>
      </c>
      <c r="BC10" s="9"/>
      <c r="BD10" s="9"/>
      <c r="BE10" s="9"/>
      <c r="BF10" s="15" t="s">
        <v>45</v>
      </c>
      <c r="BG10" s="31">
        <f>N6*B24/(0.85*Yftg*fc)</f>
        <v>2.8867102396514164</v>
      </c>
      <c r="BH10" s="9" t="s">
        <v>46</v>
      </c>
      <c r="BI10" s="9"/>
      <c r="BJ10" s="9"/>
      <c r="BK10" s="9"/>
      <c r="BL10" s="9"/>
    </row>
    <row r="11" spans="1:64" x14ac:dyDescent="0.3">
      <c r="A11" s="11" t="s">
        <v>47</v>
      </c>
      <c r="B11" s="41">
        <f>'viktor-input-sheet'!D5</f>
        <v>19</v>
      </c>
      <c r="C11" s="13" t="s">
        <v>8</v>
      </c>
      <c r="D11" s="28"/>
      <c r="E11" s="2"/>
      <c r="F11" s="2"/>
      <c r="G11" s="2"/>
      <c r="H11" s="2"/>
      <c r="I11" s="2"/>
      <c r="J11" s="2"/>
      <c r="K11" s="2"/>
      <c r="L11" s="2"/>
      <c r="M11" s="11" t="s">
        <v>48</v>
      </c>
      <c r="N11" s="40">
        <f>qu*(Xftg/12/2-Xcol/12/2)^2/2*Yftg</f>
        <v>20933.162962962957</v>
      </c>
      <c r="O11" s="13" t="s">
        <v>44</v>
      </c>
      <c r="P11" s="13"/>
      <c r="Q11" s="14"/>
      <c r="R11" s="2"/>
      <c r="S11" s="11" t="s">
        <v>48</v>
      </c>
      <c r="T11" s="40">
        <f>qu*((Yftg/2-Ycol/2)/12)^2/2*Xftg</f>
        <v>22234.40185185185</v>
      </c>
      <c r="U11" s="13" t="s">
        <v>44</v>
      </c>
      <c r="V11" s="13"/>
      <c r="W11" s="14"/>
      <c r="X11" s="2"/>
      <c r="Y11" s="7"/>
      <c r="Z11" s="2"/>
      <c r="AA11" s="15"/>
      <c r="AB11" s="9"/>
      <c r="AC11" s="9"/>
      <c r="AD11" s="9"/>
      <c r="AE11" s="9"/>
      <c r="AF11" s="9"/>
      <c r="AG11" s="9"/>
      <c r="AH11" s="9"/>
      <c r="AI11" s="9"/>
      <c r="AJ11" s="9"/>
      <c r="AK11" s="9"/>
      <c r="AL11" s="9"/>
      <c r="AM11" s="32" t="s">
        <v>49</v>
      </c>
      <c r="AN11" s="9"/>
      <c r="AO11" s="9"/>
      <c r="AP11" s="9"/>
      <c r="AQ11" s="9"/>
      <c r="AR11" s="9"/>
      <c r="AS11" s="32" t="s">
        <v>50</v>
      </c>
      <c r="AT11" s="9"/>
      <c r="AU11" s="9"/>
      <c r="AV11" s="9"/>
      <c r="AW11" s="9"/>
      <c r="AX11" s="9"/>
      <c r="AY11" s="9"/>
      <c r="AZ11" s="15" t="s">
        <v>51</v>
      </c>
      <c r="BA11" s="9" t="s">
        <v>52</v>
      </c>
      <c r="BB11" s="9"/>
      <c r="BC11" s="9"/>
      <c r="BD11" s="9"/>
      <c r="BE11" s="9"/>
      <c r="BF11" s="15" t="s">
        <v>51</v>
      </c>
      <c r="BG11" s="9" t="s">
        <v>52</v>
      </c>
      <c r="BH11" s="9"/>
      <c r="BI11" s="9"/>
      <c r="BJ11" s="9"/>
      <c r="BK11" s="9"/>
      <c r="BL11" s="9"/>
    </row>
    <row r="12" spans="1:64" x14ac:dyDescent="0.3">
      <c r="A12" s="11" t="s">
        <v>53</v>
      </c>
      <c r="B12" s="42" t="str">
        <f>'viktor-input-sheet'!D6</f>
        <v>YES</v>
      </c>
      <c r="C12" s="13"/>
      <c r="D12" s="28"/>
      <c r="E12" s="2"/>
      <c r="F12" s="2"/>
      <c r="G12" s="2"/>
      <c r="H12" s="2"/>
      <c r="I12" s="2"/>
      <c r="J12" s="2"/>
      <c r="K12" s="2"/>
      <c r="L12" s="2"/>
      <c r="M12" s="43" t="s">
        <v>12</v>
      </c>
      <c r="N12" s="44">
        <f>N11/N10</f>
        <v>0.13650264856074953</v>
      </c>
      <c r="O12" s="13"/>
      <c r="P12" s="45" t="str">
        <f>IF(OR(P7&lt;&gt;"OK",P8&lt;&gt;"OK",P9&lt;&gt;"OK",N12&gt;1),"✗","✓")</f>
        <v>✓</v>
      </c>
      <c r="Q12" s="14"/>
      <c r="R12" s="2"/>
      <c r="S12" s="43" t="s">
        <v>12</v>
      </c>
      <c r="T12" s="44">
        <f>T11/T10</f>
        <v>9.4364403299209684E-2</v>
      </c>
      <c r="U12" s="13"/>
      <c r="V12" s="45" t="str">
        <f>IF(OR(V7&lt;&gt;"OK",V8&lt;&gt;"OK",V9&lt;&gt;"OK",T12&gt;1),"✗","✓")</f>
        <v>✓</v>
      </c>
      <c r="W12" s="14"/>
      <c r="X12" s="2"/>
      <c r="Y12" s="7"/>
      <c r="Z12" s="2"/>
      <c r="AA12" s="15" t="s">
        <v>55</v>
      </c>
      <c r="AB12" s="31">
        <f>N3</f>
        <v>0.1528589993502274</v>
      </c>
      <c r="AC12" s="9"/>
      <c r="AD12" s="9"/>
      <c r="AE12" s="9"/>
      <c r="AF12" s="9"/>
      <c r="AG12" s="9"/>
      <c r="AH12" s="9"/>
      <c r="AI12" s="9"/>
      <c r="AJ12" s="9"/>
      <c r="AK12" s="9"/>
      <c r="AL12" s="9"/>
      <c r="AM12" s="46"/>
      <c r="AN12" s="9"/>
      <c r="AO12" s="9"/>
      <c r="AP12" s="9"/>
      <c r="AQ12" s="9"/>
      <c r="AR12" s="9"/>
      <c r="AS12" s="46"/>
      <c r="AT12" s="9"/>
      <c r="AU12" s="9"/>
      <c r="AV12" s="9"/>
      <c r="AW12" s="9"/>
      <c r="AX12" s="9"/>
      <c r="AY12" s="9"/>
      <c r="AZ12" s="15" t="s">
        <v>51</v>
      </c>
      <c r="BA12" s="31">
        <f>ashort/BA3</f>
        <v>6.0043572984749467</v>
      </c>
      <c r="BB12" s="9" t="s">
        <v>46</v>
      </c>
      <c r="BC12" s="9"/>
      <c r="BD12" s="9"/>
      <c r="BE12" s="9"/>
      <c r="BF12" s="15" t="s">
        <v>51</v>
      </c>
      <c r="BG12" s="31">
        <f>along/BA3</f>
        <v>3.8489469862018884</v>
      </c>
      <c r="BH12" s="9" t="s">
        <v>46</v>
      </c>
      <c r="BI12" s="9"/>
      <c r="BJ12" s="9"/>
      <c r="BK12" s="9"/>
      <c r="BL12" s="9"/>
    </row>
    <row r="13" spans="1:64" ht="15.6" x14ac:dyDescent="0.3">
      <c r="A13" s="47" t="s">
        <v>56</v>
      </c>
      <c r="B13" s="2"/>
      <c r="C13" s="2"/>
      <c r="D13" s="28"/>
      <c r="E13" s="2"/>
      <c r="F13" s="2"/>
      <c r="G13" s="2"/>
      <c r="H13" s="48"/>
      <c r="I13" s="2"/>
      <c r="J13" s="2"/>
      <c r="K13" s="2"/>
      <c r="L13" s="2"/>
      <c r="M13" s="49"/>
      <c r="N13" s="13"/>
      <c r="O13" s="13"/>
      <c r="P13" s="13"/>
      <c r="Q13" s="14"/>
      <c r="R13" s="2"/>
      <c r="S13" s="49"/>
      <c r="T13" s="13"/>
      <c r="U13" s="13"/>
      <c r="V13" s="13"/>
      <c r="W13" s="14"/>
      <c r="X13" s="2"/>
      <c r="Y13" s="7"/>
      <c r="Z13" s="2"/>
      <c r="AA13" s="15"/>
      <c r="AB13" s="9"/>
      <c r="AC13" s="9"/>
      <c r="AD13" s="9"/>
      <c r="AE13" s="9"/>
      <c r="AF13" s="9"/>
      <c r="AG13" s="9"/>
      <c r="AH13" s="9"/>
      <c r="AI13" s="9"/>
      <c r="AJ13" s="9"/>
      <c r="AK13" s="9"/>
      <c r="AL13" s="9"/>
      <c r="AM13" s="15"/>
      <c r="AN13" s="9"/>
      <c r="AO13" s="9"/>
      <c r="AP13" s="9"/>
      <c r="AQ13" s="9"/>
      <c r="AR13" s="9"/>
      <c r="AS13" s="15"/>
      <c r="AT13" s="9"/>
      <c r="AU13" s="9"/>
      <c r="AV13" s="9"/>
      <c r="AW13" s="9"/>
      <c r="AX13" s="9"/>
      <c r="AY13" s="9"/>
      <c r="AZ13" s="15" t="s">
        <v>57</v>
      </c>
      <c r="BA13" s="9" t="s">
        <v>58</v>
      </c>
      <c r="BB13" s="9"/>
      <c r="BC13" s="9"/>
      <c r="BD13" s="9"/>
      <c r="BE13" s="9"/>
      <c r="BF13" s="15" t="s">
        <v>57</v>
      </c>
      <c r="BG13" s="9" t="s">
        <v>58</v>
      </c>
      <c r="BH13" s="9"/>
      <c r="BI13" s="9"/>
      <c r="BJ13" s="9"/>
      <c r="BK13" s="9"/>
      <c r="BL13" s="9"/>
    </row>
    <row r="14" spans="1:64" ht="15.6" x14ac:dyDescent="0.3">
      <c r="A14" s="11" t="s">
        <v>59</v>
      </c>
      <c r="B14" s="27">
        <f>'viktor-input-sheet'!D7</f>
        <v>216</v>
      </c>
      <c r="C14" s="13" t="s">
        <v>36</v>
      </c>
      <c r="D14" s="14"/>
      <c r="E14" s="2"/>
      <c r="F14" s="2"/>
      <c r="G14" s="2"/>
      <c r="H14" s="2"/>
      <c r="I14" s="2"/>
      <c r="J14" s="2"/>
      <c r="K14" s="2"/>
      <c r="L14" s="2"/>
      <c r="M14" s="49"/>
      <c r="N14" s="13"/>
      <c r="O14" s="11" t="s">
        <v>60</v>
      </c>
      <c r="P14" s="50" t="str">
        <f>IF(Yftg/Xftg&lt;=1,"No","Yes")</f>
        <v>No</v>
      </c>
      <c r="Q14" s="14"/>
      <c r="R14" s="2"/>
      <c r="S14" s="49"/>
      <c r="T14" s="13"/>
      <c r="U14" s="51" t="s">
        <v>60</v>
      </c>
      <c r="V14" s="50" t="str">
        <f>IF(Xftg/Yftg&lt;=1,"No","Yes")</f>
        <v>No</v>
      </c>
      <c r="W14" s="14"/>
      <c r="X14" s="2"/>
      <c r="Y14" s="7"/>
      <c r="Z14" s="2"/>
      <c r="AA14" s="32" t="str">
        <f>"Footing is "&amp;IF(AB12&lt;1,"adequate","inadequate")&amp;" for bearing"</f>
        <v>Footing is adequate for bearing</v>
      </c>
      <c r="AB14" s="9"/>
      <c r="AC14" s="9"/>
      <c r="AD14" s="9" t="str">
        <f>IF(AB12&gt;1,"✗","✓")</f>
        <v>✓</v>
      </c>
      <c r="AE14" s="9"/>
      <c r="AF14" s="9"/>
      <c r="AG14" s="9"/>
      <c r="AH14" s="9"/>
      <c r="AI14" s="9"/>
      <c r="AJ14" s="9"/>
      <c r="AK14" s="9"/>
      <c r="AL14" s="9"/>
      <c r="AM14" s="46" t="s">
        <v>61</v>
      </c>
      <c r="AN14" s="22">
        <f>N6/(Yftg*d)</f>
        <v>4.4591714893027004E-3</v>
      </c>
      <c r="AO14" s="9"/>
      <c r="AP14" s="9"/>
      <c r="AQ14" s="9"/>
      <c r="AR14" s="9"/>
      <c r="AS14" s="46" t="s">
        <v>61</v>
      </c>
      <c r="AT14" s="22">
        <f>T6/(Xftg*d)</f>
        <v>6.9563075233122123E-3</v>
      </c>
      <c r="AU14" s="9"/>
      <c r="AV14" s="9"/>
      <c r="AW14" s="9"/>
      <c r="AX14" s="9"/>
      <c r="AY14" s="9"/>
      <c r="AZ14" s="15" t="s">
        <v>57</v>
      </c>
      <c r="BA14" s="31">
        <f>(d-BA12)/BA12*0.003</f>
        <v>2.4493034107402029E-2</v>
      </c>
      <c r="BB14" s="9"/>
      <c r="BC14" s="9"/>
      <c r="BD14" s="9"/>
      <c r="BE14" s="9"/>
      <c r="BF14" s="15" t="s">
        <v>57</v>
      </c>
      <c r="BG14" s="31">
        <f>(d-BG12)/BG12*0.003</f>
        <v>3.9889133207547167E-2</v>
      </c>
      <c r="BH14" s="9"/>
      <c r="BI14" s="9"/>
      <c r="BJ14" s="9"/>
      <c r="BK14" s="9"/>
      <c r="BL14" s="9"/>
    </row>
    <row r="15" spans="1:64" ht="15.6" x14ac:dyDescent="0.3">
      <c r="A15" s="11" t="s">
        <v>62</v>
      </c>
      <c r="B15" s="27">
        <f>'viktor-input-sheet'!D8</f>
        <v>216</v>
      </c>
      <c r="C15" s="13" t="s">
        <v>36</v>
      </c>
      <c r="D15" s="14"/>
      <c r="E15" s="52"/>
      <c r="F15" s="2"/>
      <c r="G15" s="2"/>
      <c r="H15" s="2"/>
      <c r="I15" s="2"/>
      <c r="J15" s="2"/>
      <c r="K15" s="2"/>
      <c r="L15" s="2"/>
      <c r="M15" s="11" t="str">
        <f>IF(P14="No", "","Addl bars #" &amp;B22&amp; " required")</f>
        <v/>
      </c>
      <c r="N15" s="13" t="str">
        <f>IF(Yftg/Xftg&gt;1,ROUNDUP(((2*Yftg/Xftg/(Yftg/Xftg+1))*N6-N6)/(VLOOKUP(B22,M39:P50,3)),0),"")</f>
        <v/>
      </c>
      <c r="O15" s="13"/>
      <c r="P15" s="13"/>
      <c r="Q15" s="14"/>
      <c r="R15" s="2"/>
      <c r="S15" s="11" t="str">
        <f>IF(V14="No", "","Addl bars #" &amp;B26&amp; " required")</f>
        <v/>
      </c>
      <c r="T15" s="13" t="str">
        <f>IF(Xftg/Yftg&gt;1,ROUNDUP(((2*Xftg/Yftg/(Xftg/Yftg+1))*T6-T6)/(VLOOKUP(B26,M39:P50,3)),0),"")</f>
        <v/>
      </c>
      <c r="U15" s="51"/>
      <c r="V15" s="45"/>
      <c r="W15" s="14"/>
      <c r="X15" s="2"/>
      <c r="Y15" s="7"/>
      <c r="Z15" s="2"/>
      <c r="AA15" s="15"/>
      <c r="AB15" s="9"/>
      <c r="AC15" s="9"/>
      <c r="AD15" s="9"/>
      <c r="AE15" s="9"/>
      <c r="AF15" s="9"/>
      <c r="AG15" s="9"/>
      <c r="AH15" s="9"/>
      <c r="AI15" s="9"/>
      <c r="AJ15" s="9"/>
      <c r="AK15" s="9"/>
      <c r="AL15" s="9"/>
      <c r="AM15" s="15" t="s">
        <v>63</v>
      </c>
      <c r="AN15" s="9" t="s">
        <v>64</v>
      </c>
      <c r="AO15" s="9"/>
      <c r="AP15" s="9"/>
      <c r="AQ15" s="9"/>
      <c r="AR15" s="9"/>
      <c r="AS15" s="15" t="s">
        <v>63</v>
      </c>
      <c r="AT15" s="9" t="s">
        <v>64</v>
      </c>
      <c r="AU15" s="9"/>
      <c r="AV15" s="9"/>
      <c r="AW15" s="9"/>
      <c r="AX15" s="9"/>
      <c r="AY15" s="9"/>
      <c r="AZ15" s="15" t="s">
        <v>65</v>
      </c>
      <c r="BA15" s="31">
        <f>IF(BA14&lt;0.002,0.65,IF(BA14&gt;0.005,0.9,0.65+(BA14-0.002)*250/3))</f>
        <v>0.9</v>
      </c>
      <c r="BB15" s="9"/>
      <c r="BC15" s="9"/>
      <c r="BD15" s="9"/>
      <c r="BE15" s="9"/>
      <c r="BF15" s="15" t="s">
        <v>65</v>
      </c>
      <c r="BG15" s="31">
        <f>IF(BG14&lt;0.002,0.65,IF(BG14&gt;0.005,0.9,0.65+(BG14-0.002)*250/3))</f>
        <v>0.9</v>
      </c>
      <c r="BH15" s="9"/>
      <c r="BI15" s="9"/>
      <c r="BJ15" s="9"/>
      <c r="BK15" s="9"/>
      <c r="BL15" s="9"/>
    </row>
    <row r="16" spans="1:64" ht="15" thickBot="1" x14ac:dyDescent="0.35">
      <c r="A16" s="11" t="s">
        <v>66</v>
      </c>
      <c r="B16" s="27">
        <f>'viktor-input-sheet'!D9</f>
        <v>20</v>
      </c>
      <c r="C16" s="13" t="s">
        <v>36</v>
      </c>
      <c r="D16" s="14"/>
      <c r="E16" s="2"/>
      <c r="F16" s="2"/>
      <c r="G16" s="2"/>
      <c r="H16" s="2"/>
      <c r="I16" s="2"/>
      <c r="J16" s="2"/>
      <c r="K16" s="2"/>
      <c r="L16" s="2"/>
      <c r="M16" s="53"/>
      <c r="N16" s="18"/>
      <c r="O16" s="18"/>
      <c r="P16" s="18"/>
      <c r="Q16" s="54"/>
      <c r="R16" s="2"/>
      <c r="S16" s="36"/>
      <c r="T16" s="55"/>
      <c r="U16" s="18"/>
      <c r="V16" s="18"/>
      <c r="W16" s="54"/>
      <c r="X16" s="2"/>
      <c r="Y16" s="7"/>
      <c r="Z16" s="2"/>
      <c r="AA16" s="8" t="s">
        <v>67</v>
      </c>
      <c r="AB16" s="9"/>
      <c r="AC16" s="9"/>
      <c r="AD16" s="9"/>
      <c r="AE16" s="9"/>
      <c r="AF16" s="9"/>
      <c r="AG16" s="9"/>
      <c r="AH16" s="9"/>
      <c r="AI16" s="9"/>
      <c r="AJ16" s="9"/>
      <c r="AK16" s="9"/>
      <c r="AL16" s="9"/>
      <c r="AM16" s="15" t="s">
        <v>63</v>
      </c>
      <c r="AN16" s="31">
        <f>d</f>
        <v>55.026000000000003</v>
      </c>
      <c r="AO16" s="9" t="s">
        <v>46</v>
      </c>
      <c r="AP16" s="9"/>
      <c r="AQ16" s="9"/>
      <c r="AR16" s="9"/>
      <c r="AS16" s="15" t="s">
        <v>63</v>
      </c>
      <c r="AT16" s="31">
        <f>d</f>
        <v>55.026000000000003</v>
      </c>
      <c r="AU16" s="9" t="s">
        <v>46</v>
      </c>
      <c r="AV16" s="9"/>
      <c r="AW16" s="9"/>
      <c r="AX16" s="9"/>
      <c r="AY16" s="9"/>
      <c r="AZ16" s="15" t="s">
        <v>68</v>
      </c>
      <c r="BA16" s="56" t="s">
        <v>69</v>
      </c>
      <c r="BB16" s="15"/>
      <c r="BC16" s="15"/>
      <c r="BD16" s="15"/>
      <c r="BE16" s="15"/>
      <c r="BF16" s="15" t="s">
        <v>70</v>
      </c>
      <c r="BG16" s="56" t="s">
        <v>69</v>
      </c>
      <c r="BH16" s="15"/>
      <c r="BI16" s="9"/>
      <c r="BJ16" s="9"/>
      <c r="BK16" s="9"/>
      <c r="BL16" s="9"/>
    </row>
    <row r="17" spans="1:64" ht="16.2" thickBot="1" x14ac:dyDescent="0.35">
      <c r="A17" s="11" t="s">
        <v>71</v>
      </c>
      <c r="B17" s="27">
        <f>'viktor-input-sheet'!D10</f>
        <v>14</v>
      </c>
      <c r="C17" s="13" t="s">
        <v>36</v>
      </c>
      <c r="D17" s="14"/>
      <c r="E17" s="2"/>
      <c r="F17" s="2"/>
      <c r="G17" s="2"/>
      <c r="H17" s="2"/>
      <c r="I17" s="2"/>
      <c r="J17" s="2"/>
      <c r="K17" s="2"/>
      <c r="L17" s="2"/>
      <c r="M17" s="2"/>
      <c r="N17" s="2"/>
      <c r="O17" s="2"/>
      <c r="P17" s="2"/>
      <c r="Q17" s="2"/>
      <c r="R17" s="2"/>
      <c r="S17" s="2"/>
      <c r="T17" s="2"/>
      <c r="U17" s="2"/>
      <c r="V17" s="2"/>
      <c r="W17" s="2"/>
      <c r="X17" s="2"/>
      <c r="Y17" s="7"/>
      <c r="Z17" s="2"/>
      <c r="AA17" s="15" t="s">
        <v>72</v>
      </c>
      <c r="AB17" s="21">
        <v>0.75</v>
      </c>
      <c r="AC17" s="9"/>
      <c r="AD17" s="9"/>
      <c r="AE17" s="9"/>
      <c r="AF17" s="9"/>
      <c r="AG17" s="9"/>
      <c r="AH17" s="9"/>
      <c r="AI17" s="9"/>
      <c r="AJ17" s="9"/>
      <c r="AK17" s="9"/>
      <c r="AL17" s="9"/>
      <c r="AM17" s="15" t="s">
        <v>73</v>
      </c>
      <c r="AN17" s="31">
        <f>N21/AN8</f>
        <v>5.6124387467831935</v>
      </c>
      <c r="AO17" s="26" t="s">
        <v>74</v>
      </c>
      <c r="AP17" s="9"/>
      <c r="AQ17" s="9"/>
      <c r="AR17" s="9"/>
      <c r="AS17" s="15" t="s">
        <v>73</v>
      </c>
      <c r="AT17" s="31">
        <f>N28/AN8</f>
        <v>6.5091829822277454</v>
      </c>
      <c r="AU17" s="26" t="s">
        <v>74</v>
      </c>
      <c r="AV17" s="26"/>
      <c r="AW17" s="26"/>
      <c r="AX17" s="9"/>
      <c r="AY17" s="9"/>
      <c r="AZ17" s="15" t="s">
        <v>68</v>
      </c>
      <c r="BA17" s="57">
        <f>T10</f>
        <v>235622.76742588237</v>
      </c>
      <c r="BB17" s="9" t="s">
        <v>44</v>
      </c>
      <c r="BC17" s="9"/>
      <c r="BD17" s="9"/>
      <c r="BE17" s="9"/>
      <c r="BF17" s="15" t="s">
        <v>70</v>
      </c>
      <c r="BG17" s="57">
        <f>N10</f>
        <v>153353.52964705884</v>
      </c>
      <c r="BH17" s="9" t="s">
        <v>44</v>
      </c>
      <c r="BI17" s="9"/>
      <c r="BJ17" s="9"/>
      <c r="BK17" s="9"/>
      <c r="BL17" s="9"/>
    </row>
    <row r="18" spans="1:64" ht="16.8" thickBot="1" x14ac:dyDescent="0.35">
      <c r="A18" s="11" t="s">
        <v>75</v>
      </c>
      <c r="B18" s="27">
        <f>'viktor-input-sheet'!D11</f>
        <v>6</v>
      </c>
      <c r="C18" s="13" t="s">
        <v>76</v>
      </c>
      <c r="D18" s="14"/>
      <c r="E18" s="2"/>
      <c r="F18" s="4" t="s">
        <v>77</v>
      </c>
      <c r="G18" s="5"/>
      <c r="H18" s="5"/>
      <c r="I18" s="5"/>
      <c r="J18" s="6"/>
      <c r="K18" s="2"/>
      <c r="L18" s="2"/>
      <c r="M18" s="4" t="s">
        <v>78</v>
      </c>
      <c r="N18" s="58"/>
      <c r="O18" s="5"/>
      <c r="P18" s="5"/>
      <c r="Q18" s="6"/>
      <c r="R18" s="2"/>
      <c r="S18" s="4" t="s">
        <v>79</v>
      </c>
      <c r="T18" s="59"/>
      <c r="U18" s="59"/>
      <c r="V18" s="59"/>
      <c r="W18" s="60"/>
      <c r="X18" s="2"/>
      <c r="Y18" s="7"/>
      <c r="Z18" s="2"/>
      <c r="AA18" s="15" t="s">
        <v>80</v>
      </c>
      <c r="AB18" s="56" t="s">
        <v>81</v>
      </c>
      <c r="AC18" s="9"/>
      <c r="AD18" s="9"/>
      <c r="AE18" s="9"/>
      <c r="AF18" s="9"/>
      <c r="AG18" s="9"/>
      <c r="AH18" s="9"/>
      <c r="AI18" s="9"/>
      <c r="AJ18" s="9"/>
      <c r="AK18" s="9"/>
      <c r="AL18" s="9"/>
      <c r="AM18" s="15" t="s">
        <v>82</v>
      </c>
      <c r="AN18" s="31">
        <f>N21</f>
        <v>4.2093290600873949</v>
      </c>
      <c r="AO18" s="26" t="s">
        <v>74</v>
      </c>
      <c r="AP18" s="9"/>
      <c r="AQ18" s="9"/>
      <c r="AR18" s="9"/>
      <c r="AS18" s="15" t="s">
        <v>83</v>
      </c>
      <c r="AT18" s="31">
        <f>N28</f>
        <v>4.881887236670809</v>
      </c>
      <c r="AU18" s="26" t="s">
        <v>74</v>
      </c>
      <c r="AV18" s="26"/>
      <c r="AW18" s="26"/>
      <c r="AX18" s="9"/>
      <c r="AY18" s="9"/>
      <c r="AZ18" s="15"/>
      <c r="BA18" s="9"/>
      <c r="BB18" s="9"/>
      <c r="BC18" s="9"/>
      <c r="BD18" s="9"/>
      <c r="BE18" s="9"/>
      <c r="BF18" s="9"/>
      <c r="BG18" s="9"/>
      <c r="BH18" s="9"/>
      <c r="BI18" s="9"/>
      <c r="BJ18" s="9"/>
      <c r="BK18" s="9"/>
      <c r="BL18" s="9"/>
    </row>
    <row r="19" spans="1:64" x14ac:dyDescent="0.3">
      <c r="A19" s="11" t="s">
        <v>84</v>
      </c>
      <c r="B19" s="27">
        <f>'viktor-input-sheet'!D12</f>
        <v>3</v>
      </c>
      <c r="C19" s="13" t="s">
        <v>36</v>
      </c>
      <c r="D19" s="14"/>
      <c r="E19" s="2"/>
      <c r="F19" s="49" t="s">
        <v>85</v>
      </c>
      <c r="G19" s="42" t="str">
        <f>'viktor-input-sheet'!D24</f>
        <v>NO</v>
      </c>
      <c r="H19" s="2"/>
      <c r="I19" s="2"/>
      <c r="J19" s="28"/>
      <c r="K19" s="2"/>
      <c r="L19" s="2"/>
      <c r="M19" s="47" t="s">
        <v>86</v>
      </c>
      <c r="N19" s="2"/>
      <c r="O19" s="2"/>
      <c r="P19" s="2"/>
      <c r="Q19" s="28"/>
      <c r="R19" s="2"/>
      <c r="S19" s="61" t="s">
        <v>80</v>
      </c>
      <c r="T19" s="62">
        <f>(Xcol+d+Ycol+d)*2</f>
        <v>288.10400000000004</v>
      </c>
      <c r="U19" s="63" t="s">
        <v>36</v>
      </c>
      <c r="V19" s="63"/>
      <c r="W19" s="64"/>
      <c r="X19" s="2"/>
      <c r="Y19" s="7"/>
      <c r="Z19" s="2"/>
      <c r="AA19" s="15" t="s">
        <v>80</v>
      </c>
      <c r="AB19" s="21">
        <f>bo</f>
        <v>288.10400000000004</v>
      </c>
      <c r="AC19" s="9" t="s">
        <v>46</v>
      </c>
      <c r="AD19" s="9"/>
      <c r="AE19" s="9"/>
      <c r="AF19" s="9"/>
      <c r="AG19" s="9"/>
      <c r="AH19" s="9"/>
      <c r="AI19" s="9"/>
      <c r="AJ19" s="9"/>
      <c r="AK19" s="9"/>
      <c r="AL19" s="9"/>
      <c r="AM19" s="15"/>
      <c r="AN19" s="9"/>
      <c r="AO19" s="9"/>
      <c r="AP19" s="9"/>
      <c r="AQ19" s="9"/>
      <c r="AR19" s="9"/>
      <c r="AS19" s="15"/>
      <c r="AT19" s="9"/>
      <c r="AU19" s="9"/>
      <c r="AV19" s="9"/>
      <c r="AW19" s="9"/>
      <c r="AX19" s="9"/>
      <c r="AY19" s="9"/>
      <c r="AZ19" s="15"/>
      <c r="BA19" s="9"/>
      <c r="BB19" s="9"/>
      <c r="BC19" s="9"/>
      <c r="BD19" s="9"/>
      <c r="BE19" s="9"/>
      <c r="BF19" s="9"/>
      <c r="BG19" s="9"/>
      <c r="BH19" s="9"/>
      <c r="BI19" s="9"/>
      <c r="BJ19" s="9"/>
      <c r="BK19" s="9"/>
      <c r="BL19" s="9"/>
    </row>
    <row r="20" spans="1:64" ht="15" thickBot="1" x14ac:dyDescent="0.35">
      <c r="A20" s="11" t="s">
        <v>87</v>
      </c>
      <c r="B20" s="27">
        <f>'viktor-input-sheet'!D13</f>
        <v>60</v>
      </c>
      <c r="C20" s="13" t="s">
        <v>36</v>
      </c>
      <c r="D20" s="14"/>
      <c r="E20" s="2"/>
      <c r="F20" s="36" t="s">
        <v>88</v>
      </c>
      <c r="G20" s="65">
        <f>IF(G19="NO",1,MIN(1,1.4/(1+d/10)^0.5))</f>
        <v>1</v>
      </c>
      <c r="H20" s="66"/>
      <c r="I20" s="66"/>
      <c r="J20" s="38"/>
      <c r="K20" s="2"/>
      <c r="L20" s="2"/>
      <c r="M20" s="11" t="s">
        <v>89</v>
      </c>
      <c r="N20" s="29">
        <f>MAX(8*G20*AN14^(1/3),1)</f>
        <v>1.3167643052314986</v>
      </c>
      <c r="O20" s="13"/>
      <c r="P20" s="13"/>
      <c r="Q20" s="14"/>
      <c r="R20" s="2"/>
      <c r="S20" s="11" t="s">
        <v>90</v>
      </c>
      <c r="T20" s="13">
        <f>B30</f>
        <v>60</v>
      </c>
      <c r="U20" s="13" t="s">
        <v>76</v>
      </c>
      <c r="V20" s="13"/>
      <c r="W20" s="67"/>
      <c r="X20" s="2"/>
      <c r="Y20" s="7"/>
      <c r="Z20" s="2"/>
      <c r="AA20" s="46" t="s">
        <v>91</v>
      </c>
      <c r="AB20" s="56" t="s">
        <v>92</v>
      </c>
      <c r="AC20" s="9"/>
      <c r="AD20" s="9"/>
      <c r="AE20" s="9"/>
      <c r="AF20" s="9"/>
      <c r="AG20" s="9"/>
      <c r="AH20" s="9"/>
      <c r="AI20" s="9"/>
      <c r="AJ20" s="9"/>
      <c r="AK20" s="9"/>
      <c r="AL20" s="9"/>
      <c r="AM20" s="15"/>
      <c r="AN20" s="9"/>
      <c r="AO20" s="9"/>
      <c r="AP20" s="9"/>
      <c r="AQ20" s="9"/>
      <c r="AR20" s="9"/>
      <c r="AS20" s="15"/>
      <c r="AT20" s="9"/>
      <c r="AU20" s="9"/>
      <c r="AV20" s="9"/>
      <c r="AW20" s="9"/>
      <c r="AX20" s="9"/>
      <c r="AY20" s="9"/>
      <c r="AZ20" s="15"/>
      <c r="BA20" s="9"/>
      <c r="BB20" s="9"/>
      <c r="BC20" s="9"/>
      <c r="BD20" s="9"/>
      <c r="BE20" s="9"/>
      <c r="BF20" s="9"/>
      <c r="BG20" s="9"/>
      <c r="BH20" s="9"/>
      <c r="BI20" s="9"/>
      <c r="BJ20" s="9"/>
      <c r="BK20" s="9"/>
      <c r="BL20" s="9"/>
    </row>
    <row r="21" spans="1:64" x14ac:dyDescent="0.3">
      <c r="A21" s="47" t="s">
        <v>93</v>
      </c>
      <c r="B21" s="2"/>
      <c r="C21" s="2"/>
      <c r="D21" s="28"/>
      <c r="E21" s="2"/>
      <c r="F21" s="2"/>
      <c r="G21" s="2"/>
      <c r="H21" s="2"/>
      <c r="I21" s="2"/>
      <c r="J21" s="2"/>
      <c r="K21" s="2"/>
      <c r="L21" s="2"/>
      <c r="M21" s="11" t="s">
        <v>82</v>
      </c>
      <c r="N21" s="29">
        <f>phiv*N20*SQRT(MIN(fc,10)*1000)*(d)/1000</f>
        <v>4.2093290600873949</v>
      </c>
      <c r="O21" s="13" t="s">
        <v>94</v>
      </c>
      <c r="P21" s="29">
        <f>ROUND(N21*12/d/12/SQRT(fc*1000)*1000,2)</f>
        <v>0.99</v>
      </c>
      <c r="Q21" s="14" t="s">
        <v>95</v>
      </c>
      <c r="R21" s="2"/>
      <c r="S21" s="11" t="s">
        <v>96</v>
      </c>
      <c r="T21" s="13">
        <f>IF(T25=0,MIN(2+4/AB21,40*d/bo+2,4),2)</f>
        <v>2</v>
      </c>
      <c r="U21" s="13"/>
      <c r="V21" s="13"/>
      <c r="W21" s="14"/>
      <c r="X21" s="2"/>
      <c r="Y21" s="7"/>
      <c r="Z21" s="2"/>
      <c r="AA21" s="68" t="s">
        <v>97</v>
      </c>
      <c r="AB21" s="31">
        <f>MAX(Xcol,Ycol)/MIN(Xcol,Ycol)</f>
        <v>1.4285714285714286</v>
      </c>
      <c r="AC21" s="9"/>
      <c r="AD21" s="9"/>
      <c r="AE21" s="9"/>
      <c r="AF21" s="9"/>
      <c r="AG21" s="9"/>
      <c r="AH21" s="9"/>
      <c r="AI21" s="9"/>
      <c r="AJ21" s="9"/>
      <c r="AK21" s="9"/>
      <c r="AL21" s="9"/>
      <c r="AM21" s="15" t="s">
        <v>98</v>
      </c>
      <c r="AN21" s="35">
        <f>N22</f>
        <v>30.264300000000006</v>
      </c>
      <c r="AO21" s="26" t="s">
        <v>74</v>
      </c>
      <c r="AP21" s="9"/>
      <c r="AQ21" s="9"/>
      <c r="AR21" s="9"/>
      <c r="AS21" s="15" t="s">
        <v>99</v>
      </c>
      <c r="AT21" s="35">
        <f>N29</f>
        <v>30.264300000000006</v>
      </c>
      <c r="AU21" s="26" t="s">
        <v>74</v>
      </c>
      <c r="AV21" s="26"/>
      <c r="AW21" s="26"/>
      <c r="AX21" s="9"/>
      <c r="AY21" s="9"/>
      <c r="AZ21" s="15"/>
      <c r="BA21" s="9"/>
      <c r="BB21" s="9"/>
      <c r="BC21" s="9"/>
      <c r="BD21" s="9"/>
      <c r="BE21" s="9"/>
      <c r="BF21" s="9"/>
      <c r="BG21" s="9"/>
      <c r="BH21" s="9"/>
      <c r="BI21" s="9"/>
      <c r="BJ21" s="9"/>
      <c r="BK21" s="9"/>
      <c r="BL21" s="9"/>
    </row>
    <row r="22" spans="1:64" ht="14.1" customHeight="1" x14ac:dyDescent="0.3">
      <c r="A22" s="11" t="s">
        <v>100</v>
      </c>
      <c r="B22" s="27">
        <f>'viktor-input-sheet'!D14</f>
        <v>9</v>
      </c>
      <c r="C22" s="13"/>
      <c r="D22" s="14"/>
      <c r="E22" s="2"/>
      <c r="F22" s="2"/>
      <c r="G22" s="2"/>
      <c r="H22" s="2"/>
      <c r="I22" s="2"/>
      <c r="J22" s="2"/>
      <c r="K22" s="2"/>
      <c r="L22" s="2"/>
      <c r="M22" s="11" t="s">
        <v>101</v>
      </c>
      <c r="N22" s="29">
        <f>IF(AND(B30&lt;&gt;"",B31&lt;&gt;"",B32&lt;&gt;"",B33&lt;&gt;""),MIN(8*SQRT(fc*1000)*d/1000,(phiv*VLOOKUP(B31,M39:P50,3)*Yftg/B33*B30*d/B32/Yftg)),0)</f>
        <v>30.264300000000006</v>
      </c>
      <c r="O22" s="13" t="s">
        <v>94</v>
      </c>
      <c r="P22" s="29">
        <f>IF(B32&gt;d/2,"s&gt;d/2",ROUND(N22*12/d/12/SQRT(fc*1000)*1000,2))</f>
        <v>7.1</v>
      </c>
      <c r="Q22" s="14" t="s">
        <v>95</v>
      </c>
      <c r="R22" s="2"/>
      <c r="S22" s="11" t="s">
        <v>102</v>
      </c>
      <c r="T22" s="13">
        <f>B32</f>
        <v>6</v>
      </c>
      <c r="U22" s="13" t="s">
        <v>36</v>
      </c>
      <c r="V22" s="33" t="str">
        <f>IF(B32="","OK",IF(AND(T22&lt;d/2,T22&gt;MAX(1,VLOOKUP(B31,M39:P50,2))),"OK",IF(T22&gt;d/2,d/2&amp;" in MAX",MAX(1,VLOOKUP(B31,M39:P50,2)) &amp; " in MIN")))</f>
        <v>OK</v>
      </c>
      <c r="W22" s="14"/>
      <c r="X22" s="2"/>
      <c r="Y22" s="7"/>
      <c r="Z22" s="2"/>
      <c r="AA22" s="15" t="s">
        <v>63</v>
      </c>
      <c r="AB22" s="31">
        <f>h-cover-MAX(VLOOKUP(B22,M39:P50,2),VLOOKUP(B26,M39:P50,2))-MIN(VLOOKUP(B22,M39:P50,2),VLOOKUP(B26,M39:P50,2))/2</f>
        <v>55.026000000000003</v>
      </c>
      <c r="AC22" s="9" t="s">
        <v>46</v>
      </c>
      <c r="AD22" s="9"/>
      <c r="AE22" s="9"/>
      <c r="AF22" s="9"/>
      <c r="AG22" s="9"/>
      <c r="AH22" s="9"/>
      <c r="AI22" s="9"/>
      <c r="AJ22" s="9"/>
      <c r="AK22" s="9"/>
      <c r="AL22" s="9"/>
      <c r="AM22" s="15" t="s">
        <v>103</v>
      </c>
      <c r="AN22" s="56" t="s">
        <v>104</v>
      </c>
      <c r="AO22" s="9"/>
      <c r="AP22" s="9"/>
      <c r="AQ22" s="9"/>
      <c r="AR22" s="9"/>
      <c r="AS22" s="15" t="s">
        <v>105</v>
      </c>
      <c r="AT22" s="56" t="s">
        <v>104</v>
      </c>
      <c r="AU22" s="9"/>
      <c r="AV22" s="9"/>
      <c r="AW22" s="9"/>
      <c r="AX22" s="9"/>
      <c r="AY22" s="9"/>
      <c r="AZ22" s="15"/>
      <c r="BA22" s="9"/>
      <c r="BB22" s="9"/>
      <c r="BC22" s="9"/>
      <c r="BD22" s="9"/>
      <c r="BE22" s="9"/>
      <c r="BF22" s="9"/>
      <c r="BG22" s="9"/>
      <c r="BH22" s="9"/>
      <c r="BI22" s="9"/>
      <c r="BJ22" s="9"/>
      <c r="BK22" s="9"/>
      <c r="BL22" s="9"/>
    </row>
    <row r="23" spans="1:64" x14ac:dyDescent="0.3">
      <c r="A23" s="11" t="s">
        <v>106</v>
      </c>
      <c r="B23" s="27">
        <f>'viktor-input-sheet'!D15</f>
        <v>53</v>
      </c>
      <c r="C23" s="13" t="str">
        <f>IF(B23&lt;1,"Must be 1 or greater!"," ")</f>
        <v xml:space="preserve"> </v>
      </c>
      <c r="D23" s="14"/>
      <c r="E23" s="2"/>
      <c r="F23" s="2"/>
      <c r="G23" s="2"/>
      <c r="H23" s="2"/>
      <c r="I23" s="2"/>
      <c r="J23" s="2"/>
      <c r="K23" s="2"/>
      <c r="L23" s="2"/>
      <c r="M23" s="11" t="s">
        <v>103</v>
      </c>
      <c r="N23" s="29">
        <f>N21+N22</f>
        <v>34.473629060087404</v>
      </c>
      <c r="O23" s="13" t="s">
        <v>94</v>
      </c>
      <c r="P23" s="29">
        <f>ROUND(N23*12/d/12/SQRT(fc*1000)*1000,2)</f>
        <v>8.09</v>
      </c>
      <c r="Q23" s="14" t="s">
        <v>95</v>
      </c>
      <c r="R23" s="2"/>
      <c r="S23" s="11" t="s">
        <v>107</v>
      </c>
      <c r="T23" s="13">
        <f>B33</f>
        <v>6</v>
      </c>
      <c r="U23" s="13" t="s">
        <v>36</v>
      </c>
      <c r="V23" s="33" t="str">
        <f>IF(B33="","OK",IF(AND(T23&lt;d/2,T23&gt;MAX(1,VLOOKUP(B31,M39:P50,2))),"OK",IF(T23&gt;d/2,d/2&amp;" in MAX", MAX(1,VLOOKUP(B31,M39:P50,2)) &amp; " in MIN")))</f>
        <v>OK</v>
      </c>
      <c r="W23" s="69"/>
      <c r="X23" s="2"/>
      <c r="Y23" s="7"/>
      <c r="Z23" s="2"/>
      <c r="AA23" s="15"/>
      <c r="AB23" s="56" t="s">
        <v>108</v>
      </c>
      <c r="AC23" s="70">
        <f>2+4/AB21</f>
        <v>4.8</v>
      </c>
      <c r="AD23" s="9"/>
      <c r="AE23" s="9"/>
      <c r="AF23" s="9"/>
      <c r="AG23" s="9"/>
      <c r="AH23" s="9"/>
      <c r="AI23" s="9"/>
      <c r="AJ23" s="9"/>
      <c r="AK23" s="9"/>
      <c r="AL23" s="9"/>
      <c r="AM23" s="15" t="s">
        <v>103</v>
      </c>
      <c r="AN23" s="31">
        <f>N23</f>
        <v>34.473629060087404</v>
      </c>
      <c r="AO23" s="26" t="s">
        <v>74</v>
      </c>
      <c r="AP23" s="9"/>
      <c r="AQ23" s="9"/>
      <c r="AR23" s="9"/>
      <c r="AS23" s="15" t="s">
        <v>105</v>
      </c>
      <c r="AT23" s="31">
        <f>N30</f>
        <v>35.146187236670812</v>
      </c>
      <c r="AU23" s="26" t="s">
        <v>74</v>
      </c>
      <c r="AV23" s="26"/>
      <c r="AW23" s="26"/>
      <c r="AX23" s="9"/>
      <c r="AY23" s="9"/>
      <c r="AZ23" s="15"/>
      <c r="BA23" s="9"/>
      <c r="BB23" s="9"/>
      <c r="BC23" s="9"/>
      <c r="BD23" s="9"/>
      <c r="BE23" s="9"/>
      <c r="BF23" s="9"/>
      <c r="BG23" s="9"/>
      <c r="BH23" s="9"/>
      <c r="BI23" s="9"/>
      <c r="BJ23" s="9"/>
      <c r="BK23" s="9"/>
      <c r="BL23" s="9"/>
    </row>
    <row r="24" spans="1:64" ht="15.6" x14ac:dyDescent="0.3">
      <c r="A24" s="11" t="s">
        <v>109</v>
      </c>
      <c r="B24" s="27">
        <f>'viktor-input-sheet'!D16</f>
        <v>60</v>
      </c>
      <c r="C24" s="13" t="s">
        <v>76</v>
      </c>
      <c r="D24" s="14"/>
      <c r="E24" s="2"/>
      <c r="F24" s="2"/>
      <c r="G24" s="2"/>
      <c r="H24" s="2"/>
      <c r="I24" s="2"/>
      <c r="J24" s="2"/>
      <c r="K24" s="2"/>
      <c r="L24" s="2"/>
      <c r="M24" s="11" t="s">
        <v>110</v>
      </c>
      <c r="N24" s="29">
        <f>MAX((Xftg/12/2-Xcol/12/2-(d)/12)*qu/12,0)</f>
        <v>0.8672907750342933</v>
      </c>
      <c r="O24" s="13" t="s">
        <v>94</v>
      </c>
      <c r="P24" s="29">
        <f>ROUND(N24*12/d/12/SQRT(fc*1000)*1000,2)</f>
        <v>0.2</v>
      </c>
      <c r="Q24" s="14" t="s">
        <v>95</v>
      </c>
      <c r="R24" s="2"/>
      <c r="S24" s="11" t="s">
        <v>111</v>
      </c>
      <c r="T24" s="40">
        <f>phiv*T21*SQRT(MIN(fc,10)*1000)*bo*d/1000*G20</f>
        <v>1841.9766312152751</v>
      </c>
      <c r="U24" s="13" t="s">
        <v>14</v>
      </c>
      <c r="V24" s="71">
        <f>ROUND((T24/bo/d)/(SQRT(fc*1000)/1000),2)</f>
        <v>1.5</v>
      </c>
      <c r="W24" s="67" t="s">
        <v>112</v>
      </c>
      <c r="X24" s="2"/>
      <c r="Y24" s="7"/>
      <c r="Z24" s="2"/>
      <c r="AA24" s="15"/>
      <c r="AB24" s="56" t="s">
        <v>113</v>
      </c>
      <c r="AC24" s="70">
        <f>40*AB22/AB19+2</f>
        <v>9.6397412045650164</v>
      </c>
      <c r="AD24" s="9"/>
      <c r="AE24" s="9"/>
      <c r="AF24" s="9"/>
      <c r="AG24" s="9"/>
      <c r="AH24" s="9"/>
      <c r="AI24" s="9"/>
      <c r="AJ24" s="9"/>
      <c r="AK24" s="9"/>
      <c r="AL24" s="9"/>
      <c r="AM24" s="15"/>
      <c r="AN24" s="9"/>
      <c r="AO24" s="9"/>
      <c r="AP24" s="9"/>
      <c r="AQ24" s="9"/>
      <c r="AR24" s="9"/>
      <c r="AS24" s="9"/>
      <c r="AT24" s="9"/>
      <c r="AU24" s="9"/>
      <c r="AV24" s="9"/>
      <c r="AW24" s="9"/>
      <c r="AX24" s="9"/>
      <c r="AY24" s="9"/>
      <c r="AZ24" s="15"/>
      <c r="BA24" s="9"/>
      <c r="BB24" s="9"/>
      <c r="BC24" s="9"/>
      <c r="BD24" s="9"/>
      <c r="BE24" s="9"/>
      <c r="BF24" s="9"/>
      <c r="BG24" s="9"/>
      <c r="BH24" s="9"/>
      <c r="BI24" s="9"/>
      <c r="BJ24" s="9"/>
      <c r="BK24" s="9"/>
      <c r="BL24" s="9"/>
    </row>
    <row r="25" spans="1:64" x14ac:dyDescent="0.3">
      <c r="A25" s="47" t="s">
        <v>114</v>
      </c>
      <c r="B25" s="2"/>
      <c r="C25" s="2"/>
      <c r="D25" s="28"/>
      <c r="E25" s="2"/>
      <c r="F25" s="2"/>
      <c r="G25" s="2"/>
      <c r="H25" s="2"/>
      <c r="I25" s="2"/>
      <c r="J25" s="2"/>
      <c r="K25" s="2"/>
      <c r="L25" s="2"/>
      <c r="M25" s="11" t="s">
        <v>12</v>
      </c>
      <c r="N25" s="12">
        <f>N24/N23</f>
        <v>2.5158093263770078E-2</v>
      </c>
      <c r="O25" s="13"/>
      <c r="P25" s="29" t="str">
        <f>IF(N24&gt;(N21+8*SQRT(fc*1000)*d/1000),"Vu&gt;Vu MAX","")</f>
        <v/>
      </c>
      <c r="Q25" s="14"/>
      <c r="R25" s="2"/>
      <c r="S25" s="11" t="s">
        <v>115</v>
      </c>
      <c r="T25" s="29">
        <f>IF(AND(T20&lt;&gt;0,B31&lt;&gt;0,T22&lt;&gt;0,T23&lt;&gt;0),phiv*VLOOKUP(B31,M39:P50,3)*T20*bo*(2*(Xftg)/(2*Xftg/12+2*Yftg/12)/12/T22+2*(Yftg)/(2*Xftg/12+2*Yftg/12)/12/T23)*d/(0.5*(T22+T23)),0)</f>
        <v>8719.2658872000011</v>
      </c>
      <c r="U25" s="13" t="s">
        <v>14</v>
      </c>
      <c r="V25" s="71">
        <f>ROUND((T25/bo/d)/(SQRT(fc*1000)/1000),2)</f>
        <v>7.1</v>
      </c>
      <c r="W25" s="67" t="s">
        <v>112</v>
      </c>
      <c r="X25" s="2"/>
      <c r="Y25" s="7"/>
      <c r="Z25" s="2"/>
      <c r="AA25" s="15" t="s">
        <v>111</v>
      </c>
      <c r="AB25" s="57">
        <f>T24</f>
        <v>1841.9766312152751</v>
      </c>
      <c r="AC25" s="9" t="s">
        <v>14</v>
      </c>
      <c r="AD25" s="9"/>
      <c r="AE25" s="9"/>
      <c r="AF25" s="9"/>
      <c r="AG25" s="9"/>
      <c r="AH25" s="9"/>
      <c r="AI25" s="9"/>
      <c r="AJ25" s="9"/>
      <c r="AK25" s="9"/>
      <c r="AL25" s="9"/>
      <c r="AM25" s="15"/>
      <c r="AN25" s="9"/>
      <c r="AO25" s="9"/>
      <c r="AP25" s="9"/>
      <c r="AQ25" s="9"/>
      <c r="AR25" s="9"/>
      <c r="AS25" s="9"/>
      <c r="AT25" s="9"/>
      <c r="AU25" s="9"/>
      <c r="AV25" s="9"/>
      <c r="AW25" s="9"/>
      <c r="AX25" s="9"/>
      <c r="AY25" s="9"/>
      <c r="AZ25" s="15"/>
      <c r="BA25" s="9"/>
      <c r="BB25" s="9"/>
      <c r="BC25" s="9"/>
      <c r="BD25" s="9"/>
      <c r="BE25" s="9"/>
      <c r="BF25" s="9"/>
      <c r="BG25" s="9"/>
      <c r="BH25" s="9"/>
      <c r="BI25" s="9"/>
      <c r="BJ25" s="9"/>
      <c r="BK25" s="9"/>
      <c r="BL25" s="9"/>
    </row>
    <row r="26" spans="1:64" x14ac:dyDescent="0.3">
      <c r="A26" s="11" t="s">
        <v>100</v>
      </c>
      <c r="B26" s="27">
        <f>'viktor-input-sheet'!D17</f>
        <v>11</v>
      </c>
      <c r="C26" s="13"/>
      <c r="D26" s="14"/>
      <c r="E26" s="2"/>
      <c r="F26" s="2"/>
      <c r="G26" s="2"/>
      <c r="H26" s="2"/>
      <c r="I26" s="2"/>
      <c r="J26" s="2"/>
      <c r="K26" s="2"/>
      <c r="L26" s="2"/>
      <c r="M26" s="47" t="s">
        <v>116</v>
      </c>
      <c r="N26" s="2"/>
      <c r="O26" s="2"/>
      <c r="P26" s="72"/>
      <c r="Q26" s="28"/>
      <c r="R26" s="2"/>
      <c r="S26" s="11" t="s">
        <v>117</v>
      </c>
      <c r="T26" s="29">
        <f>MIN(T24+T25,8*SQRT(fc*1000)/1000*bo*d)</f>
        <v>9823.8753664814667</v>
      </c>
      <c r="U26" s="13" t="s">
        <v>14</v>
      </c>
      <c r="V26" s="71">
        <f>ROUND((T26/bo/d)/(SQRT(fc*1000)/1000),2)</f>
        <v>8</v>
      </c>
      <c r="W26" s="67" t="s">
        <v>112</v>
      </c>
      <c r="X26" s="2"/>
      <c r="Y26" s="7"/>
      <c r="Z26" s="2"/>
      <c r="AA26" s="15"/>
      <c r="AB26" s="9"/>
      <c r="AC26" s="9"/>
      <c r="AD26" s="9"/>
      <c r="AE26" s="9"/>
      <c r="AF26" s="9"/>
      <c r="AG26" s="9"/>
      <c r="AH26" s="9"/>
      <c r="AI26" s="9"/>
      <c r="AJ26" s="9"/>
      <c r="AK26" s="9"/>
      <c r="AL26" s="9"/>
      <c r="AM26" s="15"/>
      <c r="AN26" s="9"/>
      <c r="AO26" s="9"/>
      <c r="AP26" s="9"/>
      <c r="AQ26" s="9"/>
      <c r="AR26" s="9"/>
      <c r="AS26" s="9"/>
      <c r="AT26" s="9"/>
      <c r="AU26" s="9"/>
      <c r="AV26" s="9"/>
      <c r="AW26" s="9"/>
      <c r="AX26" s="9"/>
      <c r="AY26" s="9"/>
      <c r="AZ26" s="15"/>
      <c r="BA26" s="9"/>
      <c r="BB26" s="9"/>
      <c r="BC26" s="9"/>
      <c r="BD26" s="9"/>
      <c r="BE26" s="9"/>
      <c r="BF26" s="9"/>
      <c r="BG26" s="9"/>
      <c r="BH26" s="9"/>
      <c r="BI26" s="9"/>
      <c r="BJ26" s="9"/>
      <c r="BK26" s="9"/>
      <c r="BL26" s="9"/>
    </row>
    <row r="27" spans="1:64" x14ac:dyDescent="0.3">
      <c r="A27" s="11" t="s">
        <v>106</v>
      </c>
      <c r="B27" s="27">
        <f>'viktor-input-sheet'!D18</f>
        <v>53</v>
      </c>
      <c r="C27" s="13" t="str">
        <f>IF(B27&lt;1,"Must be 1 or greater!"," ")</f>
        <v xml:space="preserve"> </v>
      </c>
      <c r="D27" s="14"/>
      <c r="E27" s="2"/>
      <c r="F27" s="2"/>
      <c r="G27" s="2"/>
      <c r="H27" s="2"/>
      <c r="I27" s="2"/>
      <c r="J27" s="2"/>
      <c r="K27" s="2"/>
      <c r="L27" s="2"/>
      <c r="M27" s="11" t="s">
        <v>118</v>
      </c>
      <c r="N27" s="29">
        <f>MAX(8*G20*AT14^(1/3),1)</f>
        <v>1.5271542717736337</v>
      </c>
      <c r="O27" s="13"/>
      <c r="P27" s="29"/>
      <c r="Q27" s="14"/>
      <c r="R27" s="30"/>
      <c r="S27" s="11" t="s">
        <v>119</v>
      </c>
      <c r="T27" s="40">
        <f>MAX(Pu-(Xcol+d)*(Ycol+d)/144*qu,0)</f>
        <v>837.08383944355285</v>
      </c>
      <c r="U27" s="13" t="s">
        <v>14</v>
      </c>
      <c r="V27" s="71">
        <f>MIN(6,ROUND((T27/bo/d)/(SQRT(fc*1000)/1000),2))</f>
        <v>0.68</v>
      </c>
      <c r="W27" s="67" t="s">
        <v>112</v>
      </c>
      <c r="X27" s="2"/>
      <c r="Y27" s="7"/>
      <c r="Z27" s="2"/>
      <c r="AA27" s="15"/>
      <c r="AB27" s="9"/>
      <c r="AC27" s="9"/>
      <c r="AD27" s="9"/>
      <c r="AE27" s="9"/>
      <c r="AF27" s="9"/>
      <c r="AG27" s="9"/>
      <c r="AH27" s="9"/>
      <c r="AI27" s="9"/>
      <c r="AJ27" s="9"/>
      <c r="AK27" s="9"/>
      <c r="AL27" s="9"/>
      <c r="AM27" s="15"/>
      <c r="AN27" s="9"/>
      <c r="AO27" s="9"/>
      <c r="AP27" s="9"/>
      <c r="AQ27" s="9"/>
      <c r="AR27" s="9"/>
      <c r="AS27" s="9"/>
      <c r="AT27" s="9"/>
      <c r="AU27" s="9"/>
      <c r="AV27" s="9"/>
      <c r="AW27" s="9"/>
      <c r="AX27" s="9"/>
      <c r="AY27" s="9"/>
      <c r="AZ27" s="15"/>
      <c r="BA27" s="56"/>
      <c r="BB27" s="9"/>
      <c r="BC27" s="9"/>
      <c r="BD27" s="9"/>
      <c r="BE27" s="9"/>
      <c r="BF27" s="9"/>
      <c r="BG27" s="9"/>
      <c r="BH27" s="9"/>
      <c r="BI27" s="9"/>
      <c r="BJ27" s="9"/>
      <c r="BK27" s="9"/>
      <c r="BL27" s="9"/>
    </row>
    <row r="28" spans="1:64" x14ac:dyDescent="0.3">
      <c r="A28" s="11" t="s">
        <v>109</v>
      </c>
      <c r="B28" s="27">
        <f>'viktor-input-sheet'!D19</f>
        <v>60</v>
      </c>
      <c r="C28" s="13" t="s">
        <v>76</v>
      </c>
      <c r="D28" s="14"/>
      <c r="E28" s="2"/>
      <c r="F28" s="2"/>
      <c r="G28" s="2"/>
      <c r="H28" s="73"/>
      <c r="I28" s="2"/>
      <c r="J28" s="2"/>
      <c r="K28" s="2"/>
      <c r="L28" s="2"/>
      <c r="M28" s="11" t="s">
        <v>83</v>
      </c>
      <c r="N28" s="29">
        <f>phiv*N27*SQRT(MIN(fc,10)*1000)*(d)/1000</f>
        <v>4.881887236670809</v>
      </c>
      <c r="O28" s="13" t="s">
        <v>94</v>
      </c>
      <c r="P28" s="74">
        <f>ROUND(N28*12/d/12/SQRT(fc*1000)*1000,2)</f>
        <v>1.1499999999999999</v>
      </c>
      <c r="Q28" s="14" t="s">
        <v>95</v>
      </c>
      <c r="R28" s="2"/>
      <c r="S28" s="11"/>
      <c r="T28" s="12"/>
      <c r="U28" s="13"/>
      <c r="V28" s="29" t="str">
        <f>IF(AND(T25&lt;&gt;0,V27/phiv&gt;6),"Vu&gt;Vu,max","")</f>
        <v/>
      </c>
      <c r="W28" s="14"/>
      <c r="X28" s="2"/>
      <c r="Y28" s="7"/>
      <c r="Z28" s="2"/>
      <c r="AA28" s="15" t="s">
        <v>115</v>
      </c>
      <c r="AB28" s="35">
        <f>T25</f>
        <v>8719.2658872000011</v>
      </c>
      <c r="AC28" s="9" t="s">
        <v>14</v>
      </c>
      <c r="AD28" s="9"/>
      <c r="AE28" s="9"/>
      <c r="AF28" s="9"/>
      <c r="AG28" s="9"/>
      <c r="AH28" s="9"/>
      <c r="AI28" s="9"/>
      <c r="AJ28" s="9"/>
      <c r="AK28" s="9"/>
      <c r="AL28" s="9"/>
      <c r="AM28" s="15"/>
      <c r="AN28" s="9"/>
      <c r="AO28" s="9"/>
      <c r="AP28" s="9"/>
      <c r="AQ28" s="9"/>
      <c r="AR28" s="9"/>
      <c r="AS28" s="9"/>
      <c r="AT28" s="9"/>
      <c r="AU28" s="9"/>
      <c r="AV28" s="9"/>
      <c r="AW28" s="9"/>
      <c r="AX28" s="9"/>
      <c r="AY28" s="9"/>
      <c r="AZ28" s="15"/>
      <c r="BA28" s="9"/>
      <c r="BB28" s="9"/>
      <c r="BC28" s="9"/>
      <c r="BD28" s="9"/>
      <c r="BE28" s="9"/>
      <c r="BF28" s="9"/>
      <c r="BG28" s="9"/>
      <c r="BH28" s="9"/>
      <c r="BI28" s="9"/>
      <c r="BJ28" s="9"/>
      <c r="BK28" s="9"/>
      <c r="BL28" s="9"/>
    </row>
    <row r="29" spans="1:64" x14ac:dyDescent="0.3">
      <c r="A29" s="47" t="s">
        <v>120</v>
      </c>
      <c r="B29" s="2"/>
      <c r="C29" s="2"/>
      <c r="D29" s="28"/>
      <c r="E29" s="2"/>
      <c r="F29" s="2"/>
      <c r="G29" s="2"/>
      <c r="H29" s="2"/>
      <c r="I29" s="2"/>
      <c r="J29" s="2"/>
      <c r="K29" s="2"/>
      <c r="L29" s="2"/>
      <c r="M29" s="11" t="s">
        <v>121</v>
      </c>
      <c r="N29" s="29">
        <f>IF(AND(B30&lt;&gt;"",B31&lt;&gt;"",B32&lt;&gt;"",B33&lt;&gt;""),MIN(8*SQRT(fc*1000)*d/1000,(phiv*VLOOKUP(B31,M39:P50,3)*Xftg/B32*B30*d/B32/Xftg)),0)</f>
        <v>30.264300000000006</v>
      </c>
      <c r="O29" s="13" t="s">
        <v>94</v>
      </c>
      <c r="P29" s="29">
        <f>IF(B33&gt;d/2,"s&gt;d/2",ROUND(N29*12/d/12/SQRT(fc*1000)*1000,2))</f>
        <v>7.1</v>
      </c>
      <c r="Q29" s="14" t="s">
        <v>95</v>
      </c>
      <c r="R29" s="2"/>
      <c r="S29" s="49"/>
      <c r="T29" s="13"/>
      <c r="U29" s="13"/>
      <c r="V29" s="75"/>
      <c r="W29" s="69"/>
      <c r="X29" s="2"/>
      <c r="Y29" s="7"/>
      <c r="Z29" s="2"/>
      <c r="AA29" s="15" t="s">
        <v>117</v>
      </c>
      <c r="AB29" s="56" t="s">
        <v>122</v>
      </c>
      <c r="AC29" s="9"/>
      <c r="AD29" s="9"/>
      <c r="AE29" s="9"/>
      <c r="AF29" s="9"/>
      <c r="AG29" s="9"/>
      <c r="AH29" s="9"/>
      <c r="AI29" s="9"/>
      <c r="AJ29" s="9"/>
      <c r="AK29" s="9"/>
      <c r="AL29" s="9"/>
      <c r="AM29" s="15"/>
      <c r="AN29" s="9"/>
      <c r="AO29" s="9"/>
      <c r="AP29" s="9"/>
      <c r="AQ29" s="9"/>
      <c r="AR29" s="9"/>
      <c r="AS29" s="9"/>
      <c r="AT29" s="9"/>
      <c r="AU29" s="9"/>
      <c r="AV29" s="9"/>
      <c r="AW29" s="9"/>
      <c r="AX29" s="9"/>
      <c r="AY29" s="9"/>
      <c r="AZ29" s="15" t="s">
        <v>123</v>
      </c>
      <c r="BA29" s="57">
        <f>T11</f>
        <v>22234.40185185185</v>
      </c>
      <c r="BB29" s="9" t="s">
        <v>124</v>
      </c>
      <c r="BC29" s="9"/>
      <c r="BD29" s="9"/>
      <c r="BE29" s="9"/>
      <c r="BF29" s="15" t="s">
        <v>125</v>
      </c>
      <c r="BG29" s="57">
        <f>N11</f>
        <v>20933.162962962957</v>
      </c>
      <c r="BH29" s="9" t="s">
        <v>124</v>
      </c>
      <c r="BI29" s="9"/>
      <c r="BJ29" s="9"/>
      <c r="BK29" s="9"/>
      <c r="BL29" s="9"/>
    </row>
    <row r="30" spans="1:64" ht="15" thickBot="1" x14ac:dyDescent="0.35">
      <c r="A30" s="11" t="s">
        <v>90</v>
      </c>
      <c r="B30" s="27">
        <f>'viktor-input-sheet'!D20</f>
        <v>60</v>
      </c>
      <c r="C30" s="13" t="s">
        <v>76</v>
      </c>
      <c r="D30" s="14"/>
      <c r="E30" s="2"/>
      <c r="F30" s="2"/>
      <c r="G30" s="2"/>
      <c r="H30" s="2"/>
      <c r="I30" s="2"/>
      <c r="J30" s="2"/>
      <c r="K30" s="2"/>
      <c r="L30" s="2"/>
      <c r="M30" s="11" t="s">
        <v>105</v>
      </c>
      <c r="N30" s="29">
        <f>N28+N29</f>
        <v>35.146187236670812</v>
      </c>
      <c r="O30" s="13" t="s">
        <v>94</v>
      </c>
      <c r="P30" s="29">
        <f>ROUND(N30*12/d/12/SQRT(fc*1000)*1000,2)</f>
        <v>8.25</v>
      </c>
      <c r="Q30" s="14" t="s">
        <v>95</v>
      </c>
      <c r="R30" s="30"/>
      <c r="S30" s="16" t="s">
        <v>12</v>
      </c>
      <c r="T30" s="76">
        <f>T27/T26</f>
        <v>8.5209126563192947E-2</v>
      </c>
      <c r="U30" s="18"/>
      <c r="V30" s="77" t="str">
        <f>IF(OR(V28&lt;&gt;"",V22&lt;&gt;"OK",V23&lt;&gt;"OK",T30&gt;1),"✗","✓")</f>
        <v>✓</v>
      </c>
      <c r="W30" s="78"/>
      <c r="X30" s="2"/>
      <c r="Y30" s="7"/>
      <c r="Z30" s="2"/>
      <c r="AA30" s="15" t="s">
        <v>117</v>
      </c>
      <c r="AB30" s="35">
        <f>T26</f>
        <v>9823.8753664814667</v>
      </c>
      <c r="AC30" s="26" t="s">
        <v>14</v>
      </c>
      <c r="AD30" s="9"/>
      <c r="AE30" s="9"/>
      <c r="AF30" s="9"/>
      <c r="AG30" s="9"/>
      <c r="AH30" s="9"/>
      <c r="AI30" s="9"/>
      <c r="AJ30" s="9"/>
      <c r="AK30" s="9"/>
      <c r="AL30" s="9"/>
      <c r="AM30" s="15"/>
      <c r="AN30" s="9"/>
      <c r="AO30" s="9"/>
      <c r="AP30" s="9"/>
      <c r="AQ30" s="9"/>
      <c r="AR30" s="9"/>
      <c r="AS30" s="9"/>
      <c r="AT30" s="9"/>
      <c r="AU30" s="9"/>
      <c r="AV30" s="9"/>
      <c r="AW30" s="9"/>
      <c r="AX30" s="9"/>
      <c r="AY30" s="9"/>
      <c r="AZ30" s="9"/>
      <c r="BA30" s="9"/>
      <c r="BB30" s="9"/>
      <c r="BC30" s="9"/>
      <c r="BD30" s="9"/>
      <c r="BE30" s="9"/>
      <c r="BF30" s="9"/>
      <c r="BG30" s="9"/>
      <c r="BH30" s="9"/>
      <c r="BI30" s="9"/>
      <c r="BJ30" s="9"/>
      <c r="BK30" s="9"/>
      <c r="BL30" s="9"/>
    </row>
    <row r="31" spans="1:64" ht="15" thickBot="1" x14ac:dyDescent="0.35">
      <c r="A31" s="11" t="s">
        <v>100</v>
      </c>
      <c r="B31" s="27">
        <f>'viktor-input-sheet'!D21</f>
        <v>6</v>
      </c>
      <c r="C31" s="13"/>
      <c r="D31" s="14"/>
      <c r="E31" s="2"/>
      <c r="F31" s="2"/>
      <c r="G31" s="2"/>
      <c r="H31" s="2"/>
      <c r="I31" s="2"/>
      <c r="J31" s="2"/>
      <c r="K31" s="2"/>
      <c r="L31" s="2"/>
      <c r="M31" s="11" t="s">
        <v>126</v>
      </c>
      <c r="N31" s="29">
        <f>MAX((Yftg/12/2-Ycol/12/2-(d)/12)*qu/12,0)</f>
        <v>0.9278360425240052</v>
      </c>
      <c r="O31" s="13" t="s">
        <v>94</v>
      </c>
      <c r="P31" s="74">
        <f>ROUND(N31*12/d/12/SQRT(fc*1000)*1000,2)</f>
        <v>0.22</v>
      </c>
      <c r="Q31" s="14" t="s">
        <v>95</v>
      </c>
      <c r="R31" s="2"/>
      <c r="S31" s="2"/>
      <c r="T31" s="2"/>
      <c r="U31" s="2"/>
      <c r="V31" s="2"/>
      <c r="W31" s="2"/>
      <c r="X31" s="2"/>
      <c r="Y31" s="7"/>
      <c r="Z31" s="2"/>
      <c r="AA31" s="15" t="s">
        <v>119</v>
      </c>
      <c r="AB31" s="56" t="s">
        <v>127</v>
      </c>
      <c r="AC31" s="9"/>
      <c r="AD31" s="9"/>
      <c r="AE31" s="9"/>
      <c r="AF31" s="9"/>
      <c r="AG31" s="9"/>
      <c r="AH31" s="9"/>
      <c r="AI31" s="9"/>
      <c r="AJ31" s="9"/>
      <c r="AK31" s="9"/>
      <c r="AL31" s="9"/>
      <c r="AM31" s="15"/>
      <c r="AN31" s="9"/>
      <c r="AO31" s="9"/>
      <c r="AP31" s="9"/>
      <c r="AQ31" s="9"/>
      <c r="AR31" s="9"/>
      <c r="AS31" s="9"/>
      <c r="AT31" s="9"/>
      <c r="AU31" s="9"/>
      <c r="AV31" s="9"/>
      <c r="AW31" s="9"/>
      <c r="AX31" s="9"/>
      <c r="AY31" s="9"/>
      <c r="AZ31" s="9"/>
      <c r="BA31" s="9"/>
      <c r="BB31" s="9"/>
      <c r="BC31" s="9"/>
      <c r="BD31" s="9"/>
      <c r="BE31" s="9"/>
      <c r="BF31" s="9"/>
      <c r="BG31" s="9"/>
      <c r="BH31" s="9"/>
      <c r="BI31" s="9"/>
      <c r="BJ31" s="9"/>
      <c r="BK31" s="9"/>
      <c r="BL31" s="9"/>
    </row>
    <row r="32" spans="1:64" x14ac:dyDescent="0.3">
      <c r="A32" s="11" t="s">
        <v>128</v>
      </c>
      <c r="B32" s="27">
        <f>'viktor-input-sheet'!D22</f>
        <v>6</v>
      </c>
      <c r="C32" s="13" t="s">
        <v>36</v>
      </c>
      <c r="D32" s="34"/>
      <c r="E32" s="2"/>
      <c r="F32" s="2"/>
      <c r="G32" s="2"/>
      <c r="H32" s="2"/>
      <c r="I32" s="2"/>
      <c r="J32" s="2"/>
      <c r="K32" s="2"/>
      <c r="L32" s="2"/>
      <c r="M32" s="11" t="s">
        <v>12</v>
      </c>
      <c r="N32" s="12">
        <f>N31/N30</f>
        <v>2.6399337039777676E-2</v>
      </c>
      <c r="O32" s="13"/>
      <c r="P32" s="29" t="str">
        <f>IF(N31&gt;(N28+8*SQRT(fc*1000)*d/1000),"Vu&gt;Vu MAX","")</f>
        <v/>
      </c>
      <c r="Q32" s="14"/>
      <c r="R32" s="2"/>
      <c r="S32" s="79" t="s">
        <v>129</v>
      </c>
      <c r="T32" s="80">
        <f>MAX(N34,N12,N3,T12,T30)</f>
        <v>0.1528589993502274</v>
      </c>
      <c r="U32" s="81"/>
      <c r="V32" s="81"/>
      <c r="W32" s="82"/>
      <c r="X32" s="2"/>
      <c r="Y32" s="7"/>
      <c r="Z32" s="2"/>
      <c r="AA32" s="15" t="s">
        <v>119</v>
      </c>
      <c r="AB32" s="57">
        <f>T27</f>
        <v>837.08383944355285</v>
      </c>
      <c r="AC32" s="9" t="s">
        <v>14</v>
      </c>
      <c r="AD32" s="9"/>
      <c r="AE32" s="9"/>
      <c r="AF32" s="9"/>
      <c r="AG32" s="9"/>
      <c r="AH32" s="9"/>
      <c r="AI32" s="9"/>
      <c r="AJ32" s="9"/>
      <c r="AK32" s="9"/>
      <c r="AL32" s="9"/>
      <c r="AM32" s="15"/>
      <c r="AN32" s="9"/>
      <c r="AO32" s="9"/>
      <c r="AP32" s="9"/>
      <c r="AQ32" s="9"/>
      <c r="AR32" s="9"/>
      <c r="AS32" s="9"/>
      <c r="AT32" s="9"/>
      <c r="AU32" s="9"/>
      <c r="AV32" s="9"/>
      <c r="AW32" s="9"/>
      <c r="AX32" s="9"/>
      <c r="AY32" s="9"/>
      <c r="AZ32" s="9"/>
      <c r="BA32" s="9"/>
      <c r="BB32" s="9"/>
      <c r="BC32" s="9"/>
      <c r="BD32" s="9"/>
      <c r="BE32" s="9"/>
      <c r="BF32" s="9"/>
      <c r="BG32" s="9"/>
      <c r="BH32" s="9"/>
      <c r="BI32" s="9"/>
      <c r="BJ32" s="9"/>
      <c r="BK32" s="9"/>
      <c r="BL32" s="9"/>
    </row>
    <row r="33" spans="1:64" ht="15" thickBot="1" x14ac:dyDescent="0.35">
      <c r="A33" s="11" t="s">
        <v>130</v>
      </c>
      <c r="B33" s="27">
        <f>'viktor-input-sheet'!D23</f>
        <v>6</v>
      </c>
      <c r="C33" s="13" t="s">
        <v>36</v>
      </c>
      <c r="D33" s="34"/>
      <c r="E33" s="2"/>
      <c r="F33" s="2"/>
      <c r="G33" s="2"/>
      <c r="H33" s="2"/>
      <c r="I33" s="2"/>
      <c r="J33" s="2"/>
      <c r="K33" s="2"/>
      <c r="L33" s="2"/>
      <c r="M33" s="49"/>
      <c r="N33" s="13"/>
      <c r="O33" s="13"/>
      <c r="P33" s="13"/>
      <c r="Q33" s="14"/>
      <c r="R33" s="2"/>
      <c r="S33" s="83" t="s">
        <v>131</v>
      </c>
      <c r="T33" s="84" t="str">
        <f>IF(OR(P34="✗",P12="✗",P3="✗",V12="✗",V30="✗"),"FAIL","PASS")</f>
        <v>PASS</v>
      </c>
      <c r="U33" s="66"/>
      <c r="V33" s="66"/>
      <c r="W33" s="38"/>
      <c r="X33" s="2"/>
      <c r="Y33" s="7"/>
      <c r="Z33" s="2"/>
      <c r="AA33" s="15"/>
      <c r="AB33" s="9"/>
      <c r="AC33" s="9"/>
      <c r="AD33" s="9"/>
      <c r="AE33" s="9"/>
      <c r="AF33" s="9"/>
      <c r="AG33" s="9"/>
      <c r="AH33" s="9"/>
      <c r="AI33" s="9"/>
      <c r="AJ33" s="9"/>
      <c r="AK33" s="9"/>
      <c r="AL33" s="9"/>
      <c r="AM33" s="15"/>
      <c r="AN33" s="9"/>
      <c r="AO33" s="9"/>
      <c r="AP33" s="9"/>
      <c r="AQ33" s="9"/>
      <c r="AR33" s="9"/>
      <c r="AS33" s="9"/>
      <c r="AT33" s="9"/>
      <c r="AU33" s="9"/>
      <c r="AV33" s="9"/>
      <c r="AW33" s="9"/>
      <c r="AX33" s="9"/>
      <c r="AY33" s="9"/>
      <c r="AZ33" s="9"/>
      <c r="BA33" s="9"/>
      <c r="BB33" s="9"/>
      <c r="BC33" s="9"/>
      <c r="BD33" s="9"/>
      <c r="BE33" s="9"/>
      <c r="BF33" s="9"/>
      <c r="BG33" s="9"/>
      <c r="BH33" s="9"/>
      <c r="BI33" s="9"/>
      <c r="BJ33" s="9"/>
      <c r="BK33" s="9"/>
      <c r="BL33" s="9"/>
    </row>
    <row r="34" spans="1:64" ht="15" thickBot="1" x14ac:dyDescent="0.35">
      <c r="A34" s="53"/>
      <c r="B34" s="18"/>
      <c r="C34" s="18"/>
      <c r="D34" s="54"/>
      <c r="E34" s="2"/>
      <c r="F34" s="2"/>
      <c r="G34" s="2"/>
      <c r="H34" s="2"/>
      <c r="I34" s="2"/>
      <c r="J34" s="2"/>
      <c r="K34" s="2"/>
      <c r="L34" s="2"/>
      <c r="M34" s="16" t="s">
        <v>132</v>
      </c>
      <c r="N34" s="76">
        <f>MAX(N25,N32)</f>
        <v>2.6399337039777676E-2</v>
      </c>
      <c r="O34" s="18"/>
      <c r="P34" s="19" t="str">
        <f>IF(OR(N34&gt;1,P32&lt;&gt;"",P25&lt;&gt;"",P22="s&gt;d/2",P29="s&gt;d/2"),"✗","✓")</f>
        <v>✓</v>
      </c>
      <c r="Q34" s="54"/>
      <c r="R34" s="2"/>
      <c r="S34" s="2"/>
      <c r="T34" s="2"/>
      <c r="U34" s="2"/>
      <c r="V34" s="2"/>
      <c r="W34" s="2"/>
      <c r="X34" s="2"/>
      <c r="Y34" s="7"/>
      <c r="Z34" s="2"/>
      <c r="AA34" s="15"/>
      <c r="AB34" s="9"/>
      <c r="AC34" s="9"/>
      <c r="AD34" s="9"/>
      <c r="AE34" s="9"/>
      <c r="AF34" s="9"/>
      <c r="AG34" s="9"/>
      <c r="AH34" s="9"/>
      <c r="AI34" s="9"/>
      <c r="AJ34" s="9"/>
      <c r="AK34" s="9"/>
      <c r="AL34" s="9"/>
      <c r="AM34" s="15" t="s">
        <v>110</v>
      </c>
      <c r="AN34" s="56" t="s">
        <v>133</v>
      </c>
      <c r="AO34" s="9"/>
      <c r="AP34" s="9"/>
      <c r="AQ34" s="9"/>
      <c r="AR34" s="9"/>
      <c r="AS34" s="15" t="s">
        <v>126</v>
      </c>
      <c r="AT34" s="56" t="s">
        <v>134</v>
      </c>
      <c r="AU34" s="9"/>
      <c r="AV34" s="9"/>
      <c r="AW34" s="9"/>
      <c r="AX34" s="9"/>
      <c r="AY34" s="9"/>
      <c r="AZ34" s="15" t="s">
        <v>12</v>
      </c>
      <c r="BA34" s="31">
        <f>T12</f>
        <v>9.4364403299209684E-2</v>
      </c>
      <c r="BB34" s="9"/>
      <c r="BC34" s="9"/>
      <c r="BD34" s="9"/>
      <c r="BE34" s="9"/>
      <c r="BF34" s="15" t="s">
        <v>12</v>
      </c>
      <c r="BG34" s="31">
        <f>N12</f>
        <v>0.13650264856074953</v>
      </c>
      <c r="BH34" s="9"/>
      <c r="BI34" s="9"/>
      <c r="BJ34" s="9"/>
      <c r="BK34" s="9"/>
      <c r="BL34" s="9"/>
    </row>
    <row r="35" spans="1:64" x14ac:dyDescent="0.3">
      <c r="A35" s="2"/>
      <c r="B35" s="2"/>
      <c r="C35" s="2"/>
      <c r="D35" s="2"/>
      <c r="E35" s="2"/>
      <c r="F35" s="2"/>
      <c r="G35" s="2"/>
      <c r="H35" s="2"/>
      <c r="I35" s="2"/>
      <c r="J35" s="2"/>
      <c r="K35" s="2"/>
      <c r="L35" s="2"/>
      <c r="M35" s="2"/>
      <c r="N35" s="2"/>
      <c r="O35" s="2"/>
      <c r="P35" s="2"/>
      <c r="Q35" s="2"/>
      <c r="R35" s="2"/>
      <c r="S35" s="2"/>
      <c r="T35" s="2"/>
      <c r="U35" s="2"/>
      <c r="V35" s="2"/>
      <c r="W35" s="2"/>
      <c r="X35" s="2"/>
      <c r="Y35" s="7"/>
      <c r="Z35" s="2"/>
      <c r="AA35" s="15" t="s">
        <v>12</v>
      </c>
      <c r="AB35" s="31">
        <f>T30</f>
        <v>8.5209126563192947E-2</v>
      </c>
      <c r="AC35" s="9"/>
      <c r="AD35" s="9"/>
      <c r="AE35" s="9"/>
      <c r="AF35" s="9"/>
      <c r="AG35" s="9"/>
      <c r="AH35" s="9"/>
      <c r="AI35" s="9"/>
      <c r="AJ35" s="9"/>
      <c r="AK35" s="9"/>
      <c r="AL35" s="9"/>
      <c r="AM35" s="15" t="s">
        <v>110</v>
      </c>
      <c r="AN35" s="31">
        <f>N24</f>
        <v>0.8672907750342933</v>
      </c>
      <c r="AO35" s="26" t="s">
        <v>74</v>
      </c>
      <c r="AP35" s="9"/>
      <c r="AQ35" s="9"/>
      <c r="AR35" s="9"/>
      <c r="AS35" s="15" t="s">
        <v>126</v>
      </c>
      <c r="AT35" s="31">
        <f>N31</f>
        <v>0.9278360425240052</v>
      </c>
      <c r="AU35" s="26" t="s">
        <v>74</v>
      </c>
      <c r="AV35" s="26"/>
      <c r="AW35" s="26"/>
      <c r="AX35" s="9"/>
      <c r="AY35" s="9"/>
      <c r="AZ35" s="9"/>
      <c r="BA35" s="9"/>
      <c r="BB35" s="9"/>
      <c r="BC35" s="9"/>
      <c r="BD35" s="9"/>
      <c r="BE35" s="9"/>
      <c r="BF35" s="9"/>
      <c r="BG35" s="9"/>
      <c r="BH35" s="9"/>
      <c r="BI35" s="9"/>
      <c r="BJ35" s="9"/>
      <c r="BK35" s="9"/>
      <c r="BL35" s="9"/>
    </row>
    <row r="36" spans="1:64" x14ac:dyDescent="0.3">
      <c r="A36" s="2"/>
      <c r="B36" s="2"/>
      <c r="C36" s="2"/>
      <c r="D36" s="2"/>
      <c r="E36" s="2"/>
      <c r="F36" s="2"/>
      <c r="G36" s="2"/>
      <c r="H36" s="2"/>
      <c r="I36" s="2"/>
      <c r="J36" s="2"/>
      <c r="K36" s="2"/>
      <c r="L36" s="2"/>
      <c r="M36" s="2"/>
      <c r="N36" s="2"/>
      <c r="O36" s="2"/>
      <c r="P36" s="2"/>
      <c r="Q36" s="2"/>
      <c r="R36" s="2"/>
      <c r="S36" s="2"/>
      <c r="T36" s="2"/>
      <c r="U36" s="2"/>
      <c r="V36" s="2"/>
      <c r="W36" s="2"/>
      <c r="X36" s="2"/>
      <c r="Y36" s="7"/>
      <c r="Z36" s="2"/>
      <c r="AA36" s="15"/>
      <c r="AB36" s="9"/>
      <c r="AC36" s="9"/>
      <c r="AD36" s="9"/>
      <c r="AE36" s="9"/>
      <c r="AF36" s="9"/>
      <c r="AG36" s="9"/>
      <c r="AH36" s="9"/>
      <c r="AI36" s="9"/>
      <c r="AJ36" s="9"/>
      <c r="AK36" s="9"/>
      <c r="AL36" s="9"/>
      <c r="AM36" s="15"/>
      <c r="AN36" s="9"/>
      <c r="AO36" s="9"/>
      <c r="AP36" s="9"/>
      <c r="AQ36" s="9"/>
      <c r="AR36" s="9"/>
      <c r="AS36" s="9"/>
      <c r="AT36" s="9"/>
      <c r="AU36" s="9"/>
      <c r="AV36" s="9"/>
      <c r="AW36" s="9"/>
      <c r="AX36" s="9"/>
      <c r="AY36" s="9"/>
      <c r="AZ36" s="32" t="str">
        <f>"Footing is "&amp;IF(BA34&lt;1,"adequate","inadequate")&amp;" for flexure (x direction)"</f>
        <v>Footing is adequate for flexure (x direction)</v>
      </c>
      <c r="BA36" s="9"/>
      <c r="BB36" s="9"/>
      <c r="BC36" s="9"/>
      <c r="BD36" s="9" t="str">
        <f>IF(BA34&gt;1,"✗","✓")</f>
        <v>✓</v>
      </c>
      <c r="BE36" s="9"/>
      <c r="BF36" s="32" t="str">
        <f>"Footing is "&amp;IF(BG34&lt;1,"adequate","inadequate")&amp;" for flexure (y direction)"</f>
        <v>Footing is adequate for flexure (y direction)</v>
      </c>
      <c r="BG36" s="9"/>
      <c r="BH36" s="9"/>
      <c r="BI36" s="9"/>
      <c r="BJ36" s="9" t="str">
        <f>IF(BG34&gt;1,"✗","✓")</f>
        <v>✓</v>
      </c>
      <c r="BK36" s="9"/>
      <c r="BL36" s="9"/>
    </row>
    <row r="37" spans="1:64" x14ac:dyDescent="0.3">
      <c r="A37" s="2"/>
      <c r="B37" s="2"/>
      <c r="C37" s="2"/>
      <c r="D37" s="2"/>
      <c r="E37" s="2"/>
      <c r="F37" s="2"/>
      <c r="G37" s="2"/>
      <c r="H37" s="2"/>
      <c r="I37" s="2"/>
      <c r="J37" s="2"/>
      <c r="K37" s="2"/>
      <c r="L37" s="2"/>
      <c r="M37" s="2"/>
      <c r="N37" s="2"/>
      <c r="O37" s="2"/>
      <c r="P37" s="2"/>
      <c r="Q37" s="2"/>
      <c r="R37" s="2"/>
      <c r="S37" s="2"/>
      <c r="T37" s="2"/>
      <c r="U37" s="2"/>
      <c r="V37" s="2"/>
      <c r="W37" s="2"/>
      <c r="X37" s="2"/>
      <c r="Y37" s="7"/>
      <c r="Z37" s="2"/>
      <c r="AA37" s="32" t="str">
        <f>"Footing is "&amp;IF(AB35&lt;1,"adequate","inadequate")&amp;" for Two-Way shear"</f>
        <v>Footing is adequate for Two-Way shear</v>
      </c>
      <c r="AB37" s="9"/>
      <c r="AC37" s="9"/>
      <c r="AD37" s="9"/>
      <c r="AE37" s="9" t="str">
        <f>IF(AB35&gt;1,"✗","✓")</f>
        <v>✓</v>
      </c>
      <c r="AF37" s="9"/>
      <c r="AG37" s="9"/>
      <c r="AH37" s="9"/>
      <c r="AI37" s="9"/>
      <c r="AJ37" s="9"/>
      <c r="AK37" s="9"/>
      <c r="AL37" s="9"/>
      <c r="AM37" s="15"/>
      <c r="AN37" s="9"/>
      <c r="AO37" s="9"/>
      <c r="AP37" s="9"/>
      <c r="AQ37" s="9"/>
      <c r="AR37" s="9"/>
      <c r="AS37" s="15"/>
      <c r="AT37" s="9"/>
      <c r="AU37" s="9"/>
      <c r="AV37" s="9"/>
      <c r="AW37" s="9"/>
      <c r="AX37" s="9"/>
      <c r="AY37" s="9"/>
      <c r="AZ37" s="9"/>
      <c r="BA37" s="9"/>
      <c r="BB37" s="9"/>
      <c r="BC37" s="9"/>
      <c r="BD37" s="9"/>
      <c r="BE37" s="9"/>
      <c r="BF37" s="9"/>
      <c r="BG37" s="9"/>
      <c r="BH37" s="9"/>
      <c r="BI37" s="9"/>
      <c r="BJ37" s="9"/>
      <c r="BK37" s="9"/>
      <c r="BL37" s="9"/>
    </row>
    <row r="38" spans="1:64" x14ac:dyDescent="0.3">
      <c r="A38" s="2"/>
      <c r="B38" s="2"/>
      <c r="C38" s="2"/>
      <c r="D38" s="2"/>
      <c r="E38" s="2"/>
      <c r="F38" s="2"/>
      <c r="G38" s="2"/>
      <c r="H38" s="2"/>
      <c r="I38" s="2"/>
      <c r="J38" s="2"/>
      <c r="K38" s="2"/>
      <c r="L38" s="2"/>
      <c r="M38" s="2"/>
      <c r="N38" s="2"/>
      <c r="O38" s="2"/>
      <c r="P38" s="2"/>
      <c r="Q38" s="2"/>
      <c r="R38" s="2"/>
      <c r="S38" s="2"/>
      <c r="T38" s="2"/>
      <c r="U38" s="2"/>
      <c r="V38" s="2"/>
      <c r="W38" s="2"/>
      <c r="X38" s="2"/>
      <c r="Y38" s="7"/>
      <c r="Z38" s="2"/>
      <c r="AA38" s="15"/>
      <c r="AB38" s="9"/>
      <c r="AC38" s="9"/>
      <c r="AD38" s="9"/>
      <c r="AE38" s="9"/>
      <c r="AF38" s="9"/>
      <c r="AG38" s="9"/>
      <c r="AH38" s="9"/>
      <c r="AI38" s="9"/>
      <c r="AJ38" s="9"/>
      <c r="AK38" s="9"/>
      <c r="AL38" s="9"/>
      <c r="AM38" s="15"/>
      <c r="AN38" s="9"/>
      <c r="AO38" s="9"/>
      <c r="AP38" s="9"/>
      <c r="AQ38" s="9"/>
      <c r="AR38" s="9"/>
      <c r="AS38" s="9"/>
      <c r="AT38" s="9"/>
      <c r="AU38" s="9"/>
      <c r="AV38" s="9"/>
      <c r="AW38" s="9"/>
      <c r="AX38" s="9"/>
      <c r="AY38" s="9"/>
      <c r="AZ38" s="9"/>
      <c r="BA38" s="9"/>
      <c r="BB38" s="9"/>
      <c r="BC38" s="9"/>
      <c r="BD38" s="9"/>
      <c r="BE38" s="9"/>
      <c r="BF38" s="9"/>
      <c r="BG38" s="9"/>
      <c r="BH38" s="9"/>
      <c r="BI38" s="9"/>
      <c r="BJ38" s="9"/>
      <c r="BK38" s="9"/>
      <c r="BL38" s="9"/>
    </row>
    <row r="39" spans="1:64" x14ac:dyDescent="0.3">
      <c r="A39" s="2"/>
      <c r="B39" s="2"/>
      <c r="C39" s="2"/>
      <c r="D39" s="2"/>
      <c r="E39" s="2"/>
      <c r="F39" s="2"/>
      <c r="G39" s="2"/>
      <c r="H39" s="2"/>
      <c r="I39" s="2"/>
      <c r="J39" s="2"/>
      <c r="K39" s="2"/>
      <c r="L39" s="2"/>
      <c r="M39" s="2" t="s">
        <v>141</v>
      </c>
      <c r="N39" s="2" t="s">
        <v>142</v>
      </c>
      <c r="O39" s="2" t="s">
        <v>143</v>
      </c>
      <c r="P39" s="2" t="s">
        <v>144</v>
      </c>
      <c r="Q39" s="2"/>
      <c r="R39" s="2"/>
      <c r="S39" s="2"/>
      <c r="T39" s="2"/>
      <c r="U39" s="2"/>
      <c r="V39" s="2"/>
      <c r="W39" s="2"/>
      <c r="X39" s="2"/>
      <c r="Y39" s="7"/>
      <c r="Z39" s="2"/>
      <c r="AA39" s="15"/>
      <c r="AB39" s="9"/>
      <c r="AC39" s="9"/>
      <c r="AD39" s="9"/>
      <c r="AE39" s="9"/>
      <c r="AF39" s="9"/>
      <c r="AG39" s="9"/>
      <c r="AH39" s="9"/>
      <c r="AI39" s="9"/>
      <c r="AJ39" s="9"/>
      <c r="AK39" s="9"/>
      <c r="AL39" s="9"/>
      <c r="AM39" s="15"/>
      <c r="AN39" s="9"/>
      <c r="AO39" s="9"/>
      <c r="AP39" s="9"/>
      <c r="AQ39" s="9"/>
      <c r="AR39" s="9"/>
      <c r="AS39" s="9"/>
      <c r="AT39" s="9"/>
      <c r="AU39" s="9"/>
      <c r="AV39" s="9"/>
      <c r="AW39" s="9"/>
      <c r="AX39" s="9"/>
      <c r="AY39" s="9"/>
      <c r="AZ39" s="9" t="s">
        <v>60</v>
      </c>
      <c r="BA39" s="9"/>
      <c r="BB39" s="9"/>
      <c r="BC39" s="9"/>
      <c r="BD39" s="9"/>
      <c r="BE39" s="9"/>
      <c r="BF39" s="9" t="s">
        <v>60</v>
      </c>
      <c r="BG39" s="9"/>
      <c r="BH39" s="9"/>
      <c r="BI39" s="9"/>
      <c r="BJ39" s="9"/>
      <c r="BK39" s="9"/>
      <c r="BL39" s="9"/>
    </row>
    <row r="40" spans="1:64" x14ac:dyDescent="0.3">
      <c r="A40" s="2"/>
      <c r="B40" s="2"/>
      <c r="C40" s="2"/>
      <c r="D40" s="2"/>
      <c r="E40" s="2"/>
      <c r="F40" s="2"/>
      <c r="G40" s="2"/>
      <c r="H40" s="2"/>
      <c r="I40" s="2"/>
      <c r="J40" s="2"/>
      <c r="K40" s="2"/>
      <c r="L40" s="2"/>
      <c r="M40" s="2">
        <v>3</v>
      </c>
      <c r="N40" s="2">
        <v>0.375</v>
      </c>
      <c r="O40" s="2">
        <v>0.11</v>
      </c>
      <c r="P40" s="2">
        <v>0.376</v>
      </c>
      <c r="Q40" s="2"/>
      <c r="R40" s="2"/>
      <c r="S40" s="2"/>
      <c r="T40" s="2"/>
      <c r="U40" s="2"/>
      <c r="V40" s="2"/>
      <c r="W40" s="2"/>
      <c r="X40" s="2"/>
      <c r="Y40" s="7"/>
      <c r="Z40" s="2"/>
      <c r="AA40" s="15"/>
      <c r="AB40" s="9"/>
      <c r="AC40" s="9"/>
      <c r="AD40" s="9"/>
      <c r="AE40" s="9"/>
      <c r="AF40" s="9"/>
      <c r="AG40" s="9"/>
      <c r="AH40" s="9"/>
      <c r="AI40" s="9"/>
      <c r="AJ40" s="9"/>
      <c r="AK40" s="9"/>
      <c r="AL40" s="9"/>
      <c r="AM40" s="15" t="s">
        <v>12</v>
      </c>
      <c r="AN40" s="31">
        <f>N25</f>
        <v>2.5158093263770078E-2</v>
      </c>
      <c r="AO40" s="9"/>
      <c r="AP40" s="9"/>
      <c r="AQ40" s="9"/>
      <c r="AR40" s="9"/>
      <c r="AS40" s="15" t="s">
        <v>12</v>
      </c>
      <c r="AT40" s="31">
        <f>N32</f>
        <v>2.6399337039777676E-2</v>
      </c>
      <c r="AU40" s="9"/>
      <c r="AV40" s="9"/>
      <c r="AW40" s="9"/>
      <c r="AX40" s="9"/>
      <c r="AY40" s="9"/>
      <c r="AZ40" s="21" t="str">
        <f>V14</f>
        <v>No</v>
      </c>
      <c r="BA40" s="9"/>
      <c r="BB40" s="9"/>
      <c r="BC40" s="9"/>
      <c r="BD40" s="9"/>
      <c r="BE40" s="9"/>
      <c r="BF40" s="21" t="str">
        <f>P14</f>
        <v>No</v>
      </c>
      <c r="BG40" s="9"/>
      <c r="BH40" s="9"/>
      <c r="BI40" s="9"/>
      <c r="BJ40" s="9"/>
      <c r="BK40" s="9"/>
      <c r="BL40" s="9"/>
    </row>
    <row r="41" spans="1:64" x14ac:dyDescent="0.3">
      <c r="A41" s="2"/>
      <c r="B41" s="2"/>
      <c r="C41" s="2"/>
      <c r="D41" s="2"/>
      <c r="E41" s="2"/>
      <c r="F41" s="2"/>
      <c r="G41" s="2"/>
      <c r="H41" s="2"/>
      <c r="I41" s="2"/>
      <c r="J41" s="2"/>
      <c r="K41" s="2"/>
      <c r="L41" s="2"/>
      <c r="M41" s="2">
        <v>4</v>
      </c>
      <c r="N41" s="2">
        <v>0.5</v>
      </c>
      <c r="O41" s="2">
        <v>0.2</v>
      </c>
      <c r="P41" s="2">
        <v>0.66800000000000004</v>
      </c>
      <c r="Q41" s="2"/>
      <c r="R41" s="2"/>
      <c r="S41" s="2"/>
      <c r="T41" s="2"/>
      <c r="U41" s="2"/>
      <c r="V41" s="2"/>
      <c r="W41" s="2"/>
      <c r="X41" s="2"/>
      <c r="Y41" s="7"/>
      <c r="Z41" s="2"/>
      <c r="AA41" s="15"/>
      <c r="AB41" s="9"/>
      <c r="AC41" s="9"/>
      <c r="AD41" s="9"/>
      <c r="AE41" s="9"/>
      <c r="AF41" s="9"/>
      <c r="AG41" s="9"/>
      <c r="AH41" s="9"/>
      <c r="AI41" s="9"/>
      <c r="AJ41" s="9"/>
      <c r="AK41" s="9"/>
      <c r="AL41" s="9"/>
      <c r="AM41" s="15"/>
      <c r="AN41" s="9"/>
      <c r="AO41" s="9"/>
      <c r="AP41" s="9"/>
      <c r="AQ41" s="9"/>
      <c r="AR41" s="9"/>
      <c r="AS41" s="9"/>
      <c r="AT41" s="9"/>
      <c r="AU41" s="9"/>
      <c r="AV41" s="9"/>
      <c r="AW41" s="9"/>
      <c r="AX41" s="9"/>
      <c r="AY41" s="9"/>
      <c r="AZ41" s="9" t="str">
        <f>M15</f>
        <v/>
      </c>
      <c r="BA41" s="9"/>
      <c r="BB41" s="9" t="str">
        <f>N15</f>
        <v/>
      </c>
      <c r="BC41" s="9"/>
      <c r="BD41" s="9"/>
      <c r="BE41" s="9"/>
      <c r="BF41" s="9" t="str">
        <f>S15</f>
        <v/>
      </c>
      <c r="BG41" s="9"/>
      <c r="BH41" s="9" t="str">
        <f>T15</f>
        <v/>
      </c>
      <c r="BI41" s="9"/>
      <c r="BJ41" s="9"/>
      <c r="BK41" s="9"/>
      <c r="BL41" s="9"/>
    </row>
    <row r="42" spans="1:64" x14ac:dyDescent="0.3">
      <c r="A42" s="2"/>
      <c r="B42" s="2"/>
      <c r="C42" s="2"/>
      <c r="D42" s="2"/>
      <c r="E42" s="2"/>
      <c r="F42" s="2"/>
      <c r="G42" s="2"/>
      <c r="H42" s="2"/>
      <c r="I42" s="2"/>
      <c r="J42" s="2"/>
      <c r="K42" s="2"/>
      <c r="L42" s="2"/>
      <c r="M42" s="2">
        <v>5</v>
      </c>
      <c r="N42" s="2">
        <v>0.625</v>
      </c>
      <c r="O42" s="2">
        <v>0.31</v>
      </c>
      <c r="P42" s="2">
        <v>1.0429999999999999</v>
      </c>
      <c r="Q42" s="2"/>
      <c r="R42" s="2"/>
      <c r="S42" s="2"/>
      <c r="T42" s="2"/>
      <c r="U42" s="2"/>
      <c r="V42" s="2"/>
      <c r="W42" s="2"/>
      <c r="X42" s="2"/>
      <c r="Y42" s="7"/>
      <c r="Z42" s="2"/>
      <c r="AA42" s="15"/>
      <c r="AB42" s="9"/>
      <c r="AC42" s="9"/>
      <c r="AD42" s="9"/>
      <c r="AE42" s="9"/>
      <c r="AF42" s="9"/>
      <c r="AG42" s="9"/>
      <c r="AH42" s="9"/>
      <c r="AI42" s="9"/>
      <c r="AJ42" s="9"/>
      <c r="AK42" s="9"/>
      <c r="AL42" s="9"/>
      <c r="AM42" s="32" t="str">
        <f>"Footing is "&amp;IF(AN40&lt;1,"adequate","inadequate")&amp;" for One-Way shear (x direction)"</f>
        <v>Footing is adequate for One-Way shear (x direction)</v>
      </c>
      <c r="AN42" s="9"/>
      <c r="AO42" s="9"/>
      <c r="AP42" s="9"/>
      <c r="AQ42" s="9"/>
      <c r="AR42" s="9"/>
      <c r="AS42" s="32" t="str">
        <f>"Footing is "&amp;IF(AT40&lt;1,"adequate","inadequate")&amp;" for One-Way shear (y direction)"</f>
        <v>Footing is adequate for One-Way shear (y direction)</v>
      </c>
      <c r="AT42" s="9"/>
      <c r="AU42" s="9"/>
      <c r="AV42" s="9"/>
      <c r="AW42" s="9"/>
      <c r="AX42" s="9"/>
      <c r="AY42" s="9"/>
      <c r="AZ42" s="9"/>
      <c r="BA42" s="9"/>
      <c r="BB42" s="9"/>
      <c r="BC42" s="9"/>
      <c r="BD42" s="9"/>
      <c r="BE42" s="9"/>
      <c r="BF42" s="9"/>
      <c r="BG42" s="9"/>
      <c r="BH42" s="9"/>
      <c r="BI42" s="9"/>
      <c r="BJ42" s="9"/>
      <c r="BK42" s="9"/>
      <c r="BL42" s="9"/>
    </row>
    <row r="43" spans="1:64" x14ac:dyDescent="0.3">
      <c r="A43" s="2"/>
      <c r="B43" s="2"/>
      <c r="C43" s="2"/>
      <c r="D43" s="2"/>
      <c r="E43" s="2"/>
      <c r="F43" s="2"/>
      <c r="G43" s="2"/>
      <c r="H43" s="2"/>
      <c r="I43" s="2"/>
      <c r="J43" s="2"/>
      <c r="K43" s="2"/>
      <c r="L43" s="2"/>
      <c r="M43" s="2">
        <v>6</v>
      </c>
      <c r="N43" s="2">
        <v>0.75</v>
      </c>
      <c r="O43" s="2">
        <v>0.44</v>
      </c>
      <c r="P43" s="2">
        <v>1.502</v>
      </c>
      <c r="Q43" s="2"/>
      <c r="R43" s="2"/>
      <c r="S43" s="2"/>
      <c r="T43" s="2"/>
      <c r="U43" s="2"/>
      <c r="V43" s="2"/>
      <c r="W43" s="2"/>
      <c r="X43" s="2"/>
      <c r="Y43" s="7"/>
      <c r="Z43" s="2"/>
      <c r="AA43" s="15"/>
      <c r="AB43" s="9"/>
      <c r="AC43" s="9"/>
      <c r="AD43" s="9"/>
      <c r="AE43" s="9"/>
      <c r="AF43" s="9"/>
      <c r="AG43" s="9"/>
      <c r="AH43" s="9"/>
      <c r="AI43" s="9"/>
      <c r="AJ43" s="9"/>
      <c r="AK43" s="9"/>
      <c r="AL43" s="9"/>
      <c r="AM43" s="15"/>
      <c r="AN43" s="9"/>
      <c r="AO43" s="9"/>
      <c r="AP43" s="9"/>
      <c r="AQ43" s="9"/>
      <c r="AR43" s="9"/>
      <c r="AS43" s="9"/>
      <c r="AT43" s="9"/>
      <c r="AU43" s="9"/>
      <c r="AV43" s="9"/>
      <c r="AW43" s="9"/>
      <c r="AX43" s="9"/>
      <c r="AY43" s="9"/>
      <c r="AZ43" s="85" t="s">
        <v>135</v>
      </c>
      <c r="BA43" s="9"/>
      <c r="BB43" s="9"/>
      <c r="BC43" s="9"/>
      <c r="BD43" s="9"/>
      <c r="BE43" s="9"/>
      <c r="BF43" s="9"/>
      <c r="BG43" s="9"/>
      <c r="BH43" s="9"/>
      <c r="BI43" s="9"/>
      <c r="BJ43" s="9"/>
      <c r="BK43" s="9"/>
      <c r="BL43" s="9"/>
    </row>
    <row r="44" spans="1:64" x14ac:dyDescent="0.3">
      <c r="A44" s="2"/>
      <c r="B44" s="2"/>
      <c r="C44" s="2"/>
      <c r="D44" s="2"/>
      <c r="E44" s="2"/>
      <c r="F44" s="2"/>
      <c r="G44" s="2"/>
      <c r="H44" s="2"/>
      <c r="I44" s="2"/>
      <c r="J44" s="2"/>
      <c r="K44" s="2"/>
      <c r="L44" s="2"/>
      <c r="M44" s="2">
        <v>7</v>
      </c>
      <c r="N44" s="2">
        <v>0.875</v>
      </c>
      <c r="O44" s="2">
        <v>0.6</v>
      </c>
      <c r="P44" s="2">
        <v>2.044</v>
      </c>
      <c r="Q44" s="2"/>
      <c r="R44" s="2"/>
      <c r="S44" s="2"/>
      <c r="T44" s="2"/>
      <c r="U44" s="2"/>
      <c r="V44" s="2"/>
      <c r="W44" s="2"/>
      <c r="X44" s="2"/>
      <c r="Y44" s="7"/>
      <c r="Z44" s="2"/>
      <c r="AA44" s="15"/>
      <c r="AB44" s="9"/>
      <c r="AC44" s="9"/>
      <c r="AD44" s="9"/>
      <c r="AE44" s="9"/>
      <c r="AF44" s="9"/>
      <c r="AG44" s="9"/>
      <c r="AH44" s="9"/>
      <c r="AI44" s="9"/>
      <c r="AJ44" s="9"/>
      <c r="AK44" s="9"/>
      <c r="AL44" s="9"/>
      <c r="AM44" s="56" t="s">
        <v>136</v>
      </c>
      <c r="AN44" s="9"/>
      <c r="AO44" s="2"/>
      <c r="AP44" s="31">
        <f>N34</f>
        <v>2.6399337039777676E-2</v>
      </c>
      <c r="AQ44" s="9"/>
      <c r="AR44" s="9"/>
      <c r="AS44" s="9"/>
      <c r="AT44" s="9"/>
      <c r="AU44" s="9"/>
      <c r="AV44" s="9"/>
      <c r="AW44" s="9"/>
      <c r="AX44" s="9"/>
      <c r="AY44" s="9"/>
      <c r="AZ44" s="9"/>
      <c r="BA44" s="9"/>
      <c r="BB44" s="9"/>
      <c r="BC44" s="9"/>
      <c r="BD44" s="9"/>
      <c r="BE44" s="9"/>
      <c r="BF44" s="9"/>
      <c r="BG44" s="9"/>
      <c r="BH44" s="9"/>
      <c r="BI44" s="9"/>
      <c r="BJ44" s="9"/>
      <c r="BK44" s="9"/>
      <c r="BL44" s="9"/>
    </row>
    <row r="45" spans="1:64" x14ac:dyDescent="0.3">
      <c r="A45" s="2"/>
      <c r="B45" s="2"/>
      <c r="C45" s="2"/>
      <c r="D45" s="2"/>
      <c r="E45" s="2"/>
      <c r="F45" s="2"/>
      <c r="G45" s="2"/>
      <c r="H45" s="2"/>
      <c r="I45" s="2"/>
      <c r="J45" s="2"/>
      <c r="K45" s="2"/>
      <c r="L45" s="2"/>
      <c r="M45" s="2">
        <v>8</v>
      </c>
      <c r="N45" s="2">
        <v>1</v>
      </c>
      <c r="O45" s="2">
        <v>0.79</v>
      </c>
      <c r="P45" s="2">
        <v>2.67</v>
      </c>
      <c r="Q45" s="2"/>
      <c r="R45" s="2"/>
      <c r="S45" s="2"/>
      <c r="T45" s="2"/>
      <c r="U45" s="2"/>
      <c r="V45" s="2"/>
      <c r="W45" s="2"/>
      <c r="X45" s="2"/>
      <c r="Y45" s="7"/>
      <c r="Z45" s="2"/>
      <c r="AA45" s="15"/>
      <c r="AB45" s="9"/>
      <c r="AC45" s="9"/>
      <c r="AD45" s="9"/>
      <c r="AE45" s="9"/>
      <c r="AF45" s="9"/>
      <c r="AG45" s="9"/>
      <c r="AH45" s="9"/>
      <c r="AI45" s="9"/>
      <c r="AJ45" s="9"/>
      <c r="AK45" s="9"/>
      <c r="AL45" s="9"/>
      <c r="AM45" s="15"/>
      <c r="AN45" s="9"/>
      <c r="AO45" s="9"/>
      <c r="AP45" s="9"/>
      <c r="AQ45" s="9"/>
      <c r="AR45" s="9"/>
      <c r="AS45" s="9"/>
      <c r="AT45" s="9"/>
      <c r="AU45" s="9"/>
      <c r="AV45" s="9"/>
      <c r="AW45" s="9"/>
      <c r="AX45" s="9"/>
      <c r="AY45" s="9"/>
      <c r="AZ45" s="9" t="s">
        <v>137</v>
      </c>
      <c r="BA45" s="9"/>
      <c r="BB45" s="70">
        <f>AB12</f>
        <v>0.1528589993502274</v>
      </c>
      <c r="BC45" s="9"/>
      <c r="BD45" s="86" t="str">
        <f>AA14</f>
        <v>Footing is adequate for bearing</v>
      </c>
      <c r="BE45" s="9"/>
      <c r="BF45" s="9"/>
      <c r="BG45" s="9"/>
      <c r="BH45" s="9"/>
      <c r="BI45" s="9"/>
      <c r="BJ45" s="9"/>
      <c r="BK45" s="9"/>
      <c r="BL45" s="9"/>
    </row>
    <row r="46" spans="1:64" x14ac:dyDescent="0.3">
      <c r="A46" s="2"/>
      <c r="B46" s="2"/>
      <c r="C46" s="2"/>
      <c r="D46" s="2"/>
      <c r="E46" s="2"/>
      <c r="F46" s="2"/>
      <c r="G46" s="2"/>
      <c r="H46" s="2"/>
      <c r="I46" s="2"/>
      <c r="J46" s="2"/>
      <c r="K46" s="2"/>
      <c r="L46" s="2"/>
      <c r="M46" s="2">
        <v>9</v>
      </c>
      <c r="N46" s="2">
        <v>1.1279999999999999</v>
      </c>
      <c r="O46" s="2">
        <v>1</v>
      </c>
      <c r="P46" s="2">
        <v>3.4</v>
      </c>
      <c r="Q46" s="2"/>
      <c r="R46" s="2"/>
      <c r="S46" s="2"/>
      <c r="T46" s="2"/>
      <c r="U46" s="2"/>
      <c r="V46" s="2"/>
      <c r="W46" s="2"/>
      <c r="X46" s="2"/>
      <c r="Y46" s="7"/>
      <c r="Z46" s="2"/>
      <c r="AA46" s="15"/>
      <c r="AB46" s="9"/>
      <c r="AC46" s="9"/>
      <c r="AD46" s="9"/>
      <c r="AE46" s="9"/>
      <c r="AF46" s="9"/>
      <c r="AG46" s="9"/>
      <c r="AH46" s="9"/>
      <c r="AI46" s="9"/>
      <c r="AJ46" s="9"/>
      <c r="AK46" s="9"/>
      <c r="AL46" s="9"/>
      <c r="AM46" s="32" t="str">
        <f>"Footing is "&amp;IF(AP44&lt;1,"adequate","inadequate")&amp;" for One-Way shear"</f>
        <v>Footing is adequate for One-Way shear</v>
      </c>
      <c r="AN46" s="9"/>
      <c r="AO46" s="9"/>
      <c r="AP46" s="9"/>
      <c r="AQ46" s="9" t="str">
        <f>IF(AP44&gt;1,"✗","✓")</f>
        <v>✓</v>
      </c>
      <c r="AR46" s="9"/>
      <c r="AS46" s="9"/>
      <c r="AT46" s="9"/>
      <c r="AU46" s="9"/>
      <c r="AV46" s="9"/>
      <c r="AW46" s="9"/>
      <c r="AX46" s="9"/>
      <c r="AY46" s="9"/>
      <c r="AZ46" s="9" t="s">
        <v>138</v>
      </c>
      <c r="BA46" s="9"/>
      <c r="BB46" s="70">
        <f>AB35</f>
        <v>8.5209126563192947E-2</v>
      </c>
      <c r="BC46" s="9"/>
      <c r="BD46" s="86" t="str">
        <f>AA37</f>
        <v>Footing is adequate for Two-Way shear</v>
      </c>
      <c r="BE46" s="9"/>
      <c r="BF46" s="9"/>
      <c r="BG46" s="9"/>
      <c r="BH46" s="9"/>
      <c r="BI46" s="9"/>
      <c r="BJ46" s="9"/>
      <c r="BK46" s="9"/>
      <c r="BL46" s="9"/>
    </row>
    <row r="47" spans="1:64" x14ac:dyDescent="0.3">
      <c r="A47" s="2"/>
      <c r="B47" s="2"/>
      <c r="C47" s="2"/>
      <c r="D47" s="2"/>
      <c r="E47" s="2"/>
      <c r="F47" s="2"/>
      <c r="G47" s="2"/>
      <c r="H47" s="2"/>
      <c r="I47" s="2"/>
      <c r="J47" s="2"/>
      <c r="K47" s="2"/>
      <c r="L47" s="2"/>
      <c r="M47" s="2">
        <v>10</v>
      </c>
      <c r="N47" s="2">
        <v>1.27</v>
      </c>
      <c r="O47" s="2">
        <v>1.27</v>
      </c>
      <c r="P47" s="2">
        <v>4.3029999999999999</v>
      </c>
      <c r="Q47" s="2"/>
      <c r="R47" s="2"/>
      <c r="S47" s="2"/>
      <c r="T47" s="2"/>
      <c r="U47" s="2"/>
      <c r="V47" s="2"/>
      <c r="W47" s="2"/>
      <c r="X47" s="2"/>
      <c r="Y47" s="7"/>
      <c r="Z47" s="2"/>
      <c r="AA47" s="15"/>
      <c r="AB47" s="9"/>
      <c r="AC47" s="9"/>
      <c r="AD47" s="9"/>
      <c r="AE47" s="9"/>
      <c r="AF47" s="9"/>
      <c r="AG47" s="9"/>
      <c r="AH47" s="9"/>
      <c r="AI47" s="9"/>
      <c r="AJ47" s="9"/>
      <c r="AK47" s="9"/>
      <c r="AL47" s="9"/>
      <c r="AM47" s="15"/>
      <c r="AN47" s="9"/>
      <c r="AO47" s="9"/>
      <c r="AP47" s="9"/>
      <c r="AQ47" s="9"/>
      <c r="AR47" s="9"/>
      <c r="AS47" s="9"/>
      <c r="AT47" s="9"/>
      <c r="AU47" s="9"/>
      <c r="AV47" s="9"/>
      <c r="AW47" s="9"/>
      <c r="AX47" s="9"/>
      <c r="AY47" s="9"/>
      <c r="AZ47" s="9" t="s">
        <v>139</v>
      </c>
      <c r="BA47" s="9"/>
      <c r="BB47" s="70">
        <f>AP44</f>
        <v>2.6399337039777676E-2</v>
      </c>
      <c r="BC47" s="9"/>
      <c r="BD47" s="86" t="str">
        <f>AM46</f>
        <v>Footing is adequate for One-Way shear</v>
      </c>
      <c r="BE47" s="9"/>
      <c r="BF47" s="9"/>
      <c r="BG47" s="9"/>
      <c r="BH47" s="9"/>
      <c r="BI47" s="9"/>
      <c r="BJ47" s="9"/>
      <c r="BK47" s="9"/>
      <c r="BL47" s="9"/>
    </row>
    <row r="48" spans="1:64" x14ac:dyDescent="0.3">
      <c r="A48" s="2"/>
      <c r="B48" s="2"/>
      <c r="C48" s="2"/>
      <c r="D48" s="2"/>
      <c r="E48" s="2"/>
      <c r="F48" s="2"/>
      <c r="G48" s="2"/>
      <c r="H48" s="2"/>
      <c r="I48" s="2"/>
      <c r="J48" s="2"/>
      <c r="K48" s="2"/>
      <c r="L48" s="2"/>
      <c r="M48" s="2">
        <v>11</v>
      </c>
      <c r="N48" s="2">
        <v>1.41</v>
      </c>
      <c r="O48" s="2">
        <v>1.56</v>
      </c>
      <c r="P48" s="2">
        <v>5.3129999999999997</v>
      </c>
      <c r="Q48" s="2"/>
      <c r="R48" s="2"/>
      <c r="S48" s="2"/>
      <c r="T48" s="2"/>
      <c r="U48" s="2"/>
      <c r="V48" s="2"/>
      <c r="W48" s="2"/>
      <c r="X48" s="2"/>
      <c r="Y48" s="7"/>
      <c r="Z48" s="2"/>
      <c r="AA48" s="15"/>
      <c r="AB48" s="9"/>
      <c r="AC48" s="9"/>
      <c r="AD48" s="9"/>
      <c r="AE48" s="9"/>
      <c r="AF48" s="9"/>
      <c r="AG48" s="9"/>
      <c r="AH48" s="9"/>
      <c r="AI48" s="9"/>
      <c r="AJ48" s="9"/>
      <c r="AK48" s="9"/>
      <c r="AL48" s="9"/>
      <c r="AM48" s="15"/>
      <c r="AN48" s="9"/>
      <c r="AO48" s="9"/>
      <c r="AP48" s="9"/>
      <c r="AQ48" s="9"/>
      <c r="AR48" s="9"/>
      <c r="AS48" s="9"/>
      <c r="AT48" s="9"/>
      <c r="AU48" s="9"/>
      <c r="AV48" s="9"/>
      <c r="AW48" s="9"/>
      <c r="AX48" s="9"/>
      <c r="AY48" s="9"/>
      <c r="AZ48" s="9" t="s">
        <v>140</v>
      </c>
      <c r="BA48" s="9"/>
      <c r="BB48" s="70">
        <f>MAX(BA34,BG34)</f>
        <v>0.13650264856074953</v>
      </c>
      <c r="BC48" s="9"/>
      <c r="BD48" s="86" t="str">
        <f>"Footing is "&amp;IF(BB48&lt;1,"adequate","inadequate")&amp;" for flexure"</f>
        <v>Footing is adequate for flexure</v>
      </c>
      <c r="BE48" s="9"/>
      <c r="BF48" s="9"/>
      <c r="BG48" s="9"/>
      <c r="BH48" s="9"/>
      <c r="BI48" s="9"/>
      <c r="BJ48" s="9"/>
      <c r="BK48" s="9"/>
      <c r="BL48" s="9"/>
    </row>
    <row r="49" spans="1:64" x14ac:dyDescent="0.3">
      <c r="A49" s="2"/>
      <c r="B49" s="2"/>
      <c r="C49" s="2"/>
      <c r="D49" s="2"/>
      <c r="E49" s="2"/>
      <c r="F49" s="2"/>
      <c r="G49" s="2"/>
      <c r="H49" s="2"/>
      <c r="I49" s="2"/>
      <c r="J49" s="2"/>
      <c r="K49" s="2"/>
      <c r="L49" s="2"/>
      <c r="M49" s="2">
        <v>14</v>
      </c>
      <c r="N49" s="2">
        <v>1.6930000000000001</v>
      </c>
      <c r="O49" s="2">
        <v>2.25</v>
      </c>
      <c r="P49" s="2">
        <v>7.65</v>
      </c>
      <c r="Q49" s="2"/>
      <c r="R49" s="2"/>
      <c r="S49" s="2"/>
      <c r="T49" s="2"/>
      <c r="U49" s="2"/>
      <c r="V49" s="2"/>
      <c r="W49" s="2"/>
      <c r="X49" s="2"/>
      <c r="Y49" s="7"/>
      <c r="Z49" s="2"/>
      <c r="AA49" s="15"/>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row>
    <row r="50" spans="1:64" x14ac:dyDescent="0.3">
      <c r="A50" s="2"/>
      <c r="B50" s="2"/>
      <c r="C50" s="2"/>
      <c r="D50" s="2"/>
      <c r="E50" s="2"/>
      <c r="F50" s="2"/>
      <c r="G50" s="2"/>
      <c r="H50" s="2"/>
      <c r="I50" s="2"/>
      <c r="J50" s="2"/>
      <c r="K50" s="2"/>
      <c r="L50" s="2"/>
      <c r="M50" s="2">
        <v>18</v>
      </c>
      <c r="N50" s="2">
        <v>2.2570000000000001</v>
      </c>
      <c r="O50" s="2">
        <v>4</v>
      </c>
      <c r="P50" s="2">
        <v>13.6</v>
      </c>
      <c r="Q50" s="2"/>
      <c r="R50" s="2"/>
      <c r="S50" s="2"/>
      <c r="T50" s="2"/>
      <c r="U50" s="2"/>
      <c r="V50" s="2"/>
      <c r="W50" s="2"/>
      <c r="X50" s="2"/>
      <c r="Y50" s="7"/>
      <c r="Z50" s="2"/>
      <c r="AA50" s="15"/>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2"/>
      <c r="BL50" s="2"/>
    </row>
  </sheetData>
  <mergeCells count="6">
    <mergeCell ref="A2:B2"/>
    <mergeCell ref="C2:D2"/>
    <mergeCell ref="H2:I2"/>
    <mergeCell ref="A3:B3"/>
    <mergeCell ref="C3:D3"/>
    <mergeCell ref="H3:I3"/>
  </mergeCells>
  <conditionalFormatting sqref="B6">
    <cfRule type="cellIs" dxfId="22" priority="20" stopIfTrue="1" operator="lessThan">
      <formula>0</formula>
    </cfRule>
  </conditionalFormatting>
  <conditionalFormatting sqref="B7:B8">
    <cfRule type="cellIs" dxfId="21" priority="21" stopIfTrue="1" operator="lessThan">
      <formula>0</formula>
    </cfRule>
  </conditionalFormatting>
  <conditionalFormatting sqref="C23 C27">
    <cfRule type="cellIs" dxfId="20" priority="22" stopIfTrue="1" operator="equal">
      <formula>"Must be 1 or greater!"</formula>
    </cfRule>
  </conditionalFormatting>
  <conditionalFormatting sqref="N6 N12 N10 N8 T6 T8 T10 T12 T16">
    <cfRule type="cellIs" dxfId="19" priority="23" stopIfTrue="1" operator="equal">
      <formula>"# Bars Error"</formula>
    </cfRule>
  </conditionalFormatting>
  <conditionalFormatting sqref="N12 T12 T30 N34 N3">
    <cfRule type="cellIs" dxfId="18" priority="16" operator="lessThan">
      <formula>1</formula>
    </cfRule>
    <cfRule type="cellIs" dxfId="17" priority="17" operator="greaterThan">
      <formula>1</formula>
    </cfRule>
  </conditionalFormatting>
  <conditionalFormatting sqref="V22:V23">
    <cfRule type="cellIs" dxfId="16" priority="15" stopIfTrue="1" operator="notEqual">
      <formula>"OK"</formula>
    </cfRule>
  </conditionalFormatting>
  <conditionalFormatting sqref="T32">
    <cfRule type="cellIs" dxfId="15" priority="13" operator="lessThan">
      <formula>1</formula>
    </cfRule>
    <cfRule type="cellIs" dxfId="14" priority="14" operator="greaterThan">
      <formula>1</formula>
    </cfRule>
  </conditionalFormatting>
  <conditionalFormatting sqref="T33">
    <cfRule type="cellIs" dxfId="13" priority="11" operator="equal">
      <formula>"PASS"</formula>
    </cfRule>
    <cfRule type="cellIs" dxfId="12" priority="12" operator="equal">
      <formula>"FAIL"</formula>
    </cfRule>
  </conditionalFormatting>
  <conditionalFormatting sqref="BB45:BB48">
    <cfRule type="cellIs" dxfId="11" priority="9" operator="lessThan">
      <formula>1</formula>
    </cfRule>
    <cfRule type="cellIs" dxfId="10" priority="10" operator="greaterThan">
      <formula>1</formula>
    </cfRule>
  </conditionalFormatting>
  <conditionalFormatting sqref="AE37 AQ46 BD36 BJ36 AD14 P3 P12 V12 V30 P34">
    <cfRule type="cellIs" dxfId="9" priority="8" operator="equal">
      <formula>"✓"</formula>
    </cfRule>
  </conditionalFormatting>
  <conditionalFormatting sqref="P7:P9 V7:V9">
    <cfRule type="cellIs" dxfId="8" priority="18" stopIfTrue="1" operator="equal">
      <formula>"OK"</formula>
    </cfRule>
    <cfRule type="cellIs" dxfId="7" priority="19" stopIfTrue="1" operator="notEqual">
      <formula>"OK"</formula>
    </cfRule>
  </conditionalFormatting>
  <conditionalFormatting sqref="AE37 AQ46 BD36 BJ36 AD14 P3 P12 V12 P34 V30">
    <cfRule type="cellIs" dxfId="6" priority="7" operator="equal">
      <formula>"✗"</formula>
    </cfRule>
  </conditionalFormatting>
  <conditionalFormatting sqref="C6:C8">
    <cfRule type="cellIs" dxfId="5" priority="6" operator="equal">
      <formula>"Must be Positive!"</formula>
    </cfRule>
  </conditionalFormatting>
  <conditionalFormatting sqref="V27">
    <cfRule type="cellIs" dxfId="4" priority="5" operator="equal">
      <formula>8</formula>
    </cfRule>
  </conditionalFormatting>
  <conditionalFormatting sqref="B33">
    <cfRule type="expression" dxfId="3" priority="4">
      <formula>OR($B33&gt;0.5*$AB$22)</formula>
    </cfRule>
  </conditionalFormatting>
  <conditionalFormatting sqref="B32">
    <cfRule type="expression" dxfId="2" priority="3">
      <formula>OR($B32&gt;0.5*$AB$22)</formula>
    </cfRule>
  </conditionalFormatting>
  <conditionalFormatting sqref="P22">
    <cfRule type="cellIs" dxfId="1" priority="2" operator="equal">
      <formula>"s&gt;d/2"</formula>
    </cfRule>
  </conditionalFormatting>
  <conditionalFormatting sqref="P29">
    <cfRule type="cellIs" dxfId="0" priority="1" operator="equal">
      <formula>"s&gt;d/2"</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1]!SelectColMark">
                <anchor moveWithCells="1" sizeWithCells="1">
                  <from>
                    <xdr:col>1</xdr:col>
                    <xdr:colOff>38100</xdr:colOff>
                    <xdr:row>3</xdr:row>
                    <xdr:rowOff>38100</xdr:rowOff>
                  </from>
                  <to>
                    <xdr:col>4</xdr:col>
                    <xdr:colOff>0</xdr:colOff>
                    <xdr:row>3</xdr:row>
                    <xdr:rowOff>335280</xdr:rowOff>
                  </to>
                </anchor>
              </controlPr>
            </control>
          </mc:Choice>
        </mc:AlternateContent>
        <mc:AlternateContent xmlns:mc="http://schemas.openxmlformats.org/markup-compatibility/2006">
          <mc:Choice Requires="x14">
            <control shapeId="2050" r:id="rId5" name="Button 2">
              <controlPr defaultSize="0" print="0" autoFill="0" autoPict="0" macro="[1]!PrintAll">
                <anchor moveWithCells="1" sizeWithCells="1">
                  <from>
                    <xdr:col>20</xdr:col>
                    <xdr:colOff>144780</xdr:colOff>
                    <xdr:row>0</xdr:row>
                    <xdr:rowOff>160020</xdr:rowOff>
                  </from>
                  <to>
                    <xdr:col>22</xdr:col>
                    <xdr:colOff>342900</xdr:colOff>
                    <xdr:row>3</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E514-4EBB-48B7-BCDD-75B812555F92}">
  <dimension ref="A1:D7"/>
  <sheetViews>
    <sheetView tabSelected="1" workbookViewId="0">
      <selection activeCell="F17" sqref="F17"/>
    </sheetView>
  </sheetViews>
  <sheetFormatPr defaultRowHeight="14.4" x14ac:dyDescent="0.3"/>
  <cols>
    <col min="1" max="1" width="13.5546875" customWidth="1"/>
    <col min="3" max="3" width="12.6640625" customWidth="1"/>
  </cols>
  <sheetData>
    <row r="1" spans="1:4" x14ac:dyDescent="0.3">
      <c r="A1" s="87" t="s">
        <v>146</v>
      </c>
      <c r="B1" s="87" t="s">
        <v>147</v>
      </c>
      <c r="C1" s="87" t="s">
        <v>148</v>
      </c>
      <c r="D1" s="87" t="s">
        <v>149</v>
      </c>
    </row>
    <row r="2" spans="1:4" x14ac:dyDescent="0.3">
      <c r="A2" t="s">
        <v>150</v>
      </c>
      <c r="D2" s="88">
        <f>Sheet2!N3</f>
        <v>0.1528589993502274</v>
      </c>
    </row>
    <row r="3" spans="1:4" x14ac:dyDescent="0.3">
      <c r="A3" t="s">
        <v>151</v>
      </c>
      <c r="D3" s="88">
        <f>Sheet2!T12</f>
        <v>9.4364403299209684E-2</v>
      </c>
    </row>
    <row r="4" spans="1:4" x14ac:dyDescent="0.3">
      <c r="A4" t="s">
        <v>152</v>
      </c>
      <c r="D4" s="88">
        <f>Sheet2!N12</f>
        <v>0.13650264856074953</v>
      </c>
    </row>
    <row r="5" spans="1:4" x14ac:dyDescent="0.3">
      <c r="A5" t="s">
        <v>153</v>
      </c>
      <c r="D5" s="88">
        <f>Sheet2!N34</f>
        <v>2.6399337039777676E-2</v>
      </c>
    </row>
    <row r="6" spans="1:4" x14ac:dyDescent="0.3">
      <c r="A6" t="s">
        <v>154</v>
      </c>
      <c r="D6" s="88">
        <f>Sheet2!T30</f>
        <v>8.5209126563192947E-2</v>
      </c>
    </row>
    <row r="7" spans="1:4" x14ac:dyDescent="0.3">
      <c r="A7" t="s">
        <v>155</v>
      </c>
      <c r="D7" s="89" t="str">
        <f>Sheet2!T33</f>
        <v>PASS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vt:i4>
      </vt:variant>
    </vt:vector>
  </HeadingPairs>
  <TitlesOfParts>
    <vt:vector size="24" baseType="lpstr">
      <vt:lpstr>viktor-input-sheet</vt:lpstr>
      <vt:lpstr>Sheet2</vt:lpstr>
      <vt:lpstr>viktor-output-sheet</vt:lpstr>
      <vt:lpstr>Sheet2!along</vt:lpstr>
      <vt:lpstr>Sheet2!ashort</vt:lpstr>
      <vt:lpstr>Sheet2!bo</vt:lpstr>
      <vt:lpstr>Sheet2!cover</vt:lpstr>
      <vt:lpstr>Sheet2!d</vt:lpstr>
      <vt:lpstr>Sheet2!fc</vt:lpstr>
      <vt:lpstr>Sheet2!h</vt:lpstr>
      <vt:lpstr>Sheet2!PDL</vt:lpstr>
      <vt:lpstr>'viktor-input-sheet'!PDL</vt:lpstr>
      <vt:lpstr>Sheet2!phiblong</vt:lpstr>
      <vt:lpstr>Sheet2!phibshort</vt:lpstr>
      <vt:lpstr>Sheet2!phiv</vt:lpstr>
      <vt:lpstr>Sheet2!PLL</vt:lpstr>
      <vt:lpstr>'viktor-input-sheet'!PLL</vt:lpstr>
      <vt:lpstr>Sheet2!Pu</vt:lpstr>
      <vt:lpstr>Sheet2!qu</vt:lpstr>
      <vt:lpstr>Sheet2!rhomin</vt:lpstr>
      <vt:lpstr>Sheet2!Xcol</vt:lpstr>
      <vt:lpstr>Sheet2!Xftg</vt:lpstr>
      <vt:lpstr>Sheet2!Ycol</vt:lpstr>
      <vt:lpstr>Sheet2!Yftg</vt:lpstr>
    </vt:vector>
  </TitlesOfParts>
  <Company>MKA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eng</dc:creator>
  <cp:lastModifiedBy>z eng</cp:lastModifiedBy>
  <dcterms:created xsi:type="dcterms:W3CDTF">2022-07-02T01:57:14Z</dcterms:created>
  <dcterms:modified xsi:type="dcterms:W3CDTF">2022-07-17T17:26:48Z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og_LastTime">
    <vt:filetime>2022-07-17T01:46:46Z</vt:filetime>
  </property>
  <property fmtid="{D5CDD505-2E9C-101B-9397-08002B2CF9AE}" pid="3" name="Log_TotalTime">
    <vt:i4>0</vt:i4>
  </property>
  <property fmtid="{D5CDD505-2E9C-101B-9397-08002B2CF9AE}" pid="4" name="Log_Title">
    <vt:lpwstr>Spread Footing Design Tool.xlsx</vt:lpwstr>
  </property>
</Properties>
</file>