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8.xml" ContentType="application/vnd.openxmlformats-officedocument.drawing+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https://d.docs.live.net/798470eca6465773/Finance/"/>
    </mc:Choice>
  </mc:AlternateContent>
  <xr:revisionPtr revIDLastSave="2285" documentId="8_{B9600C31-DFBC-42F4-BE18-FEC083FA3047}" xr6:coauthVersionLast="47" xr6:coauthVersionMax="47" xr10:uidLastSave="{8B869F2D-F3FA-49BC-B6C4-CC8773E45516}"/>
  <bookViews>
    <workbookView xWindow="-108" yWindow="-108" windowWidth="23256" windowHeight="12456" tabRatio="922" xr2:uid="{00000000-000D-0000-FFFF-FFFF00000000}"/>
  </bookViews>
  <sheets>
    <sheet name="Data Sheet" sheetId="6" r:id="rId1"/>
    <sheet name="Historical FS" sheetId="7" r:id="rId2"/>
    <sheet name="Ratio Analysis" sheetId="11" r:id="rId3"/>
    <sheet name="Forecasting" sheetId="12" r:id="rId4"/>
    <sheet name="Dupont Analysis" sheetId="32" r:id="rId5"/>
    <sheet name="Common Size State." sheetId="13" r:id="rId6"/>
    <sheet name="ROIC" sheetId="20" r:id="rId7"/>
    <sheet name="WACC" sheetId="17" r:id="rId8"/>
    <sheet name="Terminal Value" sheetId="27" r:id="rId9"/>
    <sheet name="Footbal Feild Analysis" sheetId="33" r:id="rId10"/>
    <sheet name="Peers" sheetId="28" r:id="rId11"/>
    <sheet name="VAR" sheetId="29" r:id="rId12"/>
    <sheet name="Monte Carlo" sheetId="30" r:id="rId13"/>
    <sheet name="Rough" sheetId="15" r:id="rId14"/>
    <sheet name="Report" sheetId="14" r:id="rId15"/>
    <sheet name="Raw CF Data" sheetId="10" r:id="rId16"/>
    <sheet name="Beta - Comp." sheetId="24" r:id="rId17"/>
    <sheet name="DCF" sheetId="21" r:id="rId18"/>
    <sheet name="Return on Market(Rm)" sheetId="23" r:id="rId19"/>
    <sheet name="Regression Beta - Cipla" sheetId="26" r:id="rId20"/>
  </sheets>
  <externalReferences>
    <externalReference r:id="rId21"/>
  </externalReferences>
  <definedNames>
    <definedName name="_xlnm._FilterDatabase" localSheetId="11" hidden="1">VAR!$B$4:$E$342</definedName>
    <definedName name="_xlchart.v1.0" hidden="1">VAR!$E$5:$E$53</definedName>
    <definedName name="_xlchart.v1.1" hidden="1">'Monte Carlo'!$G$5:$G$53</definedName>
    <definedName name="New">#REF!</definedName>
    <definedName name="UPDATE">'Data Sheet'!$E$1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8" i="27" l="1"/>
  <c r="H8" i="27"/>
  <c r="G7" i="27"/>
  <c r="H7" i="27"/>
  <c r="I7" i="27" s="1"/>
  <c r="J7" i="27" s="1"/>
  <c r="E23" i="27"/>
  <c r="C34" i="27" l="1"/>
  <c r="F8" i="27"/>
  <c r="H31" i="20"/>
  <c r="I31" i="20"/>
  <c r="J31" i="20"/>
  <c r="K31" i="20"/>
  <c r="G31" i="20"/>
  <c r="G30" i="20"/>
  <c r="D25" i="17"/>
  <c r="E10" i="17"/>
  <c r="E42" i="32"/>
  <c r="F42" i="32"/>
  <c r="G42" i="32"/>
  <c r="H42" i="32"/>
  <c r="I42" i="32"/>
  <c r="J42" i="32"/>
  <c r="K42" i="32"/>
  <c r="L42" i="32"/>
  <c r="D42" i="32"/>
  <c r="E38" i="32"/>
  <c r="F38" i="32"/>
  <c r="G38" i="32"/>
  <c r="H38" i="32"/>
  <c r="I38" i="32"/>
  <c r="J38" i="32"/>
  <c r="K38" i="32"/>
  <c r="L38" i="32"/>
  <c r="E39" i="32"/>
  <c r="F39" i="32"/>
  <c r="G39" i="32"/>
  <c r="H39" i="32"/>
  <c r="I39" i="32"/>
  <c r="J39" i="32"/>
  <c r="K39" i="32"/>
  <c r="L39" i="32"/>
  <c r="E40" i="32"/>
  <c r="F40" i="32"/>
  <c r="G40" i="32"/>
  <c r="H40" i="32"/>
  <c r="I40" i="32"/>
  <c r="J40" i="32"/>
  <c r="K40" i="32"/>
  <c r="L40" i="32"/>
  <c r="D39" i="32"/>
  <c r="D38" i="32"/>
  <c r="D34" i="32"/>
  <c r="E35" i="32"/>
  <c r="F35" i="32"/>
  <c r="G35" i="32"/>
  <c r="H35" i="32"/>
  <c r="I35" i="32"/>
  <c r="J35" i="32"/>
  <c r="K35" i="32"/>
  <c r="L35" i="32"/>
  <c r="E36" i="32"/>
  <c r="F36" i="32"/>
  <c r="G36" i="32"/>
  <c r="H36" i="32"/>
  <c r="I36" i="32"/>
  <c r="J36" i="32"/>
  <c r="K36" i="32"/>
  <c r="L36" i="32"/>
  <c r="D35" i="32"/>
  <c r="D40" i="32"/>
  <c r="E28" i="32"/>
  <c r="F28" i="32"/>
  <c r="G28" i="32"/>
  <c r="G34" i="32" s="1"/>
  <c r="H28" i="32"/>
  <c r="H30" i="32" s="1"/>
  <c r="I28" i="32"/>
  <c r="J28" i="32"/>
  <c r="K28" i="32"/>
  <c r="K34" i="32" s="1"/>
  <c r="L28" i="32"/>
  <c r="L34" i="32" s="1"/>
  <c r="E29" i="32"/>
  <c r="F29" i="32"/>
  <c r="G29" i="32"/>
  <c r="H29" i="32"/>
  <c r="I29" i="32"/>
  <c r="J29" i="32"/>
  <c r="K29" i="32"/>
  <c r="L29" i="32"/>
  <c r="D29" i="32"/>
  <c r="D30" i="32" s="1"/>
  <c r="D28" i="32"/>
  <c r="C35" i="32"/>
  <c r="J34" i="32"/>
  <c r="I34" i="32"/>
  <c r="F34" i="32"/>
  <c r="E34" i="32"/>
  <c r="L33" i="32"/>
  <c r="K33" i="32"/>
  <c r="J33" i="32"/>
  <c r="I33" i="32"/>
  <c r="H33" i="32"/>
  <c r="G33" i="32"/>
  <c r="F33" i="32"/>
  <c r="E33" i="32"/>
  <c r="D33" i="32"/>
  <c r="E27" i="32"/>
  <c r="F27" i="32"/>
  <c r="G27" i="32"/>
  <c r="H27" i="32"/>
  <c r="I27" i="32"/>
  <c r="J27" i="32"/>
  <c r="K27" i="32"/>
  <c r="L27" i="32"/>
  <c r="D27" i="32"/>
  <c r="I30" i="32"/>
  <c r="E30" i="32"/>
  <c r="K30" i="32"/>
  <c r="J30" i="32"/>
  <c r="F30" i="32"/>
  <c r="E16" i="32"/>
  <c r="F16" i="32"/>
  <c r="G16" i="32"/>
  <c r="H16" i="32"/>
  <c r="I16" i="32"/>
  <c r="J16" i="32"/>
  <c r="K16" i="32"/>
  <c r="L16" i="32"/>
  <c r="D16" i="32"/>
  <c r="D14" i="32"/>
  <c r="E14" i="32"/>
  <c r="F14" i="32"/>
  <c r="G14" i="32"/>
  <c r="H14" i="32"/>
  <c r="I14" i="32"/>
  <c r="J14" i="32"/>
  <c r="K14" i="32"/>
  <c r="L14" i="32"/>
  <c r="C13" i="32"/>
  <c r="D13" i="32"/>
  <c r="E13" i="32"/>
  <c r="F13" i="32"/>
  <c r="G13" i="32"/>
  <c r="H13" i="32"/>
  <c r="I13" i="32"/>
  <c r="J13" i="32"/>
  <c r="K13" i="32"/>
  <c r="L13" i="32"/>
  <c r="E8" i="32"/>
  <c r="F8" i="32"/>
  <c r="G8" i="32"/>
  <c r="H8" i="32"/>
  <c r="I8" i="32"/>
  <c r="J8" i="32"/>
  <c r="K8" i="32"/>
  <c r="L8" i="32"/>
  <c r="D8" i="32"/>
  <c r="D7" i="32"/>
  <c r="E7" i="32"/>
  <c r="F7" i="32"/>
  <c r="G7" i="32"/>
  <c r="G21" i="32" s="1"/>
  <c r="G22" i="32" s="1"/>
  <c r="H7" i="32"/>
  <c r="I7" i="32"/>
  <c r="J7" i="32"/>
  <c r="K7" i="32"/>
  <c r="L7" i="32"/>
  <c r="E12" i="32"/>
  <c r="F12" i="32"/>
  <c r="G12" i="32"/>
  <c r="H12" i="32"/>
  <c r="I12" i="32"/>
  <c r="J12" i="32"/>
  <c r="K12" i="32"/>
  <c r="L12" i="32"/>
  <c r="D12" i="32"/>
  <c r="E6" i="32"/>
  <c r="F6" i="32"/>
  <c r="G6" i="32"/>
  <c r="H6" i="32"/>
  <c r="I6" i="32"/>
  <c r="J6" i="32"/>
  <c r="K6" i="32"/>
  <c r="L6" i="32"/>
  <c r="D6" i="32"/>
  <c r="L17" i="32"/>
  <c r="E20" i="32"/>
  <c r="F20" i="32"/>
  <c r="G20" i="32"/>
  <c r="H20" i="32"/>
  <c r="I20" i="32"/>
  <c r="J20" i="32"/>
  <c r="K20" i="32"/>
  <c r="L20" i="32"/>
  <c r="E21" i="32"/>
  <c r="F21" i="32"/>
  <c r="H21" i="32"/>
  <c r="I21" i="32"/>
  <c r="J21" i="32"/>
  <c r="L21" i="32"/>
  <c r="D20" i="32"/>
  <c r="D21" i="32"/>
  <c r="B21" i="32"/>
  <c r="B20" i="32"/>
  <c r="I22" i="32"/>
  <c r="J22" i="32"/>
  <c r="F22" i="32"/>
  <c r="D17" i="32"/>
  <c r="E17" i="32"/>
  <c r="F17" i="32"/>
  <c r="G17" i="32"/>
  <c r="H17" i="32"/>
  <c r="I17" i="32"/>
  <c r="J17" i="32"/>
  <c r="K17" i="32"/>
  <c r="F11" i="32"/>
  <c r="D5" i="32"/>
  <c r="D11" i="32" s="1"/>
  <c r="E5" i="32"/>
  <c r="E11" i="32" s="1"/>
  <c r="F5" i="32"/>
  <c r="G5" i="32"/>
  <c r="G11" i="32" s="1"/>
  <c r="H5" i="32"/>
  <c r="H11" i="32" s="1"/>
  <c r="I5" i="32"/>
  <c r="I11" i="32" s="1"/>
  <c r="J5" i="32"/>
  <c r="J11" i="32" s="1"/>
  <c r="K5" i="32"/>
  <c r="K11" i="32" s="1"/>
  <c r="L5" i="32"/>
  <c r="L11" i="32" s="1"/>
  <c r="G6" i="30"/>
  <c r="G7" i="30"/>
  <c r="G8" i="30"/>
  <c r="G9" i="30"/>
  <c r="G10" i="30"/>
  <c r="G11" i="30"/>
  <c r="G12" i="30"/>
  <c r="G13" i="30"/>
  <c r="G14" i="30"/>
  <c r="G15" i="30"/>
  <c r="G16" i="30"/>
  <c r="G17" i="30"/>
  <c r="G18" i="30"/>
  <c r="G19" i="30"/>
  <c r="G20" i="30"/>
  <c r="G21" i="30"/>
  <c r="G22" i="30"/>
  <c r="G23" i="30"/>
  <c r="G24" i="30"/>
  <c r="G25" i="30"/>
  <c r="G26" i="30"/>
  <c r="G27" i="30"/>
  <c r="G28" i="30"/>
  <c r="G29" i="30"/>
  <c r="G30" i="30"/>
  <c r="G31" i="30"/>
  <c r="G32" i="30"/>
  <c r="G33" i="30"/>
  <c r="G34" i="30"/>
  <c r="G35" i="30"/>
  <c r="G36" i="30"/>
  <c r="G37" i="30"/>
  <c r="G38" i="30"/>
  <c r="G39" i="30"/>
  <c r="G40" i="30"/>
  <c r="G41" i="30"/>
  <c r="G42" i="30"/>
  <c r="G43" i="30"/>
  <c r="G44" i="30"/>
  <c r="G45" i="30"/>
  <c r="G46" i="30"/>
  <c r="G47" i="30"/>
  <c r="G48" i="30"/>
  <c r="G49" i="30"/>
  <c r="G50" i="30"/>
  <c r="G51" i="30"/>
  <c r="G52" i="30"/>
  <c r="G53" i="30"/>
  <c r="G5" i="30"/>
  <c r="I17" i="29"/>
  <c r="J17" i="29" s="1"/>
  <c r="K17" i="29" s="1"/>
  <c r="H17" i="29"/>
  <c r="H15" i="29"/>
  <c r="H16" i="29"/>
  <c r="H14" i="29"/>
  <c r="I15" i="29"/>
  <c r="J15" i="29" s="1"/>
  <c r="K15" i="29" s="1"/>
  <c r="I16" i="29"/>
  <c r="J16" i="29" s="1"/>
  <c r="K16" i="29" s="1"/>
  <c r="I14" i="29"/>
  <c r="J14" i="29" s="1"/>
  <c r="K14" i="29" s="1"/>
  <c r="K9" i="29"/>
  <c r="K8" i="29"/>
  <c r="K7" i="29"/>
  <c r="K6" i="29"/>
  <c r="D53" i="29"/>
  <c r="D52" i="29"/>
  <c r="D14" i="29"/>
  <c r="D28" i="29"/>
  <c r="D32" i="29"/>
  <c r="D31" i="29"/>
  <c r="D49" i="29"/>
  <c r="D15" i="29"/>
  <c r="D6" i="29"/>
  <c r="D19" i="29"/>
  <c r="D22" i="29"/>
  <c r="D33" i="29"/>
  <c r="D36" i="29"/>
  <c r="D47" i="29"/>
  <c r="D48" i="29"/>
  <c r="D41" i="29"/>
  <c r="D23" i="29"/>
  <c r="D16" i="29"/>
  <c r="D20" i="29"/>
  <c r="D18" i="29"/>
  <c r="D50" i="29"/>
  <c r="D30" i="29"/>
  <c r="D44" i="29"/>
  <c r="D9" i="29"/>
  <c r="D40" i="29"/>
  <c r="D35" i="29"/>
  <c r="D43" i="29"/>
  <c r="D17" i="29"/>
  <c r="D51" i="29"/>
  <c r="D24" i="29"/>
  <c r="D27" i="29"/>
  <c r="D46" i="29"/>
  <c r="D29" i="29"/>
  <c r="D25" i="29"/>
  <c r="D8" i="29"/>
  <c r="D26" i="29"/>
  <c r="D45" i="29"/>
  <c r="D34" i="29"/>
  <c r="D10" i="29"/>
  <c r="D38" i="29"/>
  <c r="D42" i="29"/>
  <c r="D13" i="29"/>
  <c r="D37" i="29"/>
  <c r="D7" i="29"/>
  <c r="D39" i="29"/>
  <c r="D11" i="29"/>
  <c r="D5" i="29"/>
  <c r="D21" i="29"/>
  <c r="D12" i="29"/>
  <c r="D7" i="28"/>
  <c r="L16" i="28"/>
  <c r="K16" i="28"/>
  <c r="J16" i="28"/>
  <c r="G16" i="28"/>
  <c r="E16" i="28"/>
  <c r="D16" i="28"/>
  <c r="B16" i="28"/>
  <c r="L15" i="28"/>
  <c r="K15" i="28"/>
  <c r="J15" i="28"/>
  <c r="G15" i="28"/>
  <c r="E15" i="28"/>
  <c r="D15" i="28"/>
  <c r="B15" i="28"/>
  <c r="L14" i="28"/>
  <c r="K14" i="28"/>
  <c r="J14" i="28"/>
  <c r="G14" i="28"/>
  <c r="E14" i="28"/>
  <c r="D14" i="28"/>
  <c r="B14" i="28"/>
  <c r="L13" i="28"/>
  <c r="K13" i="28"/>
  <c r="J13" i="28"/>
  <c r="G13" i="28"/>
  <c r="E13" i="28"/>
  <c r="D13" i="28"/>
  <c r="B13" i="28"/>
  <c r="L12" i="28"/>
  <c r="K12" i="28"/>
  <c r="J12" i="28"/>
  <c r="G12" i="28"/>
  <c r="E12" i="28"/>
  <c r="D12" i="28"/>
  <c r="B12" i="28"/>
  <c r="L11" i="28"/>
  <c r="K11" i="28"/>
  <c r="J11" i="28"/>
  <c r="G11" i="28"/>
  <c r="E11" i="28"/>
  <c r="D11" i="28"/>
  <c r="B11" i="28"/>
  <c r="L10" i="28"/>
  <c r="K10" i="28"/>
  <c r="J10" i="28"/>
  <c r="G10" i="28"/>
  <c r="E10" i="28"/>
  <c r="D10" i="28"/>
  <c r="B10" i="28"/>
  <c r="L9" i="28"/>
  <c r="K9" i="28"/>
  <c r="J9" i="28"/>
  <c r="G9" i="28"/>
  <c r="E9" i="28"/>
  <c r="D9" i="28"/>
  <c r="B9" i="28"/>
  <c r="L8" i="28"/>
  <c r="K8" i="28"/>
  <c r="J8" i="28"/>
  <c r="G8" i="28"/>
  <c r="E8" i="28"/>
  <c r="D8" i="28"/>
  <c r="B8" i="28"/>
  <c r="L7" i="28"/>
  <c r="K7" i="28"/>
  <c r="J7" i="28"/>
  <c r="G7" i="28"/>
  <c r="P28" i="28" s="1"/>
  <c r="E7" i="28"/>
  <c r="N30" i="28" s="1"/>
  <c r="D36" i="32" l="1"/>
  <c r="G30" i="32"/>
  <c r="L30" i="32"/>
  <c r="H34" i="32"/>
  <c r="K21" i="32"/>
  <c r="K22" i="32"/>
  <c r="H22" i="32"/>
  <c r="E22" i="32"/>
  <c r="L22" i="32"/>
  <c r="F7" i="28"/>
  <c r="P7" i="28" s="1"/>
  <c r="D22" i="32"/>
  <c r="G18" i="32"/>
  <c r="G24" i="32" s="1"/>
  <c r="K18" i="32"/>
  <c r="L18" i="32"/>
  <c r="H18" i="32"/>
  <c r="D18" i="32"/>
  <c r="F18" i="32"/>
  <c r="I18" i="32"/>
  <c r="I24" i="32" s="1"/>
  <c r="E18" i="32"/>
  <c r="E24" i="32" s="1"/>
  <c r="K25" i="30"/>
  <c r="K22" i="30"/>
  <c r="K24" i="30"/>
  <c r="K23" i="30"/>
  <c r="M16" i="30"/>
  <c r="M17" i="30"/>
  <c r="M15" i="30"/>
  <c r="M14" i="30"/>
  <c r="F9" i="28"/>
  <c r="H9" i="28" s="1"/>
  <c r="F12" i="28"/>
  <c r="P12" i="28" s="1"/>
  <c r="F15" i="28"/>
  <c r="P15" i="28" s="1"/>
  <c r="F10" i="28"/>
  <c r="P10" i="28" s="1"/>
  <c r="F14" i="28"/>
  <c r="P14" i="28" s="1"/>
  <c r="F13" i="28"/>
  <c r="P13" i="28" s="1"/>
  <c r="F8" i="28"/>
  <c r="P8" i="28" s="1"/>
  <c r="F16" i="28"/>
  <c r="P16" i="28" s="1"/>
  <c r="F11" i="28"/>
  <c r="P11" i="28" s="1"/>
  <c r="P9" i="28"/>
  <c r="H8" i="28"/>
  <c r="H7" i="28"/>
  <c r="O30" i="28"/>
  <c r="N28" i="28"/>
  <c r="P30" i="28"/>
  <c r="O28" i="28"/>
  <c r="H15" i="28" l="1"/>
  <c r="H12" i="28"/>
  <c r="H24" i="32"/>
  <c r="L24" i="32"/>
  <c r="D24" i="32"/>
  <c r="H13" i="28"/>
  <c r="H11" i="28"/>
  <c r="O11" i="28" s="1"/>
  <c r="H14" i="28"/>
  <c r="O14" i="28" s="1"/>
  <c r="K24" i="32"/>
  <c r="F24" i="32"/>
  <c r="J18" i="32"/>
  <c r="H10" i="28"/>
  <c r="N10" i="28" s="1"/>
  <c r="H16" i="28"/>
  <c r="O7" i="28"/>
  <c r="N7" i="28"/>
  <c r="O12" i="28"/>
  <c r="N12" i="28"/>
  <c r="O15" i="28"/>
  <c r="N15" i="28"/>
  <c r="N14" i="28"/>
  <c r="O9" i="28"/>
  <c r="N9" i="28"/>
  <c r="P21" i="28"/>
  <c r="P29" i="28" s="1"/>
  <c r="P18" i="28"/>
  <c r="P22" i="28"/>
  <c r="P23" i="28"/>
  <c r="P20" i="28"/>
  <c r="P19" i="28"/>
  <c r="N11" i="28"/>
  <c r="O13" i="28"/>
  <c r="N13" i="28"/>
  <c r="O16" i="28"/>
  <c r="N16" i="28"/>
  <c r="N8" i="28"/>
  <c r="O8" i="28"/>
  <c r="J24" i="32" l="1"/>
  <c r="O10" i="28"/>
  <c r="O20" i="28" s="1"/>
  <c r="N23" i="28"/>
  <c r="N19" i="28"/>
  <c r="N22" i="28"/>
  <c r="N18" i="28"/>
  <c r="N20" i="28"/>
  <c r="N21" i="28"/>
  <c r="P31" i="28"/>
  <c r="P27" i="28"/>
  <c r="O21" i="28"/>
  <c r="O22" i="28"/>
  <c r="O23" i="28"/>
  <c r="O18" i="28"/>
  <c r="O19" i="28" l="1"/>
  <c r="P33" i="28"/>
  <c r="H5" i="33"/>
  <c r="O27" i="28"/>
  <c r="O29" i="28" s="1"/>
  <c r="O31" i="28" s="1"/>
  <c r="N27" i="28"/>
  <c r="N29" i="28" s="1"/>
  <c r="N31" i="28" s="1"/>
  <c r="N33" i="28" s="1"/>
  <c r="O33" i="28" l="1"/>
  <c r="F5" i="33"/>
  <c r="J33" i="17"/>
  <c r="C23" i="27" l="1"/>
  <c r="C33" i="27"/>
  <c r="C39" i="27"/>
  <c r="C36" i="27"/>
  <c r="H34" i="20"/>
  <c r="I34" i="20"/>
  <c r="J34" i="20"/>
  <c r="K34" i="20"/>
  <c r="G34" i="20"/>
  <c r="H30" i="20"/>
  <c r="I30" i="20"/>
  <c r="J30" i="20"/>
  <c r="K30" i="20"/>
  <c r="F6" i="27"/>
  <c r="G4" i="27"/>
  <c r="F4" i="27"/>
  <c r="I9" i="27"/>
  <c r="H9" i="27"/>
  <c r="G5" i="27"/>
  <c r="H5" i="27" s="1"/>
  <c r="I5" i="27" s="1"/>
  <c r="J5" i="27" s="1"/>
  <c r="K5" i="27" s="1"/>
  <c r="G6" i="27" l="1"/>
  <c r="H4" i="27"/>
  <c r="J9" i="27"/>
  <c r="K9" i="27" s="1"/>
  <c r="I4" i="27" l="1"/>
  <c r="H6" i="27"/>
  <c r="J4" i="27" l="1"/>
  <c r="I6" i="27"/>
  <c r="J6" i="27" l="1"/>
  <c r="K4" i="27"/>
  <c r="K6" i="27" s="1"/>
  <c r="K8" i="27" s="1"/>
  <c r="C21" i="27" s="1"/>
  <c r="C34" i="6" l="1"/>
  <c r="D34" i="6"/>
  <c r="E34" i="6"/>
  <c r="F34" i="6"/>
  <c r="G34" i="6"/>
  <c r="H34" i="6"/>
  <c r="I34" i="6"/>
  <c r="J34" i="6"/>
  <c r="K34" i="6"/>
  <c r="B34" i="6"/>
  <c r="H20" i="20"/>
  <c r="I20" i="20"/>
  <c r="J20" i="20"/>
  <c r="K20" i="20"/>
  <c r="H21" i="20"/>
  <c r="I21" i="20"/>
  <c r="J21" i="20"/>
  <c r="K21" i="20"/>
  <c r="H22" i="20"/>
  <c r="I22" i="20"/>
  <c r="J22" i="20"/>
  <c r="K22" i="20"/>
  <c r="H23" i="20"/>
  <c r="I23" i="20"/>
  <c r="J23" i="20"/>
  <c r="K23" i="20"/>
  <c r="H24" i="20"/>
  <c r="I24" i="20"/>
  <c r="J24" i="20"/>
  <c r="K24" i="20"/>
  <c r="H25" i="20"/>
  <c r="I25" i="20"/>
  <c r="J25" i="20"/>
  <c r="K25" i="20"/>
  <c r="H26" i="20"/>
  <c r="I26" i="20"/>
  <c r="J26" i="20"/>
  <c r="K26" i="20"/>
  <c r="H27" i="20"/>
  <c r="I27" i="20"/>
  <c r="J27" i="20"/>
  <c r="K27" i="20"/>
  <c r="H28" i="20"/>
  <c r="I28" i="20"/>
  <c r="J28" i="20"/>
  <c r="K28" i="20"/>
  <c r="G27" i="20"/>
  <c r="G28" i="20"/>
  <c r="G21" i="20"/>
  <c r="G22" i="20"/>
  <c r="G23" i="20"/>
  <c r="G24" i="20"/>
  <c r="G25" i="20"/>
  <c r="G26" i="20"/>
  <c r="G20" i="20"/>
  <c r="H14" i="20"/>
  <c r="I14" i="20"/>
  <c r="J14" i="20"/>
  <c r="K14" i="20"/>
  <c r="G14" i="20"/>
  <c r="H12" i="20"/>
  <c r="I12" i="20"/>
  <c r="J12" i="20"/>
  <c r="K12" i="20"/>
  <c r="H13" i="20"/>
  <c r="I13" i="20"/>
  <c r="J13" i="20"/>
  <c r="K13" i="20"/>
  <c r="G13" i="20"/>
  <c r="G12" i="20"/>
  <c r="H5" i="20"/>
  <c r="I5" i="20"/>
  <c r="J5" i="20"/>
  <c r="K5" i="20"/>
  <c r="H6" i="20"/>
  <c r="I6" i="20"/>
  <c r="J6" i="20"/>
  <c r="K6" i="20"/>
  <c r="H7" i="20"/>
  <c r="I7" i="20"/>
  <c r="J7" i="20"/>
  <c r="K7" i="20"/>
  <c r="H8" i="20"/>
  <c r="I8" i="20"/>
  <c r="J8" i="20"/>
  <c r="K8" i="20"/>
  <c r="G8" i="20"/>
  <c r="G7" i="20"/>
  <c r="G6" i="20"/>
  <c r="G5" i="20"/>
  <c r="M7" i="26"/>
  <c r="G9" i="26"/>
  <c r="G10" i="26"/>
  <c r="G11" i="26"/>
  <c r="G12" i="26"/>
  <c r="G13" i="26"/>
  <c r="G14" i="26"/>
  <c r="G15" i="26"/>
  <c r="G16" i="26"/>
  <c r="G17" i="26"/>
  <c r="G18" i="26"/>
  <c r="G19" i="26"/>
  <c r="G20" i="26"/>
  <c r="G21" i="26"/>
  <c r="G22" i="26"/>
  <c r="G23" i="26"/>
  <c r="G24" i="26"/>
  <c r="G25" i="26"/>
  <c r="G26" i="26"/>
  <c r="G27" i="26"/>
  <c r="G28" i="26"/>
  <c r="G29" i="26"/>
  <c r="G30" i="26"/>
  <c r="G31" i="26"/>
  <c r="G32" i="26"/>
  <c r="G33" i="26"/>
  <c r="G34" i="26"/>
  <c r="G35" i="26"/>
  <c r="G36" i="26"/>
  <c r="G37" i="26"/>
  <c r="G38" i="26"/>
  <c r="G39" i="26"/>
  <c r="G40" i="26"/>
  <c r="G41" i="26"/>
  <c r="G42" i="26"/>
  <c r="G43" i="26"/>
  <c r="G44" i="26"/>
  <c r="G45" i="26"/>
  <c r="G46" i="26"/>
  <c r="G47" i="26"/>
  <c r="G48" i="26"/>
  <c r="G49" i="26"/>
  <c r="G50" i="26"/>
  <c r="G51" i="26"/>
  <c r="G52" i="26"/>
  <c r="G53" i="26"/>
  <c r="G54" i="26"/>
  <c r="G55" i="26"/>
  <c r="G56" i="26"/>
  <c r="G57" i="26"/>
  <c r="G58" i="26"/>
  <c r="G59" i="26"/>
  <c r="G60" i="26"/>
  <c r="G61" i="26"/>
  <c r="G62" i="26"/>
  <c r="G63" i="26"/>
  <c r="G64" i="26"/>
  <c r="G65" i="26"/>
  <c r="G66" i="26"/>
  <c r="G67" i="26"/>
  <c r="G68" i="26"/>
  <c r="G69" i="26"/>
  <c r="G70" i="26"/>
  <c r="G71" i="26"/>
  <c r="G72" i="26"/>
  <c r="G73" i="26"/>
  <c r="G74" i="26"/>
  <c r="G75" i="26"/>
  <c r="G76" i="26"/>
  <c r="G77" i="26"/>
  <c r="G78" i="26"/>
  <c r="G79" i="26"/>
  <c r="G80" i="26"/>
  <c r="G81" i="26"/>
  <c r="G82" i="26"/>
  <c r="G83" i="26"/>
  <c r="G84" i="26"/>
  <c r="G85" i="26"/>
  <c r="G86" i="26"/>
  <c r="G87" i="26"/>
  <c r="G88" i="26"/>
  <c r="G89" i="26"/>
  <c r="G8" i="26"/>
  <c r="D9" i="26"/>
  <c r="D10" i="26"/>
  <c r="D11" i="26"/>
  <c r="D12" i="26"/>
  <c r="D13" i="26"/>
  <c r="D14" i="26"/>
  <c r="D15" i="26"/>
  <c r="D16" i="26"/>
  <c r="D17" i="26"/>
  <c r="D18" i="26"/>
  <c r="D19" i="26"/>
  <c r="D20" i="26"/>
  <c r="D21" i="26"/>
  <c r="D22" i="26"/>
  <c r="D23" i="26"/>
  <c r="D24" i="26"/>
  <c r="D25" i="26"/>
  <c r="D26" i="26"/>
  <c r="D27" i="26"/>
  <c r="D28" i="26"/>
  <c r="D29" i="26"/>
  <c r="D30" i="26"/>
  <c r="D31" i="26"/>
  <c r="D32" i="26"/>
  <c r="D33" i="26"/>
  <c r="D34" i="26"/>
  <c r="D35" i="26"/>
  <c r="D36" i="26"/>
  <c r="D37" i="26"/>
  <c r="D38" i="26"/>
  <c r="D39" i="26"/>
  <c r="D40" i="26"/>
  <c r="D41" i="26"/>
  <c r="D42" i="26"/>
  <c r="D43" i="26"/>
  <c r="D44" i="26"/>
  <c r="D45" i="26"/>
  <c r="D46" i="26"/>
  <c r="D47" i="26"/>
  <c r="D48" i="26"/>
  <c r="D49" i="26"/>
  <c r="D50" i="26"/>
  <c r="D51" i="26"/>
  <c r="D52" i="26"/>
  <c r="D53" i="26"/>
  <c r="D54" i="26"/>
  <c r="D55" i="26"/>
  <c r="D56" i="26"/>
  <c r="D57" i="26"/>
  <c r="D58" i="26"/>
  <c r="D59" i="26"/>
  <c r="D60" i="26"/>
  <c r="D61" i="26"/>
  <c r="D62" i="26"/>
  <c r="D63" i="26"/>
  <c r="D64" i="26"/>
  <c r="D65" i="26"/>
  <c r="D66" i="26"/>
  <c r="D67" i="26"/>
  <c r="D68" i="26"/>
  <c r="D69" i="26"/>
  <c r="D70" i="26"/>
  <c r="D71" i="26"/>
  <c r="D72" i="26"/>
  <c r="D73" i="26"/>
  <c r="D74" i="26"/>
  <c r="D75" i="26"/>
  <c r="D76" i="26"/>
  <c r="D77" i="26"/>
  <c r="D78" i="26"/>
  <c r="D79" i="26"/>
  <c r="D80" i="26"/>
  <c r="D81" i="26"/>
  <c r="D82" i="26"/>
  <c r="D83" i="26"/>
  <c r="D84" i="26"/>
  <c r="D85" i="26"/>
  <c r="D86" i="26"/>
  <c r="D87" i="26"/>
  <c r="D88" i="26"/>
  <c r="D89" i="26"/>
  <c r="D8" i="26"/>
  <c r="J6" i="26"/>
  <c r="J7" i="26"/>
  <c r="J10" i="26" s="1"/>
  <c r="C32" i="17"/>
  <c r="C33" i="17"/>
  <c r="G29" i="20" l="1"/>
  <c r="G43" i="20"/>
  <c r="M5" i="26"/>
  <c r="M4" i="26"/>
  <c r="J12" i="26"/>
  <c r="H13" i="17" l="1"/>
  <c r="G12" i="17"/>
  <c r="E11" i="17"/>
  <c r="E12" i="17"/>
  <c r="E13" i="17"/>
  <c r="E14" i="17"/>
  <c r="D11" i="17"/>
  <c r="G11" i="17" s="1"/>
  <c r="D12" i="17"/>
  <c r="H12" i="17" s="1"/>
  <c r="D13" i="17"/>
  <c r="G13" i="17" s="1"/>
  <c r="D14" i="17"/>
  <c r="H14" i="17" s="1"/>
  <c r="H10" i="17"/>
  <c r="D10" i="17"/>
  <c r="G10" i="17" s="1"/>
  <c r="J10" i="17" s="1"/>
  <c r="F17" i="17"/>
  <c r="H11" i="17" l="1"/>
  <c r="G14" i="17"/>
  <c r="F5" i="23"/>
  <c r="F7" i="23" s="1"/>
  <c r="J24" i="17" s="1"/>
  <c r="C36" i="21"/>
  <c r="C34" i="21"/>
  <c r="C33" i="21"/>
  <c r="C23" i="21"/>
  <c r="J9" i="21"/>
  <c r="K9" i="21" s="1"/>
  <c r="I9" i="21"/>
  <c r="H9" i="21"/>
  <c r="G5" i="21"/>
  <c r="H5" i="21" s="1"/>
  <c r="I5" i="21" s="1"/>
  <c r="J5" i="21" s="1"/>
  <c r="K5" i="21" s="1"/>
  <c r="F4" i="21"/>
  <c r="G4" i="21" s="1"/>
  <c r="K54" i="20"/>
  <c r="J54" i="20"/>
  <c r="I54" i="20"/>
  <c r="H54" i="20"/>
  <c r="G54" i="20"/>
  <c r="K38" i="20"/>
  <c r="J38" i="20"/>
  <c r="I38" i="20"/>
  <c r="H38" i="20"/>
  <c r="G38" i="20"/>
  <c r="K29" i="20"/>
  <c r="I29" i="20"/>
  <c r="K15" i="20"/>
  <c r="I15" i="20"/>
  <c r="G15" i="20"/>
  <c r="B14" i="20"/>
  <c r="B13" i="20"/>
  <c r="J15" i="20"/>
  <c r="H15" i="20"/>
  <c r="B12" i="20"/>
  <c r="H9" i="20"/>
  <c r="B8" i="20"/>
  <c r="B7" i="20"/>
  <c r="B6" i="20"/>
  <c r="K9" i="20"/>
  <c r="K17" i="20" s="1"/>
  <c r="J9" i="20"/>
  <c r="G9" i="20"/>
  <c r="G17" i="20" s="1"/>
  <c r="B5" i="20"/>
  <c r="K2" i="20"/>
  <c r="J2" i="20"/>
  <c r="I2" i="20"/>
  <c r="H2" i="20"/>
  <c r="G2" i="20"/>
  <c r="F18" i="17"/>
  <c r="D24" i="17" s="1"/>
  <c r="G6" i="21" l="1"/>
  <c r="H4" i="21"/>
  <c r="H6" i="21" s="1"/>
  <c r="F6" i="21"/>
  <c r="G33" i="20"/>
  <c r="G36" i="20" s="1"/>
  <c r="H17" i="20"/>
  <c r="H41" i="20" s="1"/>
  <c r="H47" i="20" s="1"/>
  <c r="J29" i="20"/>
  <c r="J17" i="20"/>
  <c r="K41" i="20" s="1"/>
  <c r="K47" i="20" s="1"/>
  <c r="K33" i="20"/>
  <c r="K36" i="20" s="1"/>
  <c r="I39" i="17"/>
  <c r="J13" i="17"/>
  <c r="I17" i="17"/>
  <c r="C34" i="17"/>
  <c r="D34" i="17" s="1"/>
  <c r="J11" i="17"/>
  <c r="J14" i="17"/>
  <c r="I18" i="17"/>
  <c r="H29" i="20"/>
  <c r="H33" i="20" s="1"/>
  <c r="I9" i="20"/>
  <c r="I17" i="20" s="1"/>
  <c r="I4" i="21"/>
  <c r="I41" i="20" l="1"/>
  <c r="I47" i="20" s="1"/>
  <c r="J33" i="20"/>
  <c r="G17" i="17"/>
  <c r="H17" i="17"/>
  <c r="E32" i="17" s="1"/>
  <c r="E33" i="17" s="1"/>
  <c r="J39" i="17" s="1"/>
  <c r="J18" i="17"/>
  <c r="J31" i="17" s="1"/>
  <c r="D33" i="17"/>
  <c r="H18" i="17"/>
  <c r="J17" i="17"/>
  <c r="I6" i="21"/>
  <c r="J4" i="21"/>
  <c r="I33" i="20"/>
  <c r="G18" i="17"/>
  <c r="J41" i="20"/>
  <c r="J47" i="20" s="1"/>
  <c r="D32" i="17"/>
  <c r="D36" i="17" s="1"/>
  <c r="J40" i="17" l="1"/>
  <c r="E36" i="17"/>
  <c r="K4" i="21"/>
  <c r="K6" i="21" s="1"/>
  <c r="K8" i="21" s="1"/>
  <c r="J6" i="21"/>
  <c r="J32" i="17" l="1"/>
  <c r="J34" i="17" s="1"/>
  <c r="H43" i="20"/>
  <c r="H45" i="20" s="1"/>
  <c r="H49" i="20" s="1"/>
  <c r="H36" i="20"/>
  <c r="H57" i="20" s="1"/>
  <c r="K57" i="20"/>
  <c r="K43" i="20"/>
  <c r="K45" i="20" s="1"/>
  <c r="K49" i="20" s="1"/>
  <c r="K56" i="20" s="1"/>
  <c r="G45" i="20"/>
  <c r="I36" i="20"/>
  <c r="I57" i="20" s="1"/>
  <c r="I43" i="20"/>
  <c r="I45" i="20" s="1"/>
  <c r="I49" i="20" s="1"/>
  <c r="I56" i="20" s="1"/>
  <c r="C21" i="21"/>
  <c r="J25" i="17" l="1"/>
  <c r="J26" i="17" s="1"/>
  <c r="I40" i="17" s="1"/>
  <c r="J41" i="17" s="1"/>
  <c r="H56" i="20"/>
  <c r="H59" i="20" s="1"/>
  <c r="I59" i="20"/>
  <c r="K59" i="20"/>
  <c r="J36" i="20"/>
  <c r="J57" i="20" s="1"/>
  <c r="J43" i="20"/>
  <c r="J45" i="20" s="1"/>
  <c r="J49" i="20" s="1"/>
  <c r="J56" i="20" s="1"/>
  <c r="D16" i="21" l="1"/>
  <c r="D16" i="27"/>
  <c r="K51" i="20"/>
  <c r="K52" i="20"/>
  <c r="J59" i="20"/>
  <c r="K61" i="20" s="1"/>
  <c r="G10" i="27" l="1"/>
  <c r="G12" i="27" s="1"/>
  <c r="H10" i="27"/>
  <c r="K10" i="27"/>
  <c r="I10" i="27"/>
  <c r="J10" i="27"/>
  <c r="K62" i="20"/>
  <c r="C22" i="27"/>
  <c r="G20" i="27" s="1"/>
  <c r="K12" i="27"/>
  <c r="K10" i="21"/>
  <c r="K12" i="21" s="1"/>
  <c r="G10" i="21"/>
  <c r="C22" i="21"/>
  <c r="C25" i="21" s="1"/>
  <c r="H10" i="21"/>
  <c r="J10" i="21"/>
  <c r="I10" i="21"/>
  <c r="F7" i="21"/>
  <c r="F8" i="21" s="1"/>
  <c r="C30" i="21" l="1"/>
  <c r="C25" i="27"/>
  <c r="C30" i="27" s="1"/>
  <c r="G7" i="21"/>
  <c r="G8" i="21" s="1"/>
  <c r="G12" i="21" s="1"/>
  <c r="H7" i="21" l="1"/>
  <c r="I7" i="21" l="1"/>
  <c r="H8" i="21"/>
  <c r="H12" i="21" s="1"/>
  <c r="H12" i="27"/>
  <c r="I8" i="21" l="1"/>
  <c r="I12" i="21" s="1"/>
  <c r="J7" i="21"/>
  <c r="J8" i="21" s="1"/>
  <c r="J12" i="21" s="1"/>
  <c r="J8" i="27"/>
  <c r="J12" i="27" s="1"/>
  <c r="I8" i="27"/>
  <c r="I12" i="27" s="1"/>
  <c r="C29" i="27" l="1"/>
  <c r="C31" i="27" s="1"/>
  <c r="E20" i="27" s="1"/>
  <c r="C29" i="21"/>
  <c r="C31" i="21" s="1"/>
  <c r="E10" i="12"/>
  <c r="E7" i="12"/>
  <c r="L19" i="7"/>
  <c r="L21" i="11"/>
  <c r="D27" i="13"/>
  <c r="E27" i="13"/>
  <c r="F27" i="13"/>
  <c r="G27" i="13"/>
  <c r="H27" i="13"/>
  <c r="I27" i="13"/>
  <c r="J27" i="13"/>
  <c r="K27" i="13"/>
  <c r="L27" i="13"/>
  <c r="C36" i="13"/>
  <c r="C7" i="13"/>
  <c r="D13" i="6"/>
  <c r="C104" i="7"/>
  <c r="D104" i="7"/>
  <c r="E104" i="7"/>
  <c r="F104" i="7"/>
  <c r="G104" i="7"/>
  <c r="H104" i="7"/>
  <c r="I104" i="7"/>
  <c r="J104" i="7"/>
  <c r="K104" i="7"/>
  <c r="L104" i="7"/>
  <c r="C105" i="7"/>
  <c r="D105" i="7"/>
  <c r="E105" i="7"/>
  <c r="F105" i="7"/>
  <c r="G105" i="7"/>
  <c r="H105" i="7"/>
  <c r="I105" i="7"/>
  <c r="J105" i="7"/>
  <c r="K105" i="7"/>
  <c r="L105" i="7"/>
  <c r="C106" i="7"/>
  <c r="D106" i="7"/>
  <c r="E106" i="7"/>
  <c r="F106" i="7"/>
  <c r="G106" i="7"/>
  <c r="H106" i="7"/>
  <c r="I106" i="7"/>
  <c r="J106" i="7"/>
  <c r="K106" i="7"/>
  <c r="L106" i="7"/>
  <c r="C107" i="7"/>
  <c r="D107" i="7"/>
  <c r="E107" i="7"/>
  <c r="F107" i="7"/>
  <c r="G107" i="7"/>
  <c r="H107" i="7"/>
  <c r="I107" i="7"/>
  <c r="J107" i="7"/>
  <c r="K107" i="7"/>
  <c r="L107" i="7"/>
  <c r="C108" i="7"/>
  <c r="D108" i="7"/>
  <c r="E108" i="7"/>
  <c r="F108" i="7"/>
  <c r="G108" i="7"/>
  <c r="H108" i="7"/>
  <c r="I108" i="7"/>
  <c r="J108" i="7"/>
  <c r="K108" i="7"/>
  <c r="L108" i="7"/>
  <c r="C109" i="7"/>
  <c r="D109" i="7"/>
  <c r="E109" i="7"/>
  <c r="F109" i="7"/>
  <c r="G109" i="7"/>
  <c r="H109" i="7"/>
  <c r="I109" i="7"/>
  <c r="J109" i="7"/>
  <c r="K109" i="7"/>
  <c r="L109" i="7"/>
  <c r="C110" i="7"/>
  <c r="D110" i="7"/>
  <c r="E110" i="7"/>
  <c r="F110" i="7"/>
  <c r="G110" i="7"/>
  <c r="H110" i="7"/>
  <c r="I110" i="7"/>
  <c r="J110" i="7"/>
  <c r="K110" i="7"/>
  <c r="L110" i="7"/>
  <c r="D103" i="7"/>
  <c r="E103" i="7"/>
  <c r="F103" i="7"/>
  <c r="G103" i="7"/>
  <c r="H103" i="7"/>
  <c r="I103" i="7"/>
  <c r="J103" i="7"/>
  <c r="K103" i="7"/>
  <c r="L103" i="7"/>
  <c r="C103" i="7"/>
  <c r="C89" i="7"/>
  <c r="D89" i="7"/>
  <c r="E89" i="7"/>
  <c r="F89" i="7"/>
  <c r="G89" i="7"/>
  <c r="H89" i="7"/>
  <c r="I89" i="7"/>
  <c r="J89" i="7"/>
  <c r="K89" i="7"/>
  <c r="L89" i="7"/>
  <c r="C90" i="7"/>
  <c r="D90" i="7"/>
  <c r="E90" i="7"/>
  <c r="F90" i="7"/>
  <c r="G90" i="7"/>
  <c r="H90" i="7"/>
  <c r="I90" i="7"/>
  <c r="J90" i="7"/>
  <c r="K90" i="7"/>
  <c r="L90" i="7"/>
  <c r="C91" i="7"/>
  <c r="D91" i="7"/>
  <c r="E91" i="7"/>
  <c r="F91" i="7"/>
  <c r="G91" i="7"/>
  <c r="H91" i="7"/>
  <c r="I91" i="7"/>
  <c r="J91" i="7"/>
  <c r="K91" i="7"/>
  <c r="L91" i="7"/>
  <c r="C92" i="7"/>
  <c r="D92" i="7"/>
  <c r="E92" i="7"/>
  <c r="F92" i="7"/>
  <c r="G92" i="7"/>
  <c r="H92" i="7"/>
  <c r="I92" i="7"/>
  <c r="J92" i="7"/>
  <c r="K92" i="7"/>
  <c r="L92" i="7"/>
  <c r="C93" i="7"/>
  <c r="D93" i="7"/>
  <c r="E93" i="7"/>
  <c r="F93" i="7"/>
  <c r="G93" i="7"/>
  <c r="H93" i="7"/>
  <c r="I93" i="7"/>
  <c r="J93" i="7"/>
  <c r="K93" i="7"/>
  <c r="L93" i="7"/>
  <c r="C94" i="7"/>
  <c r="D94" i="7"/>
  <c r="E94" i="7"/>
  <c r="F94" i="7"/>
  <c r="G94" i="7"/>
  <c r="H94" i="7"/>
  <c r="I94" i="7"/>
  <c r="J94" i="7"/>
  <c r="K94" i="7"/>
  <c r="L94" i="7"/>
  <c r="C95" i="7"/>
  <c r="D95" i="7"/>
  <c r="E95" i="7"/>
  <c r="F95" i="7"/>
  <c r="G95" i="7"/>
  <c r="H95" i="7"/>
  <c r="I95" i="7"/>
  <c r="J95" i="7"/>
  <c r="K95" i="7"/>
  <c r="L95" i="7"/>
  <c r="C96" i="7"/>
  <c r="D96" i="7"/>
  <c r="E96" i="7"/>
  <c r="F96" i="7"/>
  <c r="G96" i="7"/>
  <c r="H96" i="7"/>
  <c r="I96" i="7"/>
  <c r="J96" i="7"/>
  <c r="K96" i="7"/>
  <c r="L96" i="7"/>
  <c r="C97" i="7"/>
  <c r="D97" i="7"/>
  <c r="E97" i="7"/>
  <c r="F97" i="7"/>
  <c r="G97" i="7"/>
  <c r="H97" i="7"/>
  <c r="I97" i="7"/>
  <c r="J97" i="7"/>
  <c r="K97" i="7"/>
  <c r="L97" i="7"/>
  <c r="C98" i="7"/>
  <c r="D98" i="7"/>
  <c r="E98" i="7"/>
  <c r="F98" i="7"/>
  <c r="G98" i="7"/>
  <c r="H98" i="7"/>
  <c r="I98" i="7"/>
  <c r="J98" i="7"/>
  <c r="K98" i="7"/>
  <c r="L98" i="7"/>
  <c r="C99" i="7"/>
  <c r="D99" i="7"/>
  <c r="E99" i="7"/>
  <c r="F99" i="7"/>
  <c r="G99" i="7"/>
  <c r="H99" i="7"/>
  <c r="I99" i="7"/>
  <c r="J99" i="7"/>
  <c r="K99" i="7"/>
  <c r="L99" i="7"/>
  <c r="D88" i="7"/>
  <c r="E88" i="7"/>
  <c r="F88" i="7"/>
  <c r="G88" i="7"/>
  <c r="H88" i="7"/>
  <c r="I88" i="7"/>
  <c r="J88" i="7"/>
  <c r="K88" i="7"/>
  <c r="L88" i="7"/>
  <c r="C88" i="7"/>
  <c r="C80" i="7"/>
  <c r="D80" i="7"/>
  <c r="E80" i="7"/>
  <c r="F80" i="7"/>
  <c r="G80" i="7"/>
  <c r="H80" i="7"/>
  <c r="I80" i="7"/>
  <c r="J80" i="7"/>
  <c r="K80" i="7"/>
  <c r="L80" i="7"/>
  <c r="C81" i="7"/>
  <c r="D81" i="7"/>
  <c r="E81" i="7"/>
  <c r="F81" i="7"/>
  <c r="G81" i="7"/>
  <c r="H81" i="7"/>
  <c r="I81" i="7"/>
  <c r="J81" i="7"/>
  <c r="K81" i="7"/>
  <c r="L81" i="7"/>
  <c r="C82" i="7"/>
  <c r="D82" i="7"/>
  <c r="E82" i="7"/>
  <c r="F82" i="7"/>
  <c r="G82" i="7"/>
  <c r="H82" i="7"/>
  <c r="I82" i="7"/>
  <c r="J82" i="7"/>
  <c r="K82" i="7"/>
  <c r="L82" i="7"/>
  <c r="C83" i="7"/>
  <c r="D83" i="7"/>
  <c r="E83" i="7"/>
  <c r="F83" i="7"/>
  <c r="G83" i="7"/>
  <c r="H83" i="7"/>
  <c r="I83" i="7"/>
  <c r="J83" i="7"/>
  <c r="K83" i="7"/>
  <c r="L83" i="7"/>
  <c r="C84" i="7"/>
  <c r="D84" i="7"/>
  <c r="E84" i="7"/>
  <c r="F84" i="7"/>
  <c r="G84" i="7"/>
  <c r="H84" i="7"/>
  <c r="I84" i="7"/>
  <c r="J84" i="7"/>
  <c r="K84" i="7"/>
  <c r="L84" i="7"/>
  <c r="D79" i="7"/>
  <c r="E79" i="7"/>
  <c r="F79" i="7"/>
  <c r="G79" i="7"/>
  <c r="H79" i="7"/>
  <c r="I79" i="7"/>
  <c r="J79" i="7"/>
  <c r="K79" i="7"/>
  <c r="L79" i="7"/>
  <c r="C79" i="7"/>
  <c r="B33" i="6"/>
  <c r="C74" i="6"/>
  <c r="D37" i="13" s="1"/>
  <c r="D74" i="6"/>
  <c r="E37" i="13" s="1"/>
  <c r="E74" i="6"/>
  <c r="F37" i="13" s="1"/>
  <c r="F74" i="6"/>
  <c r="G37" i="13" s="1"/>
  <c r="G74" i="6"/>
  <c r="H37" i="13" s="1"/>
  <c r="H74" i="6"/>
  <c r="I37" i="13" s="1"/>
  <c r="I74" i="6"/>
  <c r="J37" i="13" s="1"/>
  <c r="J74" i="6"/>
  <c r="K37" i="13" s="1"/>
  <c r="K74" i="6"/>
  <c r="L37" i="13" s="1"/>
  <c r="B74" i="6"/>
  <c r="C37" i="13" s="1"/>
  <c r="K75" i="6"/>
  <c r="L33" i="13" s="1"/>
  <c r="C75" i="6"/>
  <c r="D33" i="13" s="1"/>
  <c r="D75" i="6"/>
  <c r="E36" i="13" s="1"/>
  <c r="E75" i="6"/>
  <c r="F35" i="13" s="1"/>
  <c r="F75" i="6"/>
  <c r="G34" i="13" s="1"/>
  <c r="G75" i="6"/>
  <c r="H33" i="13" s="1"/>
  <c r="H75" i="6"/>
  <c r="I36" i="13" s="1"/>
  <c r="I75" i="6"/>
  <c r="J35" i="13" s="1"/>
  <c r="J75" i="6"/>
  <c r="K34" i="13" s="1"/>
  <c r="B75" i="6"/>
  <c r="C39" i="13" s="1"/>
  <c r="C29" i="13"/>
  <c r="D29" i="13"/>
  <c r="E29" i="13"/>
  <c r="F29" i="13"/>
  <c r="G29" i="13"/>
  <c r="H29" i="13"/>
  <c r="I29" i="13"/>
  <c r="J29" i="13"/>
  <c r="K29" i="13"/>
  <c r="L29" i="13"/>
  <c r="C30" i="13"/>
  <c r="D30" i="13"/>
  <c r="E30" i="13"/>
  <c r="F30" i="13"/>
  <c r="G30" i="13"/>
  <c r="H30" i="13"/>
  <c r="I30" i="13"/>
  <c r="J30" i="13"/>
  <c r="K30" i="13"/>
  <c r="L30" i="13"/>
  <c r="C31" i="13"/>
  <c r="D31" i="13"/>
  <c r="E31" i="13"/>
  <c r="F31" i="13"/>
  <c r="G31" i="13"/>
  <c r="H31" i="13"/>
  <c r="I31" i="13"/>
  <c r="J31" i="13"/>
  <c r="K31" i="13"/>
  <c r="L31" i="13"/>
  <c r="D28" i="13"/>
  <c r="E28" i="13"/>
  <c r="F28" i="13"/>
  <c r="G28" i="13"/>
  <c r="H28" i="13"/>
  <c r="I28" i="13"/>
  <c r="J28" i="13"/>
  <c r="K28" i="13"/>
  <c r="L28" i="13"/>
  <c r="C28" i="13"/>
  <c r="C27" i="13"/>
  <c r="B29" i="13"/>
  <c r="B30" i="13"/>
  <c r="B31" i="13"/>
  <c r="B34" i="13"/>
  <c r="B35" i="13"/>
  <c r="B36" i="13"/>
  <c r="B37" i="13"/>
  <c r="B38" i="13"/>
  <c r="B39" i="13"/>
  <c r="B40" i="13"/>
  <c r="B28" i="13"/>
  <c r="D25" i="13"/>
  <c r="E25" i="13"/>
  <c r="F25" i="13"/>
  <c r="G25" i="13"/>
  <c r="H25" i="13"/>
  <c r="I25" i="13"/>
  <c r="J25" i="13"/>
  <c r="K25" i="13"/>
  <c r="L25" i="13"/>
  <c r="C25" i="13"/>
  <c r="B23" i="13"/>
  <c r="D20" i="13"/>
  <c r="E21" i="13"/>
  <c r="F21" i="13"/>
  <c r="G21" i="13"/>
  <c r="I21" i="13"/>
  <c r="J21" i="13"/>
  <c r="K21" i="13"/>
  <c r="C21" i="13"/>
  <c r="D7" i="13"/>
  <c r="E7" i="13"/>
  <c r="F7" i="13"/>
  <c r="G7" i="13"/>
  <c r="H7" i="13"/>
  <c r="I7" i="13"/>
  <c r="J7" i="13"/>
  <c r="K7" i="13"/>
  <c r="L7" i="13"/>
  <c r="C8" i="13"/>
  <c r="D8" i="13"/>
  <c r="E8" i="13"/>
  <c r="F8" i="13"/>
  <c r="G8" i="13"/>
  <c r="H8" i="13"/>
  <c r="I8" i="13"/>
  <c r="J8" i="13"/>
  <c r="K8" i="13"/>
  <c r="L8" i="13"/>
  <c r="C9" i="13"/>
  <c r="D9" i="13"/>
  <c r="E9" i="13"/>
  <c r="F9" i="13"/>
  <c r="G9" i="13"/>
  <c r="H9" i="13"/>
  <c r="I9" i="13"/>
  <c r="J9" i="13"/>
  <c r="K9" i="13"/>
  <c r="L9" i="13"/>
  <c r="C10" i="13"/>
  <c r="D10" i="13"/>
  <c r="E10" i="13"/>
  <c r="F10" i="13"/>
  <c r="G10" i="13"/>
  <c r="H10" i="13"/>
  <c r="I10" i="13"/>
  <c r="J10" i="13"/>
  <c r="K10" i="13"/>
  <c r="L10" i="13"/>
  <c r="C11" i="13"/>
  <c r="D11" i="13"/>
  <c r="E11" i="13"/>
  <c r="F11" i="13"/>
  <c r="G11" i="13"/>
  <c r="H11" i="13"/>
  <c r="I11" i="13"/>
  <c r="J11" i="13"/>
  <c r="K11" i="13"/>
  <c r="L11" i="13"/>
  <c r="C12" i="13"/>
  <c r="D12" i="13"/>
  <c r="E12" i="13"/>
  <c r="F12" i="13"/>
  <c r="G12" i="13"/>
  <c r="H12" i="13"/>
  <c r="I12" i="13"/>
  <c r="J12" i="13"/>
  <c r="K12" i="13"/>
  <c r="L12" i="13"/>
  <c r="C13" i="13"/>
  <c r="D13" i="13"/>
  <c r="E13" i="13"/>
  <c r="F13" i="13"/>
  <c r="G13" i="13"/>
  <c r="H13" i="13"/>
  <c r="I13" i="13"/>
  <c r="J13" i="13"/>
  <c r="K13" i="13"/>
  <c r="L13" i="13"/>
  <c r="C14" i="13"/>
  <c r="D14" i="13"/>
  <c r="E14" i="13"/>
  <c r="F14" i="13"/>
  <c r="G14" i="13"/>
  <c r="H14" i="13"/>
  <c r="I14" i="13"/>
  <c r="J14" i="13"/>
  <c r="K14" i="13"/>
  <c r="L14" i="13"/>
  <c r="C15" i="13"/>
  <c r="D15" i="13"/>
  <c r="E15" i="13"/>
  <c r="F15" i="13"/>
  <c r="G15" i="13"/>
  <c r="H15" i="13"/>
  <c r="I15" i="13"/>
  <c r="J15" i="13"/>
  <c r="K15" i="13"/>
  <c r="L15" i="13"/>
  <c r="C16" i="13"/>
  <c r="D16" i="13"/>
  <c r="E16" i="13"/>
  <c r="F16" i="13"/>
  <c r="G16" i="13"/>
  <c r="H16" i="13"/>
  <c r="I16" i="13"/>
  <c r="J16" i="13"/>
  <c r="K16" i="13"/>
  <c r="L16" i="13"/>
  <c r="C17" i="13"/>
  <c r="D17" i="13"/>
  <c r="E17" i="13"/>
  <c r="F17" i="13"/>
  <c r="G17" i="13"/>
  <c r="H17" i="13"/>
  <c r="I17" i="13"/>
  <c r="J17" i="13"/>
  <c r="K17" i="13"/>
  <c r="L17" i="13"/>
  <c r="C18" i="13"/>
  <c r="D18" i="13"/>
  <c r="E18" i="13"/>
  <c r="F18" i="13"/>
  <c r="G18" i="13"/>
  <c r="H18" i="13"/>
  <c r="I18" i="13"/>
  <c r="J18" i="13"/>
  <c r="K18" i="13"/>
  <c r="L18" i="13"/>
  <c r="C19" i="13"/>
  <c r="D19" i="13"/>
  <c r="E19" i="13"/>
  <c r="F19" i="13"/>
  <c r="G19" i="13"/>
  <c r="H19" i="13"/>
  <c r="I19" i="13"/>
  <c r="J19" i="13"/>
  <c r="K19" i="13"/>
  <c r="L19" i="13"/>
  <c r="C20" i="13"/>
  <c r="E20" i="13"/>
  <c r="F20" i="13"/>
  <c r="G20" i="13"/>
  <c r="H20" i="13"/>
  <c r="I20" i="13"/>
  <c r="J20" i="13"/>
  <c r="K20" i="13"/>
  <c r="L20" i="13"/>
  <c r="D6" i="13"/>
  <c r="E6" i="13"/>
  <c r="F6" i="13"/>
  <c r="G6" i="13"/>
  <c r="H6" i="13"/>
  <c r="I6" i="13"/>
  <c r="J6" i="13"/>
  <c r="K6" i="13"/>
  <c r="L6" i="13"/>
  <c r="C6" i="13"/>
  <c r="B7" i="13"/>
  <c r="B8" i="13"/>
  <c r="B9" i="13"/>
  <c r="B10" i="13"/>
  <c r="B11" i="13"/>
  <c r="B12" i="13"/>
  <c r="B13" i="13"/>
  <c r="B14" i="13"/>
  <c r="B15" i="13"/>
  <c r="B16" i="13"/>
  <c r="B17" i="13"/>
  <c r="B18" i="13"/>
  <c r="B19" i="13"/>
  <c r="B20" i="13"/>
  <c r="B21" i="13"/>
  <c r="B6" i="13"/>
  <c r="D4" i="13"/>
  <c r="E4" i="13"/>
  <c r="F4" i="13"/>
  <c r="G4" i="13"/>
  <c r="H4" i="13"/>
  <c r="I4" i="13"/>
  <c r="J4" i="13"/>
  <c r="K4" i="13"/>
  <c r="L4" i="13"/>
  <c r="C4" i="13"/>
  <c r="B2" i="13"/>
  <c r="C33" i="6"/>
  <c r="D21" i="13" s="1"/>
  <c r="D33" i="6"/>
  <c r="E33" i="6"/>
  <c r="F33" i="6"/>
  <c r="G33" i="6"/>
  <c r="H21" i="13" s="1"/>
  <c r="H33" i="6"/>
  <c r="I33" i="6"/>
  <c r="J33" i="6"/>
  <c r="K33" i="6"/>
  <c r="L21" i="13" s="1"/>
  <c r="L4" i="12"/>
  <c r="G4" i="12"/>
  <c r="B4" i="12"/>
  <c r="D6" i="12" a="1"/>
  <c r="D6" i="12" s="1"/>
  <c r="C35" i="27" l="1"/>
  <c r="C37" i="27" s="1"/>
  <c r="C40" i="27" s="1"/>
  <c r="C35" i="21"/>
  <c r="C37" i="21" s="1"/>
  <c r="C40" i="21" s="1"/>
  <c r="E20" i="21"/>
  <c r="C111" i="7"/>
  <c r="H111" i="7"/>
  <c r="C33" i="13"/>
  <c r="L40" i="13"/>
  <c r="H40" i="13"/>
  <c r="D40" i="13"/>
  <c r="I39" i="13"/>
  <c r="E39" i="13"/>
  <c r="J38" i="13"/>
  <c r="F38" i="13"/>
  <c r="L36" i="13"/>
  <c r="H36" i="13"/>
  <c r="D36" i="13"/>
  <c r="I35" i="13"/>
  <c r="E35" i="13"/>
  <c r="J34" i="13"/>
  <c r="F34" i="13"/>
  <c r="K33" i="13"/>
  <c r="G33" i="13"/>
  <c r="D20" i="12"/>
  <c r="C34" i="13"/>
  <c r="C38" i="13"/>
  <c r="K40" i="13"/>
  <c r="G40" i="13"/>
  <c r="L39" i="13"/>
  <c r="H39" i="13"/>
  <c r="D39" i="13"/>
  <c r="I38" i="13"/>
  <c r="E38" i="13"/>
  <c r="K36" i="13"/>
  <c r="G36" i="13"/>
  <c r="L35" i="13"/>
  <c r="H35" i="13"/>
  <c r="D35" i="13"/>
  <c r="I34" i="13"/>
  <c r="E34" i="13"/>
  <c r="J33" i="13"/>
  <c r="F33" i="13"/>
  <c r="C40" i="13"/>
  <c r="J40" i="13"/>
  <c r="F40" i="13"/>
  <c r="K39" i="13"/>
  <c r="G39" i="13"/>
  <c r="L38" i="13"/>
  <c r="H38" i="13"/>
  <c r="D38" i="13"/>
  <c r="J36" i="13"/>
  <c r="F36" i="13"/>
  <c r="K35" i="13"/>
  <c r="G35" i="13"/>
  <c r="L34" i="13"/>
  <c r="H34" i="13"/>
  <c r="D34" i="13"/>
  <c r="I33" i="13"/>
  <c r="E33" i="13"/>
  <c r="C35" i="13"/>
  <c r="I40" i="13"/>
  <c r="E40" i="13"/>
  <c r="J39" i="13"/>
  <c r="F39" i="13"/>
  <c r="K38" i="13"/>
  <c r="G38" i="13"/>
  <c r="D9" i="12"/>
  <c r="E9" i="12" s="1"/>
  <c r="D12" i="12"/>
  <c r="E12" i="12" s="1"/>
  <c r="D8" i="12"/>
  <c r="D15" i="12"/>
  <c r="D7" i="12"/>
  <c r="D13" i="12"/>
  <c r="E13" i="12" s="1"/>
  <c r="D11" i="12"/>
  <c r="D14" i="12"/>
  <c r="D10" i="12"/>
  <c r="B2" i="11"/>
  <c r="L3" i="11"/>
  <c r="K3" i="11"/>
  <c r="J3" i="11"/>
  <c r="I3" i="11"/>
  <c r="H3" i="11"/>
  <c r="G3" i="11"/>
  <c r="F3" i="11"/>
  <c r="E3" i="11"/>
  <c r="D3" i="11"/>
  <c r="C3" i="11"/>
  <c r="D18" i="12" l="1"/>
  <c r="D17" i="12"/>
  <c r="E17" i="12" s="1"/>
  <c r="E14" i="12"/>
  <c r="E15" i="12"/>
  <c r="D16" i="12"/>
  <c r="E16" i="12" s="1"/>
  <c r="E11" i="12"/>
  <c r="E8" i="12"/>
  <c r="D19" i="12"/>
  <c r="E18" i="12" l="1"/>
  <c r="E19" i="12"/>
  <c r="E20" i="12"/>
  <c r="E111" i="7"/>
  <c r="I111" i="7"/>
  <c r="D60" i="7"/>
  <c r="E60" i="7"/>
  <c r="F60" i="7"/>
  <c r="G60" i="7"/>
  <c r="H60" i="7"/>
  <c r="I60" i="7"/>
  <c r="J60" i="7"/>
  <c r="K60" i="7"/>
  <c r="L60" i="7"/>
  <c r="C60" i="7"/>
  <c r="C64" i="7"/>
  <c r="D64" i="7"/>
  <c r="E64" i="7"/>
  <c r="F64" i="7"/>
  <c r="G64" i="7"/>
  <c r="H64" i="7"/>
  <c r="I64" i="7"/>
  <c r="J64" i="7"/>
  <c r="K64" i="7"/>
  <c r="L64" i="7"/>
  <c r="C65" i="7"/>
  <c r="D65" i="7"/>
  <c r="E65" i="7"/>
  <c r="F65" i="7"/>
  <c r="G65" i="7"/>
  <c r="H65" i="7"/>
  <c r="I65" i="7"/>
  <c r="J65" i="7"/>
  <c r="K65" i="7"/>
  <c r="L65" i="7"/>
  <c r="D63" i="7"/>
  <c r="E63" i="7"/>
  <c r="F63" i="7"/>
  <c r="G63" i="7"/>
  <c r="H63" i="7"/>
  <c r="I63" i="7"/>
  <c r="J63" i="7"/>
  <c r="K63" i="7"/>
  <c r="L63" i="7"/>
  <c r="C63" i="7"/>
  <c r="C58" i="7"/>
  <c r="D58" i="7"/>
  <c r="E58" i="7"/>
  <c r="F58" i="7"/>
  <c r="G58" i="7"/>
  <c r="H58" i="7"/>
  <c r="I58" i="7"/>
  <c r="J58" i="7"/>
  <c r="K58" i="7"/>
  <c r="L58" i="7"/>
  <c r="C59" i="7"/>
  <c r="D59" i="7"/>
  <c r="E59" i="7"/>
  <c r="F59" i="7"/>
  <c r="G59" i="7"/>
  <c r="H59" i="7"/>
  <c r="I59" i="7"/>
  <c r="J59" i="7"/>
  <c r="K59" i="7"/>
  <c r="L59" i="7"/>
  <c r="D57" i="7"/>
  <c r="E57" i="7"/>
  <c r="F57" i="7"/>
  <c r="G57" i="7"/>
  <c r="H57" i="7"/>
  <c r="I57" i="7"/>
  <c r="J57" i="7"/>
  <c r="K57" i="7"/>
  <c r="L57" i="7"/>
  <c r="C57" i="7"/>
  <c r="C52" i="7"/>
  <c r="D52" i="7"/>
  <c r="E52" i="7"/>
  <c r="F52" i="7"/>
  <c r="G52" i="7"/>
  <c r="H52" i="7"/>
  <c r="I52" i="7"/>
  <c r="J52" i="7"/>
  <c r="K52" i="7"/>
  <c r="L52" i="7"/>
  <c r="C53" i="7"/>
  <c r="D53" i="7"/>
  <c r="E53" i="7"/>
  <c r="F53" i="7"/>
  <c r="G53" i="7"/>
  <c r="H53" i="7"/>
  <c r="I53" i="7"/>
  <c r="J53" i="7"/>
  <c r="K53" i="7"/>
  <c r="L53" i="7"/>
  <c r="C54" i="7"/>
  <c r="D54" i="7"/>
  <c r="E54" i="7"/>
  <c r="F54" i="7"/>
  <c r="G54" i="7"/>
  <c r="H54" i="7"/>
  <c r="I54" i="7"/>
  <c r="J54" i="7"/>
  <c r="K54" i="7"/>
  <c r="L54" i="7"/>
  <c r="C55" i="7"/>
  <c r="D55" i="7"/>
  <c r="E55" i="7"/>
  <c r="F55" i="7"/>
  <c r="G55" i="7"/>
  <c r="H55" i="7"/>
  <c r="I55" i="7"/>
  <c r="J55" i="7"/>
  <c r="K55" i="7"/>
  <c r="L55" i="7"/>
  <c r="D51" i="7"/>
  <c r="E51" i="7"/>
  <c r="F51" i="7"/>
  <c r="G51" i="7"/>
  <c r="H51" i="7"/>
  <c r="I51" i="7"/>
  <c r="J51" i="7"/>
  <c r="K51" i="7"/>
  <c r="L51" i="7"/>
  <c r="C51" i="7"/>
  <c r="C37" i="7"/>
  <c r="C42" i="7" s="1"/>
  <c r="D37" i="7"/>
  <c r="D42" i="7" s="1"/>
  <c r="E37" i="7"/>
  <c r="E42" i="7" s="1"/>
  <c r="F37" i="7"/>
  <c r="F42" i="7" s="1"/>
  <c r="G37" i="7"/>
  <c r="G42" i="7" s="1"/>
  <c r="H37" i="7"/>
  <c r="H42" i="7" s="1"/>
  <c r="I37" i="7"/>
  <c r="I42" i="7" s="1"/>
  <c r="J37" i="7"/>
  <c r="J42" i="7" s="1"/>
  <c r="K37" i="7"/>
  <c r="K42" i="7" s="1"/>
  <c r="L37" i="7"/>
  <c r="L42" i="7" s="1"/>
  <c r="D31" i="7"/>
  <c r="E31" i="7"/>
  <c r="F31" i="7"/>
  <c r="G31" i="7"/>
  <c r="H31" i="7"/>
  <c r="I31" i="7"/>
  <c r="J31" i="7"/>
  <c r="K31" i="7"/>
  <c r="L31" i="7"/>
  <c r="C31" i="7"/>
  <c r="D25" i="7"/>
  <c r="E25" i="7"/>
  <c r="F25" i="7"/>
  <c r="G25" i="7"/>
  <c r="H25" i="7"/>
  <c r="I25" i="7"/>
  <c r="J25" i="7"/>
  <c r="K25" i="7"/>
  <c r="L25" i="7"/>
  <c r="C25" i="7"/>
  <c r="D22" i="7"/>
  <c r="E22" i="7"/>
  <c r="F22" i="7"/>
  <c r="G22" i="7"/>
  <c r="H22" i="7"/>
  <c r="I22" i="7"/>
  <c r="J22" i="7"/>
  <c r="K22" i="7"/>
  <c r="L22" i="7"/>
  <c r="C22" i="7"/>
  <c r="D16" i="7"/>
  <c r="E16" i="7"/>
  <c r="F16" i="7"/>
  <c r="G16" i="7"/>
  <c r="H16" i="7"/>
  <c r="I16" i="7"/>
  <c r="J16" i="7"/>
  <c r="K16" i="7"/>
  <c r="L16" i="7"/>
  <c r="C16" i="7"/>
  <c r="D10" i="7"/>
  <c r="E10" i="7"/>
  <c r="F10" i="7"/>
  <c r="G10" i="7"/>
  <c r="H10" i="7"/>
  <c r="I10" i="7"/>
  <c r="J10" i="7"/>
  <c r="K10" i="7"/>
  <c r="L10" i="7"/>
  <c r="C10" i="7"/>
  <c r="D7" i="7"/>
  <c r="E7" i="7"/>
  <c r="F7" i="7"/>
  <c r="G7" i="7"/>
  <c r="H7" i="7"/>
  <c r="I7" i="7"/>
  <c r="J7" i="7"/>
  <c r="K7" i="7"/>
  <c r="L7" i="7"/>
  <c r="L3" i="7"/>
  <c r="J11" i="7" l="1"/>
  <c r="F11" i="7"/>
  <c r="I9" i="11"/>
  <c r="E9" i="11"/>
  <c r="D85" i="7"/>
  <c r="L9" i="11"/>
  <c r="H9" i="11"/>
  <c r="K11" i="7"/>
  <c r="G11" i="7"/>
  <c r="J17" i="7"/>
  <c r="J17" i="11" s="1"/>
  <c r="F17" i="7"/>
  <c r="F17" i="11" s="1"/>
  <c r="J26" i="7"/>
  <c r="J18" i="11" s="1"/>
  <c r="F26" i="7"/>
  <c r="F18" i="11" s="1"/>
  <c r="J9" i="11"/>
  <c r="F9" i="11"/>
  <c r="I17" i="7"/>
  <c r="I17" i="11" s="1"/>
  <c r="E17" i="7"/>
  <c r="E17" i="11" s="1"/>
  <c r="I26" i="7"/>
  <c r="I18" i="11" s="1"/>
  <c r="E26" i="7"/>
  <c r="E18" i="11" s="1"/>
  <c r="K111" i="7"/>
  <c r="L111" i="7"/>
  <c r="J111" i="7"/>
  <c r="D100" i="7"/>
  <c r="D111" i="7"/>
  <c r="L100" i="7"/>
  <c r="H100" i="7"/>
  <c r="C85" i="7"/>
  <c r="I85" i="7"/>
  <c r="I38" i="11" s="1"/>
  <c r="E85" i="7"/>
  <c r="E38" i="11" s="1"/>
  <c r="G111" i="7"/>
  <c r="F111" i="7"/>
  <c r="L27" i="11"/>
  <c r="L33" i="11" s="1"/>
  <c r="L31" i="11"/>
  <c r="L30" i="11"/>
  <c r="L28" i="11"/>
  <c r="L34" i="11" s="1"/>
  <c r="L29" i="11"/>
  <c r="L35" i="11" s="1"/>
  <c r="L8" i="7"/>
  <c r="L5" i="11" s="1"/>
  <c r="D23" i="7"/>
  <c r="K27" i="11"/>
  <c r="K33" i="11" s="1"/>
  <c r="K28" i="11"/>
  <c r="K34" i="11" s="1"/>
  <c r="K29" i="11"/>
  <c r="K35" i="11" s="1"/>
  <c r="K30" i="11"/>
  <c r="K31" i="11"/>
  <c r="K8" i="7"/>
  <c r="K5" i="11" s="1"/>
  <c r="G28" i="11"/>
  <c r="G34" i="11" s="1"/>
  <c r="G31" i="11"/>
  <c r="G27" i="11"/>
  <c r="G33" i="11" s="1"/>
  <c r="G29" i="11"/>
  <c r="G35" i="11" s="1"/>
  <c r="G30" i="11"/>
  <c r="G8" i="7"/>
  <c r="G5" i="11" s="1"/>
  <c r="K23" i="7"/>
  <c r="J61" i="7"/>
  <c r="K61" i="7"/>
  <c r="L66" i="7"/>
  <c r="D66" i="7"/>
  <c r="H85" i="7"/>
  <c r="K100" i="7"/>
  <c r="J27" i="11"/>
  <c r="J33" i="11" s="1"/>
  <c r="J28" i="11"/>
  <c r="J34" i="11" s="1"/>
  <c r="J29" i="11"/>
  <c r="J35" i="11" s="1"/>
  <c r="J30" i="11"/>
  <c r="J31" i="11"/>
  <c r="J8" i="7"/>
  <c r="J5" i="11" s="1"/>
  <c r="F27" i="11"/>
  <c r="F33" i="11" s="1"/>
  <c r="F28" i="11"/>
  <c r="F34" i="11" s="1"/>
  <c r="F29" i="11"/>
  <c r="F35" i="11" s="1"/>
  <c r="F30" i="11"/>
  <c r="F31" i="11"/>
  <c r="F8" i="7"/>
  <c r="F5" i="11" s="1"/>
  <c r="I11" i="7"/>
  <c r="E11" i="7"/>
  <c r="L17" i="7"/>
  <c r="L17" i="11" s="1"/>
  <c r="H17" i="7"/>
  <c r="H17" i="11" s="1"/>
  <c r="D17" i="7"/>
  <c r="D17" i="11" s="1"/>
  <c r="J23" i="7"/>
  <c r="F23" i="7"/>
  <c r="L26" i="7"/>
  <c r="L18" i="11" s="1"/>
  <c r="H26" i="7"/>
  <c r="H18" i="11" s="1"/>
  <c r="D26" i="7"/>
  <c r="D18" i="11" s="1"/>
  <c r="D9" i="11"/>
  <c r="C61" i="7"/>
  <c r="I61" i="7"/>
  <c r="E61" i="7"/>
  <c r="K85" i="7"/>
  <c r="G85" i="7"/>
  <c r="J100" i="7"/>
  <c r="F100" i="7"/>
  <c r="H27" i="11"/>
  <c r="H33" i="11" s="1"/>
  <c r="H31" i="11"/>
  <c r="H29" i="11"/>
  <c r="H35" i="11" s="1"/>
  <c r="H8" i="7"/>
  <c r="H5" i="11" s="1"/>
  <c r="H28" i="11"/>
  <c r="H34" i="11" s="1"/>
  <c r="H30" i="11"/>
  <c r="D27" i="11"/>
  <c r="D33" i="11" s="1"/>
  <c r="D28" i="11"/>
  <c r="D34" i="11" s="1"/>
  <c r="D29" i="11"/>
  <c r="D35" i="11" s="1"/>
  <c r="D30" i="11"/>
  <c r="D31" i="11"/>
  <c r="L23" i="7"/>
  <c r="H23" i="7"/>
  <c r="I100" i="7"/>
  <c r="G23" i="7"/>
  <c r="F61" i="7"/>
  <c r="G61" i="7"/>
  <c r="H66" i="7"/>
  <c r="L85" i="7"/>
  <c r="G100" i="7"/>
  <c r="I27" i="11"/>
  <c r="I33" i="11" s="1"/>
  <c r="I28" i="11"/>
  <c r="I34" i="11" s="1"/>
  <c r="I29" i="11"/>
  <c r="I35" i="11" s="1"/>
  <c r="I30" i="11"/>
  <c r="I31" i="11"/>
  <c r="I8" i="7"/>
  <c r="I5" i="11" s="1"/>
  <c r="E27" i="11"/>
  <c r="E33" i="11" s="1"/>
  <c r="E28" i="11"/>
  <c r="E34" i="11" s="1"/>
  <c r="E29" i="11"/>
  <c r="E35" i="11" s="1"/>
  <c r="E30" i="11"/>
  <c r="E31" i="11"/>
  <c r="E8" i="7"/>
  <c r="E5" i="11" s="1"/>
  <c r="L11" i="7"/>
  <c r="H11" i="7"/>
  <c r="D11" i="7"/>
  <c r="K17" i="7"/>
  <c r="K17" i="11" s="1"/>
  <c r="G17" i="7"/>
  <c r="G17" i="11" s="1"/>
  <c r="I23" i="7"/>
  <c r="E23" i="7"/>
  <c r="K26" i="7"/>
  <c r="K18" i="11" s="1"/>
  <c r="G26" i="7"/>
  <c r="G18" i="11" s="1"/>
  <c r="K9" i="11"/>
  <c r="G9" i="11"/>
  <c r="L61" i="7"/>
  <c r="H61" i="7"/>
  <c r="D61" i="7"/>
  <c r="J85" i="7"/>
  <c r="F85" i="7"/>
  <c r="E100" i="7"/>
  <c r="C100" i="7"/>
  <c r="K66" i="7"/>
  <c r="G66" i="7"/>
  <c r="J66" i="7"/>
  <c r="J68" i="7" s="1"/>
  <c r="J70" i="7" s="1"/>
  <c r="F66" i="7"/>
  <c r="C66" i="7"/>
  <c r="I66" i="7"/>
  <c r="E66" i="7"/>
  <c r="E13" i="7"/>
  <c r="I13" i="7"/>
  <c r="I14" i="7" s="1"/>
  <c r="I11" i="11" s="1"/>
  <c r="F13" i="7"/>
  <c r="F14" i="7" s="1"/>
  <c r="F11" i="11" s="1"/>
  <c r="K13" i="7"/>
  <c r="K14" i="7" s="1"/>
  <c r="K11" i="11" s="1"/>
  <c r="G13" i="7"/>
  <c r="G14" i="7" s="1"/>
  <c r="G11" i="11" s="1"/>
  <c r="J13" i="7"/>
  <c r="J14" i="7" s="1"/>
  <c r="J11" i="11" s="1"/>
  <c r="L13" i="7"/>
  <c r="L14" i="7" s="1"/>
  <c r="L11" i="11" s="1"/>
  <c r="H13" i="7"/>
  <c r="H14" i="7" s="1"/>
  <c r="H11" i="11" s="1"/>
  <c r="D13" i="7"/>
  <c r="D14" i="7" s="1"/>
  <c r="D11" i="11" s="1"/>
  <c r="F68" i="7" l="1"/>
  <c r="F70" i="7" s="1"/>
  <c r="L36" i="11"/>
  <c r="G68" i="7"/>
  <c r="G70" i="7" s="1"/>
  <c r="C40" i="11"/>
  <c r="C113" i="7"/>
  <c r="E68" i="7"/>
  <c r="E39" i="11" s="1"/>
  <c r="H68" i="7"/>
  <c r="H70" i="7" s="1"/>
  <c r="I68" i="7"/>
  <c r="I70" i="7" s="1"/>
  <c r="C68" i="7"/>
  <c r="C70" i="7" s="1"/>
  <c r="K68" i="7"/>
  <c r="K70" i="7" s="1"/>
  <c r="J36" i="11"/>
  <c r="E36" i="11"/>
  <c r="D68" i="7"/>
  <c r="D70" i="7" s="1"/>
  <c r="K36" i="11"/>
  <c r="I113" i="7"/>
  <c r="I40" i="11"/>
  <c r="E40" i="11"/>
  <c r="E113" i="7"/>
  <c r="E19" i="7"/>
  <c r="E20" i="7" s="1"/>
  <c r="E12" i="11" s="1"/>
  <c r="E14" i="7"/>
  <c r="E11" i="11" s="1"/>
  <c r="J38" i="11"/>
  <c r="J39" i="11"/>
  <c r="J40" i="11"/>
  <c r="J113" i="7"/>
  <c r="D38" i="11"/>
  <c r="D40" i="11"/>
  <c r="D113" i="7"/>
  <c r="L38" i="11"/>
  <c r="L40" i="11"/>
  <c r="L113" i="7"/>
  <c r="G38" i="11"/>
  <c r="G40" i="11"/>
  <c r="G113" i="7"/>
  <c r="G36" i="11"/>
  <c r="I36" i="11"/>
  <c r="H36" i="11"/>
  <c r="K38" i="11"/>
  <c r="K40" i="11"/>
  <c r="K113" i="7"/>
  <c r="O9" i="11"/>
  <c r="F36" i="11"/>
  <c r="H40" i="11"/>
  <c r="H38" i="11"/>
  <c r="H113" i="7"/>
  <c r="F38" i="11"/>
  <c r="F39" i="11"/>
  <c r="F40" i="11"/>
  <c r="F113" i="7"/>
  <c r="L68" i="7"/>
  <c r="L70" i="7" s="1"/>
  <c r="D36" i="11"/>
  <c r="N9" i="11"/>
  <c r="K19" i="7"/>
  <c r="H19" i="7"/>
  <c r="F19" i="7"/>
  <c r="J19" i="7"/>
  <c r="I19" i="7"/>
  <c r="D19" i="7"/>
  <c r="G19" i="7"/>
  <c r="I39" i="11" l="1"/>
  <c r="G39" i="11"/>
  <c r="C39" i="11"/>
  <c r="E70" i="7"/>
  <c r="H39" i="11"/>
  <c r="E28" i="7"/>
  <c r="E32" i="7" s="1"/>
  <c r="K39" i="11"/>
  <c r="D39" i="11"/>
  <c r="N40" i="11"/>
  <c r="O40" i="11"/>
  <c r="L6" i="11"/>
  <c r="L25" i="11"/>
  <c r="L13" i="11"/>
  <c r="L19" i="11" s="1"/>
  <c r="L39" i="11"/>
  <c r="E21" i="11"/>
  <c r="E25" i="11"/>
  <c r="E6" i="11"/>
  <c r="E13" i="11"/>
  <c r="E19" i="11" s="1"/>
  <c r="G21" i="11"/>
  <c r="G25" i="11"/>
  <c r="G13" i="11"/>
  <c r="G19" i="11" s="1"/>
  <c r="G6" i="11"/>
  <c r="K21" i="11"/>
  <c r="K25" i="11"/>
  <c r="K13" i="11"/>
  <c r="K19" i="11" s="1"/>
  <c r="K6" i="11"/>
  <c r="D21" i="11"/>
  <c r="D25" i="11"/>
  <c r="D13" i="11"/>
  <c r="D19" i="11" s="1"/>
  <c r="F21" i="11"/>
  <c r="F25" i="11"/>
  <c r="F6" i="11"/>
  <c r="F13" i="11"/>
  <c r="F19" i="11" s="1"/>
  <c r="J13" i="11"/>
  <c r="J19" i="11" s="1"/>
  <c r="J6" i="11"/>
  <c r="J25" i="11"/>
  <c r="J21" i="11"/>
  <c r="I13" i="11"/>
  <c r="I19" i="11" s="1"/>
  <c r="I21" i="11"/>
  <c r="I25" i="11"/>
  <c r="I6" i="11"/>
  <c r="H21" i="11"/>
  <c r="H25" i="11"/>
  <c r="H13" i="11"/>
  <c r="H19" i="11" s="1"/>
  <c r="H6" i="11"/>
  <c r="H20" i="7"/>
  <c r="H12" i="11" s="1"/>
  <c r="H28" i="7"/>
  <c r="K20" i="7"/>
  <c r="K12" i="11" s="1"/>
  <c r="K28" i="7"/>
  <c r="I20" i="7"/>
  <c r="I12" i="11" s="1"/>
  <c r="I28" i="7"/>
  <c r="G20" i="7"/>
  <c r="G12" i="11" s="1"/>
  <c r="G28" i="7"/>
  <c r="J20" i="7"/>
  <c r="J12" i="11" s="1"/>
  <c r="J28" i="7"/>
  <c r="F20" i="7"/>
  <c r="F12" i="11" s="1"/>
  <c r="F28" i="7"/>
  <c r="D20" i="7"/>
  <c r="D12" i="11" s="1"/>
  <c r="D28" i="7"/>
  <c r="L20" i="7"/>
  <c r="L12" i="11" s="1"/>
  <c r="L28" i="7"/>
  <c r="B2" i="7"/>
  <c r="D3" i="7"/>
  <c r="E3" i="7"/>
  <c r="F3" i="7"/>
  <c r="G3" i="7"/>
  <c r="H3" i="7"/>
  <c r="I3" i="7"/>
  <c r="J3" i="7"/>
  <c r="K3" i="7"/>
  <c r="C7" i="7"/>
  <c r="C3" i="7"/>
  <c r="B6" i="6"/>
  <c r="E1" i="6"/>
  <c r="E29" i="7" l="1"/>
  <c r="E14" i="11" s="1"/>
  <c r="E34" i="7"/>
  <c r="E39" i="7" s="1"/>
  <c r="O39" i="11"/>
  <c r="G34" i="7"/>
  <c r="G39" i="7" s="1"/>
  <c r="G7" i="11"/>
  <c r="G29" i="7"/>
  <c r="G14" i="11" s="1"/>
  <c r="G32" i="7"/>
  <c r="E23" i="11"/>
  <c r="H6" i="12"/>
  <c r="H7" i="12" s="1"/>
  <c r="H8" i="12" s="1"/>
  <c r="H9" i="12" s="1"/>
  <c r="H10" i="12" s="1"/>
  <c r="H11" i="12" s="1"/>
  <c r="H12" i="12" s="1"/>
  <c r="H13" i="12" s="1"/>
  <c r="H14" i="12" s="1"/>
  <c r="H15" i="12" s="1"/>
  <c r="H16" i="12" s="1"/>
  <c r="H17" i="12" s="1"/>
  <c r="H18" i="12" s="1"/>
  <c r="H19" i="12" s="1"/>
  <c r="H20" i="12" s="1"/>
  <c r="C6" i="12"/>
  <c r="C7" i="12" s="1"/>
  <c r="C8" i="12" s="1"/>
  <c r="C9" i="12" s="1"/>
  <c r="C10" i="12" s="1"/>
  <c r="C11" i="12" s="1"/>
  <c r="C12" i="12" s="1"/>
  <c r="C13" i="12" s="1"/>
  <c r="C14" i="12" s="1"/>
  <c r="C15" i="12" s="1"/>
  <c r="C16" i="12" s="1"/>
  <c r="C17" i="12" s="1"/>
  <c r="C18" i="12" s="1"/>
  <c r="C19" i="12" s="1"/>
  <c r="C20" i="12" s="1"/>
  <c r="M6" i="12"/>
  <c r="M7" i="12" s="1"/>
  <c r="M8" i="12" s="1"/>
  <c r="M9" i="12" s="1"/>
  <c r="M10" i="12" s="1"/>
  <c r="M11" i="12" s="1"/>
  <c r="M12" i="12" s="1"/>
  <c r="M13" i="12" s="1"/>
  <c r="M14" i="12" s="1"/>
  <c r="M15" i="12" s="1"/>
  <c r="M16" i="12" s="1"/>
  <c r="M17" i="12" s="1"/>
  <c r="M18" i="12" s="1"/>
  <c r="M19" i="12" s="1"/>
  <c r="M20" i="12" s="1"/>
  <c r="L34" i="7"/>
  <c r="L39" i="7" s="1"/>
  <c r="L7" i="11"/>
  <c r="L29" i="7"/>
  <c r="L14" i="11" s="1"/>
  <c r="L32" i="7"/>
  <c r="K34" i="7"/>
  <c r="K39" i="7" s="1"/>
  <c r="K7" i="11"/>
  <c r="K29" i="7"/>
  <c r="K14" i="11" s="1"/>
  <c r="K32" i="7"/>
  <c r="C29" i="11"/>
  <c r="C30" i="11"/>
  <c r="C27" i="11"/>
  <c r="C31" i="11"/>
  <c r="C28" i="11"/>
  <c r="C17" i="7"/>
  <c r="C17" i="11" s="1"/>
  <c r="D8" i="7"/>
  <c r="D5" i="11" s="1"/>
  <c r="C38" i="11"/>
  <c r="C26" i="7"/>
  <c r="C18" i="11" s="1"/>
  <c r="C23" i="7"/>
  <c r="C11" i="7"/>
  <c r="D34" i="7"/>
  <c r="D39" i="7" s="1"/>
  <c r="D29" i="7"/>
  <c r="D14" i="11" s="1"/>
  <c r="D32" i="7"/>
  <c r="J34" i="7"/>
  <c r="J39" i="7" s="1"/>
  <c r="J7" i="11"/>
  <c r="J29" i="7"/>
  <c r="J14" i="11" s="1"/>
  <c r="J32" i="7"/>
  <c r="I34" i="7"/>
  <c r="I39" i="7" s="1"/>
  <c r="I29" i="7"/>
  <c r="I14" i="11" s="1"/>
  <c r="I7" i="11"/>
  <c r="I32" i="7"/>
  <c r="H34" i="7"/>
  <c r="H39" i="7" s="1"/>
  <c r="H7" i="11"/>
  <c r="H29" i="7"/>
  <c r="H14" i="11" s="1"/>
  <c r="H32" i="7"/>
  <c r="N39" i="11"/>
  <c r="F34" i="7"/>
  <c r="F39" i="7" s="1"/>
  <c r="F7" i="11"/>
  <c r="F29" i="7"/>
  <c r="F14" i="11" s="1"/>
  <c r="F32" i="7"/>
  <c r="E7" i="11"/>
  <c r="E43" i="7"/>
  <c r="E45" i="7" s="1"/>
  <c r="E22" i="11" s="1"/>
  <c r="C13" i="7"/>
  <c r="C14" i="7" s="1"/>
  <c r="C11" i="11" s="1"/>
  <c r="E35" i="7" l="1"/>
  <c r="E15" i="11" s="1"/>
  <c r="E24" i="11"/>
  <c r="N30" i="11"/>
  <c r="O30" i="11"/>
  <c r="F35" i="7"/>
  <c r="F15" i="11" s="1"/>
  <c r="F23" i="11"/>
  <c r="F8" i="11"/>
  <c r="O18" i="11"/>
  <c r="N18" i="11"/>
  <c r="C34" i="11"/>
  <c r="O28" i="11"/>
  <c r="N28" i="11"/>
  <c r="C35" i="11"/>
  <c r="O29" i="11"/>
  <c r="N29" i="11"/>
  <c r="K23" i="11"/>
  <c r="K8" i="11"/>
  <c r="K35" i="7"/>
  <c r="K15" i="11" s="1"/>
  <c r="L8" i="11"/>
  <c r="L35" i="7"/>
  <c r="L15" i="11" s="1"/>
  <c r="L23" i="11"/>
  <c r="N17" i="11"/>
  <c r="O17" i="11"/>
  <c r="N11" i="11"/>
  <c r="O11" i="11"/>
  <c r="H23" i="11"/>
  <c r="H8" i="11"/>
  <c r="H35" i="7"/>
  <c r="H15" i="11" s="1"/>
  <c r="I23" i="11"/>
  <c r="I8" i="11"/>
  <c r="I35" i="7"/>
  <c r="I15" i="11" s="1"/>
  <c r="J35" i="7"/>
  <c r="J15" i="11" s="1"/>
  <c r="J23" i="11"/>
  <c r="J8" i="11"/>
  <c r="D23" i="11"/>
  <c r="D35" i="7"/>
  <c r="D15" i="11" s="1"/>
  <c r="O38" i="11"/>
  <c r="N38" i="11"/>
  <c r="N31" i="11"/>
  <c r="O31" i="11"/>
  <c r="E8" i="11"/>
  <c r="N5" i="11"/>
  <c r="O5" i="11"/>
  <c r="N27" i="11"/>
  <c r="C33" i="11"/>
  <c r="O27" i="11"/>
  <c r="G35" i="7"/>
  <c r="G15" i="11" s="1"/>
  <c r="G23" i="11"/>
  <c r="G8" i="11"/>
  <c r="D43" i="7"/>
  <c r="D45" i="7" s="1"/>
  <c r="D22" i="11" s="1"/>
  <c r="K40" i="7"/>
  <c r="K43" i="7"/>
  <c r="K45" i="7" s="1"/>
  <c r="K22" i="11" s="1"/>
  <c r="K24" i="11" s="1"/>
  <c r="H40" i="7"/>
  <c r="H43" i="7"/>
  <c r="H45" i="7" s="1"/>
  <c r="H22" i="11" s="1"/>
  <c r="J40" i="7"/>
  <c r="J43" i="7"/>
  <c r="J45" i="7" s="1"/>
  <c r="J22" i="11" s="1"/>
  <c r="F40" i="7"/>
  <c r="F43" i="7"/>
  <c r="F45" i="7" s="1"/>
  <c r="F22" i="11" s="1"/>
  <c r="I40" i="7"/>
  <c r="I43" i="7"/>
  <c r="I45" i="7" s="1"/>
  <c r="I22" i="11" s="1"/>
  <c r="G40" i="7"/>
  <c r="G43" i="7"/>
  <c r="G45" i="7" s="1"/>
  <c r="G22" i="11" s="1"/>
  <c r="L40" i="7"/>
  <c r="L43" i="7"/>
  <c r="L45" i="7" s="1"/>
  <c r="L22" i="11" s="1"/>
  <c r="E40" i="7"/>
  <c r="C19" i="7"/>
  <c r="I6" i="12" s="1" a="1"/>
  <c r="D24" i="11" l="1"/>
  <c r="L24" i="11"/>
  <c r="J24" i="11"/>
  <c r="I24" i="11"/>
  <c r="G24" i="11"/>
  <c r="I13" i="12"/>
  <c r="I14" i="12"/>
  <c r="J14" i="12" s="1"/>
  <c r="I9" i="12"/>
  <c r="J9" i="12" s="1"/>
  <c r="I15" i="12"/>
  <c r="I10" i="12"/>
  <c r="I8" i="12"/>
  <c r="I12" i="12"/>
  <c r="I11" i="12"/>
  <c r="I7" i="12"/>
  <c r="F24" i="11"/>
  <c r="O34" i="11"/>
  <c r="N34" i="11"/>
  <c r="C36" i="11"/>
  <c r="N35" i="11"/>
  <c r="O35" i="11"/>
  <c r="O33" i="11"/>
  <c r="N33" i="11"/>
  <c r="I6" i="12"/>
  <c r="C25" i="11"/>
  <c r="C21" i="11"/>
  <c r="C13" i="11"/>
  <c r="C20" i="7"/>
  <c r="C12" i="11" s="1"/>
  <c r="D6" i="11"/>
  <c r="H24" i="11"/>
  <c r="C28" i="7"/>
  <c r="J11" i="12" l="1"/>
  <c r="J15" i="12"/>
  <c r="J12" i="12"/>
  <c r="J8" i="12"/>
  <c r="J10" i="12"/>
  <c r="J13" i="12"/>
  <c r="C29" i="7"/>
  <c r="C14" i="11" s="1"/>
  <c r="C32" i="7"/>
  <c r="D7" i="11"/>
  <c r="O13" i="11"/>
  <c r="C19" i="11"/>
  <c r="N13" i="11"/>
  <c r="N36" i="11"/>
  <c r="O36" i="11"/>
  <c r="I17" i="12"/>
  <c r="I16" i="12"/>
  <c r="J16" i="12" s="1"/>
  <c r="I18" i="12"/>
  <c r="J7" i="12"/>
  <c r="I19" i="12"/>
  <c r="J19" i="12" s="1"/>
  <c r="I20" i="12"/>
  <c r="N12" i="11"/>
  <c r="O12" i="11"/>
  <c r="N21" i="11"/>
  <c r="O21" i="11"/>
  <c r="N6" i="11"/>
  <c r="O6" i="11"/>
  <c r="N25" i="11"/>
  <c r="O25" i="11"/>
  <c r="C34" i="7"/>
  <c r="J18" i="12" l="1"/>
  <c r="J17" i="12"/>
  <c r="C35" i="7"/>
  <c r="C15" i="11" s="1"/>
  <c r="C23" i="11"/>
  <c r="D8" i="11"/>
  <c r="N7" i="11"/>
  <c r="O7" i="11"/>
  <c r="J20" i="12"/>
  <c r="O19" i="11"/>
  <c r="N19" i="11"/>
  <c r="O14" i="11"/>
  <c r="N14" i="11"/>
  <c r="C39" i="7"/>
  <c r="N6" i="12" l="1" a="1"/>
  <c r="N8" i="11"/>
  <c r="O8" i="11"/>
  <c r="O23" i="11"/>
  <c r="N23" i="11"/>
  <c r="N15" i="11"/>
  <c r="O15" i="11"/>
  <c r="C43" i="7"/>
  <c r="C45" i="7" s="1"/>
  <c r="C22" i="11" s="1"/>
  <c r="D40" i="7"/>
  <c r="N9" i="12" l="1"/>
  <c r="N7" i="12"/>
  <c r="O7" i="12" s="1"/>
  <c r="N12" i="12"/>
  <c r="N15" i="12"/>
  <c r="N13" i="12"/>
  <c r="N10" i="12"/>
  <c r="N8" i="12"/>
  <c r="N14" i="12"/>
  <c r="O14" i="12" s="1"/>
  <c r="N11" i="12"/>
  <c r="N6" i="12"/>
  <c r="N22" i="11"/>
  <c r="C24" i="11"/>
  <c r="O22" i="11"/>
  <c r="O12" i="12" l="1"/>
  <c r="O10" i="12"/>
  <c r="N18" i="12"/>
  <c r="N19" i="12"/>
  <c r="O19" i="12" s="1"/>
  <c r="N20" i="12"/>
  <c r="N17" i="12"/>
  <c r="N16" i="12"/>
  <c r="O16" i="12" s="1"/>
  <c r="O15" i="12"/>
  <c r="O9" i="12"/>
  <c r="O8" i="12"/>
  <c r="O11" i="12"/>
  <c r="O13" i="12"/>
  <c r="O24" i="11"/>
  <c r="N24" i="11"/>
  <c r="O20" i="12" l="1"/>
  <c r="O17" i="12"/>
  <c r="O18" i="12"/>
</calcChain>
</file>

<file path=xl/sharedStrings.xml><?xml version="1.0" encoding="utf-8"?>
<sst xmlns="http://schemas.openxmlformats.org/spreadsheetml/2006/main" count="744" uniqueCount="496">
  <si>
    <t>COMPANY NAME</t>
  </si>
  <si>
    <t>Sales</t>
  </si>
  <si>
    <t>Expenses</t>
  </si>
  <si>
    <t>Operating Profit</t>
  </si>
  <si>
    <t>Other Income</t>
  </si>
  <si>
    <t>Depreciation</t>
  </si>
  <si>
    <t>Interest</t>
  </si>
  <si>
    <t>Profit before tax</t>
  </si>
  <si>
    <t>Tax</t>
  </si>
  <si>
    <t>Net profit</t>
  </si>
  <si>
    <t>Sales Growth</t>
  </si>
  <si>
    <t>Equity Share Capital</t>
  </si>
  <si>
    <t>Reserves</t>
  </si>
  <si>
    <t>Total</t>
  </si>
  <si>
    <t>Net Block</t>
  </si>
  <si>
    <t>Capital Work in Progress</t>
  </si>
  <si>
    <t>Investments</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</si>
  <si>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</si>
  <si>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</si>
  <si>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</si>
  <si>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</si>
  <si>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</si>
  <si>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</si>
  <si>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</si>
  <si>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</si>
  <si>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</si>
  <si>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</si>
  <si>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</si>
  <si>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</si>
  <si>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</si>
  <si>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Inventory</t>
  </si>
  <si>
    <t>LATEST VERSION</t>
  </si>
  <si>
    <t>CURRENT VERSION</t>
  </si>
  <si>
    <t>CIPLA LTD</t>
  </si>
  <si>
    <t>META</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</si>
  <si>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</si>
  <si>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</si>
  <si>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</si>
  <si>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</si>
  <si>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</si>
  <si>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</si>
  <si>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</si>
  <si>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</si>
  <si>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</si>
  <si>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</si>
  <si>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</si>
  <si>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</si>
  <si>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</si>
  <si>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</si>
  <si>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</si>
  <si>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</si>
  <si>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</si>
  <si>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</si>
  <si>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</si>
  <si>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</si>
  <si>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Years</t>
  </si>
  <si>
    <t>Income Statement</t>
  </si>
  <si>
    <t xml:space="preserve"> -</t>
  </si>
  <si>
    <t>COGS</t>
  </si>
  <si>
    <t>COGS % Sales</t>
  </si>
  <si>
    <t>Gross Profit</t>
  </si>
  <si>
    <t>Selling &amp; Genral Expenses</t>
  </si>
  <si>
    <t>S&amp;G % Sales</t>
  </si>
  <si>
    <t>EBITDA</t>
  </si>
  <si>
    <t>EBITDA Margins</t>
  </si>
  <si>
    <t>Interest % Sales</t>
  </si>
  <si>
    <t>Depriciation</t>
  </si>
  <si>
    <t>Depriciation % Sales</t>
  </si>
  <si>
    <t>Gross Margin</t>
  </si>
  <si>
    <t>Earnings Before Tax (EBT)</t>
  </si>
  <si>
    <t>EBT % Sales</t>
  </si>
  <si>
    <t>Effective Tax Rate</t>
  </si>
  <si>
    <t>Net Profit</t>
  </si>
  <si>
    <t>Net Margins</t>
  </si>
  <si>
    <t>No of equity shares</t>
  </si>
  <si>
    <t>Earning per share (EPS)</t>
  </si>
  <si>
    <t>Dividend per share (DPS)</t>
  </si>
  <si>
    <t>EPS Growth %</t>
  </si>
  <si>
    <t>Dividend payout ratio</t>
  </si>
  <si>
    <t>Retained Earnings</t>
  </si>
  <si>
    <t>Balance Sheet</t>
  </si>
  <si>
    <t>Total Liabilities</t>
  </si>
  <si>
    <t>Fixed Assets Net block</t>
  </si>
  <si>
    <t>Total Assets</t>
  </si>
  <si>
    <t>Total Non current assets</t>
  </si>
  <si>
    <t>Total Current assets</t>
  </si>
  <si>
    <t>Check</t>
  </si>
  <si>
    <t>Profit from operations</t>
  </si>
  <si>
    <t>Payables</t>
  </si>
  <si>
    <t>Working capital changes</t>
  </si>
  <si>
    <t>Direct taxes</t>
  </si>
  <si>
    <t>Fixed assets purchased</t>
  </si>
  <si>
    <t>Fixed assets sold</t>
  </si>
  <si>
    <t>Investments purchased</t>
  </si>
  <si>
    <t>Investments sold</t>
  </si>
  <si>
    <t>Interest received</t>
  </si>
  <si>
    <t>Dividends received</t>
  </si>
  <si>
    <t>Investment in group cos</t>
  </si>
  <si>
    <t>Redemp n Canc of Shares</t>
  </si>
  <si>
    <t>Acquisition of companies</t>
  </si>
  <si>
    <t>Inter corporate deposits</t>
  </si>
  <si>
    <t>Other investing items</t>
  </si>
  <si>
    <t>Proceeds from shares</t>
  </si>
  <si>
    <t>Proceeds from borrowings</t>
  </si>
  <si>
    <t>Repayment of borrowings</t>
  </si>
  <si>
    <t>Interest paid fin</t>
  </si>
  <si>
    <t>Dividends paid</t>
  </si>
  <si>
    <t>Financial liabilities</t>
  </si>
  <si>
    <t>Other financing items</t>
  </si>
  <si>
    <t>Cash Flow Satement (Raw Data)</t>
  </si>
  <si>
    <t>Cash Flow Statement</t>
  </si>
  <si>
    <t>Operating Activity</t>
  </si>
  <si>
    <t>Investing Activity</t>
  </si>
  <si>
    <t>Financing Activity</t>
  </si>
  <si>
    <t>SalesGrowth</t>
  </si>
  <si>
    <t>EBITDA Growth</t>
  </si>
  <si>
    <t>EBIT Growth</t>
  </si>
  <si>
    <t>Net Profit Growth</t>
  </si>
  <si>
    <t>Dividend Growth</t>
  </si>
  <si>
    <t>EBITDA Margin</t>
  </si>
  <si>
    <t>EBIT Margin</t>
  </si>
  <si>
    <t>EBT Margin</t>
  </si>
  <si>
    <t>Net Profit Margin</t>
  </si>
  <si>
    <t>SalesExpenses%Sales</t>
  </si>
  <si>
    <t>Depreciation%Sales</t>
  </si>
  <si>
    <t>OperatingIncome%Sales</t>
  </si>
  <si>
    <t>Return on Capital Employed</t>
  </si>
  <si>
    <t>Retained Earnings%</t>
  </si>
  <si>
    <t>Return on Equity%</t>
  </si>
  <si>
    <t>Self Sustained Growth Rate</t>
  </si>
  <si>
    <t>Interest Coverage Ratio</t>
  </si>
  <si>
    <t>Debtor Turnover Ratio</t>
  </si>
  <si>
    <t>Creditor Turnover Ratio</t>
  </si>
  <si>
    <t>Inventory Turnover</t>
  </si>
  <si>
    <t>Fixed Asset Turnover</t>
  </si>
  <si>
    <t>Capital Turnover Ratio</t>
  </si>
  <si>
    <t>Debtor Days</t>
  </si>
  <si>
    <t>Payable Days</t>
  </si>
  <si>
    <t>Inventory Days</t>
  </si>
  <si>
    <t>Cash Conversion Cycle (in days)</t>
  </si>
  <si>
    <t>CFO/Sales</t>
  </si>
  <si>
    <t>CFO/Total Assets</t>
  </si>
  <si>
    <t>CFO/Total Debt</t>
  </si>
  <si>
    <t xml:space="preserve"> </t>
  </si>
  <si>
    <t>Trends</t>
  </si>
  <si>
    <t>Mean</t>
  </si>
  <si>
    <t>Median</t>
  </si>
  <si>
    <t>Year Weight</t>
  </si>
  <si>
    <t>Year</t>
  </si>
  <si>
    <t>Particualrs</t>
  </si>
  <si>
    <t>Cipla Limited is an Indian multinational pharmaceutical company, headquartered in Mumbai. Cipla primarily develops medication to treat respiratory disease, cardiovascular disease, arthritis, diabetes, depression, and other medical conditions. Cipla has 47 manufacturing locations across the world and sells its products in 86 countries. It is the third largest drug producer in India.</t>
  </si>
  <si>
    <t>Company Brief</t>
  </si>
  <si>
    <t>Traded As</t>
  </si>
  <si>
    <t>BSE: 500087</t>
  </si>
  <si>
    <t>NSE: CIPLA</t>
  </si>
  <si>
    <t>Founded</t>
  </si>
  <si>
    <t>1935 (89 Years Ago)</t>
  </si>
  <si>
    <t>Industry Type</t>
  </si>
  <si>
    <t>Pharmaceuticals</t>
  </si>
  <si>
    <t>Products</t>
  </si>
  <si>
    <t>Pharmaceuticals and diagnostics</t>
  </si>
  <si>
    <t>Current Market Price</t>
  </si>
  <si>
    <t>Revenue (FY23)</t>
  </si>
  <si>
    <t>(In Crores)</t>
  </si>
  <si>
    <t>(As on 24 Feb 2024)</t>
  </si>
  <si>
    <t>Financial Summary</t>
  </si>
  <si>
    <t>Total Revenue</t>
  </si>
  <si>
    <t>Cost of Revenue</t>
  </si>
  <si>
    <t>Operating Expense</t>
  </si>
  <si>
    <t>Operating Income</t>
  </si>
  <si>
    <t>Net Non Operating Interest Income Expense</t>
  </si>
  <si>
    <t>Pretax Income</t>
  </si>
  <si>
    <t>Tax Provision</t>
  </si>
  <si>
    <t>Net Income Common Stockholders</t>
  </si>
  <si>
    <t>Diluted NI Available to Com Stockholders</t>
  </si>
  <si>
    <t>Basic EPS</t>
  </si>
  <si>
    <t>Diluted EPS</t>
  </si>
  <si>
    <t>Basic Average Shares</t>
  </si>
  <si>
    <t>Diluted Average Shares</t>
  </si>
  <si>
    <t>Rent Expense Supplemental</t>
  </si>
  <si>
    <t>Total Expenses</t>
  </si>
  <si>
    <t>Net Income from Continuing &amp; Discontinued Operation</t>
  </si>
  <si>
    <t>Normalized Income</t>
  </si>
  <si>
    <t>Interest Income</t>
  </si>
  <si>
    <t>Interest Expense</t>
  </si>
  <si>
    <t>Net Interest Income</t>
  </si>
  <si>
    <t>EBIT</t>
  </si>
  <si>
    <t>Reconciled Cost of Revenue</t>
  </si>
  <si>
    <t>Reconciled Depreciation</t>
  </si>
  <si>
    <t>Net Income from Continuing Operation Net Minority Interest</t>
  </si>
  <si>
    <t>Total Unusual Items Excluding Goodwill</t>
  </si>
  <si>
    <t>Total Unusual Items</t>
  </si>
  <si>
    <t>Normalized EBITDA</t>
  </si>
  <si>
    <t>Tax Rate for Calcs</t>
  </si>
  <si>
    <t>Tax Effect of Unusual Items</t>
  </si>
  <si>
    <t>Revenue (INR Cr.)</t>
  </si>
  <si>
    <t>Net Profit (INR Cr.)</t>
  </si>
  <si>
    <t>Average Total Assets (INR Cr.)</t>
  </si>
  <si>
    <t>Revenue</t>
  </si>
  <si>
    <t>Return on Equity (%)</t>
  </si>
  <si>
    <t>Return on Assets (%)</t>
  </si>
  <si>
    <t>Financial Leverage</t>
  </si>
  <si>
    <t>Financial Modelling and Valuation - Cipla Limited</t>
  </si>
  <si>
    <t xml:space="preserve">ROA </t>
  </si>
  <si>
    <t>ROE</t>
  </si>
  <si>
    <t>Total Assests</t>
  </si>
  <si>
    <t xml:space="preserve">Financial Levrage </t>
  </si>
  <si>
    <t>Recent Updates</t>
  </si>
  <si>
    <t>Cipla reported a 31.8% year-on-year (YoY) jump in its October-December quarter consolidated net profit at Rs 1,056 crore. It was Rs 801 crore in the year-ago period. InterGlobe Enterprises, which runs and operates IndiGo airline, appointed Aditya Pande as the Group CEO with effect from March 2024.</t>
  </si>
  <si>
    <t>Cipla is to transfer its generics business as a going concern on a slump sale basis to Cipla Pharma and Life Sciences Limited (CPLS), its wholly owned subsidiary, for ?350 crore, subject to approvals.</t>
  </si>
  <si>
    <t>Shares of Cipla jumped over 6% on Monday to hit new highs</t>
  </si>
  <si>
    <t>Blackstone is likely to acquire an entire promoter stake in the company.</t>
  </si>
  <si>
    <t>Cipla's net profit rose 45% YoY to Rs 996 crore in June 2023 quarter.</t>
  </si>
  <si>
    <t>Cash from Investing Activity -</t>
  </si>
  <si>
    <t>Investment income</t>
  </si>
  <si>
    <t>Cash from Financing Activity -</t>
  </si>
  <si>
    <t>Share application money</t>
  </si>
  <si>
    <t xml:space="preserve">Cash from Operating Activity </t>
  </si>
  <si>
    <t>Forecasting - Cipla Ltd</t>
  </si>
  <si>
    <t xml:space="preserve"> Growth</t>
  </si>
  <si>
    <t>All figures are in INR unless stated otherwise</t>
  </si>
  <si>
    <t>Peer Companies</t>
  </si>
  <si>
    <t>Debt/</t>
  </si>
  <si>
    <t>Levered</t>
  </si>
  <si>
    <t>Unlevered</t>
  </si>
  <si>
    <t>Name of Company</t>
  </si>
  <si>
    <t>Country</t>
  </si>
  <si>
    <t>Total Debt</t>
  </si>
  <si>
    <t>Total Equity</t>
  </si>
  <si>
    <t>Equity</t>
  </si>
  <si>
    <t>Capital</t>
  </si>
  <si>
    <t>Avenue Super.</t>
  </si>
  <si>
    <t>India</t>
  </si>
  <si>
    <t>Trent</t>
  </si>
  <si>
    <t>Vedant Fashions</t>
  </si>
  <si>
    <t>Aditya Bir. Fas.</t>
  </si>
  <si>
    <t>Medplus Health</t>
  </si>
  <si>
    <t>Average</t>
  </si>
  <si>
    <t>Cost of Debt</t>
  </si>
  <si>
    <t>Cost of Equity</t>
  </si>
  <si>
    <t>Pre-Tax Cost of Debt</t>
  </si>
  <si>
    <t>Risk Free Rate</t>
  </si>
  <si>
    <t>Tax rate</t>
  </si>
  <si>
    <t>Equity Risk Premium</t>
  </si>
  <si>
    <t>Post-Tax Cost of Debt</t>
  </si>
  <si>
    <r>
      <t xml:space="preserve">Levered Beta </t>
    </r>
    <r>
      <rPr>
        <vertAlign val="superscript"/>
        <sz val="11"/>
        <color theme="1"/>
        <rFont val="Calibri"/>
        <family val="2"/>
      </rPr>
      <t>4</t>
    </r>
  </si>
  <si>
    <t>Capital Structure</t>
  </si>
  <si>
    <t>Levered Beta</t>
  </si>
  <si>
    <t>Current</t>
  </si>
  <si>
    <t>Target</t>
  </si>
  <si>
    <t>Companies Median Unlevered Beta</t>
  </si>
  <si>
    <t>Target Debt/Equity</t>
  </si>
  <si>
    <t>Market Captalisation</t>
  </si>
  <si>
    <t>Tax Rate</t>
  </si>
  <si>
    <t>Total Capital</t>
  </si>
  <si>
    <t>Debt/Equity</t>
  </si>
  <si>
    <t>Weigted Average Cost of Capital</t>
  </si>
  <si>
    <t>Notes</t>
  </si>
  <si>
    <t>Total Cost</t>
  </si>
  <si>
    <t>Total Weight</t>
  </si>
  <si>
    <t>1. Tax Rate is considered marginal Tax Rate for the country</t>
  </si>
  <si>
    <t>Debt</t>
  </si>
  <si>
    <t>2. Levered beta is based on five years monthly data</t>
  </si>
  <si>
    <t>3. Unlevered Beta = Levered Beta/(1+(1-Tax Rate)*Debt/Equity)</t>
  </si>
  <si>
    <t>4. Levered Beta = Unlevered Beta*(1+(1-Tax Rate)*Debt/Equity)</t>
  </si>
  <si>
    <t>Equity Capital</t>
  </si>
  <si>
    <t>Long term Borrowings</t>
  </si>
  <si>
    <t>Short term Borrowings</t>
  </si>
  <si>
    <t>Lease Liabilities</t>
  </si>
  <si>
    <t>Other Borrowings</t>
  </si>
  <si>
    <t>Non controlling int</t>
  </si>
  <si>
    <t>Trade Payables</t>
  </si>
  <si>
    <t>Advance from Customers</t>
  </si>
  <si>
    <t>Other liability items</t>
  </si>
  <si>
    <t>Fixed Assets -</t>
  </si>
  <si>
    <t>Land</t>
  </si>
  <si>
    <t>Building</t>
  </si>
  <si>
    <t>Plant Machinery</t>
  </si>
  <si>
    <t>Equipments</t>
  </si>
  <si>
    <t>Furniture n fittings</t>
  </si>
  <si>
    <t>Vehicles</t>
  </si>
  <si>
    <t>Intangible Assets</t>
  </si>
  <si>
    <t>Other fixed assets</t>
  </si>
  <si>
    <t>Gross Block</t>
  </si>
  <si>
    <t>Accumulated Depreciation</t>
  </si>
  <si>
    <t>CWIP</t>
  </si>
  <si>
    <t>Inventories</t>
  </si>
  <si>
    <t>Cash Equivalents</t>
  </si>
  <si>
    <t>Short term loans</t>
  </si>
  <si>
    <t>Other asset items</t>
  </si>
  <si>
    <t>Current Assets</t>
  </si>
  <si>
    <t>Total Current Assets</t>
  </si>
  <si>
    <t>Current Liabilities</t>
  </si>
  <si>
    <t xml:space="preserve">Net Working Capital </t>
  </si>
  <si>
    <t>Non-Current Assets</t>
  </si>
  <si>
    <t>Accumulated Depriciation</t>
  </si>
  <si>
    <t>Net Non-Current Assets</t>
  </si>
  <si>
    <t>Invested Capital</t>
  </si>
  <si>
    <t>ROIC</t>
  </si>
  <si>
    <t>Net Capex</t>
  </si>
  <si>
    <t>Change in working Capital</t>
  </si>
  <si>
    <t>Marginal Tax Rate</t>
  </si>
  <si>
    <t>EBIT(1-T)</t>
  </si>
  <si>
    <t>Reinvestment</t>
  </si>
  <si>
    <t>Reinvestment Rate</t>
  </si>
  <si>
    <t>4 Year Average</t>
  </si>
  <si>
    <t>4 Year Median</t>
  </si>
  <si>
    <t>Intrinsic Growth</t>
  </si>
  <si>
    <t>Calculations of PV of FCFF</t>
  </si>
  <si>
    <t>Less: Reinvestment Rate</t>
  </si>
  <si>
    <t>Free Cash Flow to Firm (FCFF)</t>
  </si>
  <si>
    <t>Mid Year Convention</t>
  </si>
  <si>
    <t>Discounting Factor</t>
  </si>
  <si>
    <t>PV of FCFF</t>
  </si>
  <si>
    <t>Expected Growth</t>
  </si>
  <si>
    <t xml:space="preserve">Terminal Gowth </t>
  </si>
  <si>
    <t>WACC</t>
  </si>
  <si>
    <t>Calculations of Terminal Value</t>
  </si>
  <si>
    <t>Sensitivity Analysis</t>
  </si>
  <si>
    <t>FCFF (n+1)</t>
  </si>
  <si>
    <t>Terminal Growth Rate</t>
  </si>
  <si>
    <t>Terminal Value</t>
  </si>
  <si>
    <t>Calculations of Equity Value per share</t>
  </si>
  <si>
    <t xml:space="preserve">  </t>
  </si>
  <si>
    <t>PV Terminal Value</t>
  </si>
  <si>
    <t>Value of Operating Assests (EV)</t>
  </si>
  <si>
    <t>Add: Cash</t>
  </si>
  <si>
    <t>Less: Debt</t>
  </si>
  <si>
    <t>Value of Equity</t>
  </si>
  <si>
    <t>No. Of shares</t>
  </si>
  <si>
    <t>Equity Value per share</t>
  </si>
  <si>
    <t>Share Price</t>
  </si>
  <si>
    <t>Discount/Premium</t>
  </si>
  <si>
    <t>Annual</t>
  </si>
  <si>
    <t>Average Return</t>
  </si>
  <si>
    <t>Dividen Yield</t>
  </si>
  <si>
    <r>
      <t xml:space="preserve">1.23% </t>
    </r>
    <r>
      <rPr>
        <vertAlign val="superscript"/>
        <sz val="11"/>
        <color theme="1"/>
        <rFont val="Calibri"/>
        <family val="2"/>
      </rPr>
      <t>1</t>
    </r>
  </si>
  <si>
    <t>Total Market Return</t>
  </si>
  <si>
    <t>Peer Comp.</t>
  </si>
  <si>
    <t>S.No.</t>
  </si>
  <si>
    <t>Name</t>
  </si>
  <si>
    <t>CMP Rs.</t>
  </si>
  <si>
    <t xml:space="preserve">Mar Cap Rs.Cr. </t>
  </si>
  <si>
    <t>Debt Rs.Cr.</t>
  </si>
  <si>
    <t>Debt / Eq</t>
  </si>
  <si>
    <t>Weighted Average Cost of Capital (WACC) - Cipla Ltd.</t>
  </si>
  <si>
    <t>Sun Pharma.Inds.</t>
  </si>
  <si>
    <t>Cipla</t>
  </si>
  <si>
    <t>Dr Reddy's Labs</t>
  </si>
  <si>
    <t>Zydus Lifesci.</t>
  </si>
  <si>
    <t>Mankind Pharma</t>
  </si>
  <si>
    <t>Lupin</t>
  </si>
  <si>
    <r>
      <t>Tax Rate</t>
    </r>
    <r>
      <rPr>
        <b/>
        <vertAlign val="superscript"/>
        <sz val="11"/>
        <color theme="1"/>
        <rFont val="Calibri"/>
        <family val="2"/>
      </rPr>
      <t xml:space="preserve"> 1</t>
    </r>
  </si>
  <si>
    <r>
      <t>Beta</t>
    </r>
    <r>
      <rPr>
        <b/>
        <vertAlign val="superscript"/>
        <sz val="11"/>
        <color theme="1"/>
        <rFont val="Calibri"/>
        <family val="2"/>
      </rPr>
      <t xml:space="preserve"> 2</t>
    </r>
  </si>
  <si>
    <r>
      <t xml:space="preserve">Beta </t>
    </r>
    <r>
      <rPr>
        <b/>
        <vertAlign val="superscript"/>
        <sz val="11"/>
        <color theme="1"/>
        <rFont val="Calibri"/>
        <family val="2"/>
      </rPr>
      <t>3</t>
    </r>
  </si>
  <si>
    <t>Beta</t>
  </si>
  <si>
    <t>Beta Drifting</t>
  </si>
  <si>
    <t>Beta 1</t>
  </si>
  <si>
    <t>Beta 2</t>
  </si>
  <si>
    <t>Date</t>
  </si>
  <si>
    <t xml:space="preserve">Closing Price </t>
  </si>
  <si>
    <t xml:space="preserve"> Return</t>
  </si>
  <si>
    <t>Levered Raw Beta</t>
  </si>
  <si>
    <t xml:space="preserve">          -</t>
  </si>
  <si>
    <t>Raw Beta Weight</t>
  </si>
  <si>
    <t>Beta 3</t>
  </si>
  <si>
    <t>Market Beta</t>
  </si>
  <si>
    <t>SUMMARY OUTPUT</t>
  </si>
  <si>
    <t>Market Beta Weight</t>
  </si>
  <si>
    <t>Regression Statistics</t>
  </si>
  <si>
    <t>Adjusted Beta</t>
  </si>
  <si>
    <t>Multiple R</t>
  </si>
  <si>
    <t>R Square</t>
  </si>
  <si>
    <t>Adjusted R Square</t>
  </si>
  <si>
    <t>Standard Error</t>
  </si>
  <si>
    <t>Observations</t>
  </si>
  <si>
    <t>ANOVA</t>
  </si>
  <si>
    <t>df</t>
  </si>
  <si>
    <t>SS</t>
  </si>
  <si>
    <t>MS</t>
  </si>
  <si>
    <t>F</t>
  </si>
  <si>
    <t>Significance F</t>
  </si>
  <si>
    <t>Regression</t>
  </si>
  <si>
    <t>Residual</t>
  </si>
  <si>
    <t>Coefficients</t>
  </si>
  <si>
    <t>t Stat</t>
  </si>
  <si>
    <t>P-value</t>
  </si>
  <si>
    <t>Lower 95%</t>
  </si>
  <si>
    <t>Upper 95%</t>
  </si>
  <si>
    <t>Lower 95.0%</t>
  </si>
  <si>
    <t>Upper 95.0%</t>
  </si>
  <si>
    <t>Intercept</t>
  </si>
  <si>
    <t>X Variable 1</t>
  </si>
  <si>
    <t>Regression Beta - Cipla Ltd.</t>
  </si>
  <si>
    <t>Cipla Ltd Monthly Return</t>
  </si>
  <si>
    <t>Nifty Monthly Return</t>
  </si>
  <si>
    <t>Retun on Market - Cipla Ltd.</t>
  </si>
  <si>
    <t>Calculation of ROIC - Cipla Ltd.</t>
  </si>
  <si>
    <t>Total Current Liabilities</t>
  </si>
  <si>
    <t>Calculation of Reinvestment Rate - Cipla Ltd.</t>
  </si>
  <si>
    <t>Calculation of Growth Rate - Cipla Ltd</t>
  </si>
  <si>
    <t>Borrowings -</t>
  </si>
  <si>
    <t>Other Liabilities -</t>
  </si>
  <si>
    <t>Computers</t>
  </si>
  <si>
    <t>Other Assets -</t>
  </si>
  <si>
    <t>Trade receivables +</t>
  </si>
  <si>
    <t>Calculations of PV of FCFF - Cipla Ltd.</t>
  </si>
  <si>
    <t>(In Corers)</t>
  </si>
  <si>
    <t>Market Data</t>
  </si>
  <si>
    <t>Valuation</t>
  </si>
  <si>
    <t xml:space="preserve">Company </t>
  </si>
  <si>
    <t>Ticker</t>
  </si>
  <si>
    <t xml:space="preserve">Shares Outstanding </t>
  </si>
  <si>
    <t>Equity Value</t>
  </si>
  <si>
    <t>Net Debt</t>
  </si>
  <si>
    <t>Enterprice Value</t>
  </si>
  <si>
    <t>Net Income</t>
  </si>
  <si>
    <t>EV/Revenue</t>
  </si>
  <si>
    <t>EV/EBITDA</t>
  </si>
  <si>
    <t>P/E</t>
  </si>
  <si>
    <t>High</t>
  </si>
  <si>
    <t>75th Percentile</t>
  </si>
  <si>
    <t>25th Percentile</t>
  </si>
  <si>
    <t>Low</t>
  </si>
  <si>
    <t>Cipla Comparable Valuation</t>
  </si>
  <si>
    <t>Implied Enterprice Value</t>
  </si>
  <si>
    <t>Implied Market Value</t>
  </si>
  <si>
    <t>Shares Outstanding</t>
  </si>
  <si>
    <t>Implied Value Per share</t>
  </si>
  <si>
    <t>Comparable Company Valuation - Cipla Ltd.</t>
  </si>
  <si>
    <t>Alkem Lab</t>
  </si>
  <si>
    <t>Aurobindo Pharma</t>
  </si>
  <si>
    <t>Tax 12M Rs.Cr.</t>
  </si>
  <si>
    <t>Cash End Rs.Cr.</t>
  </si>
  <si>
    <t>No. Eq. Shares PY Cr.</t>
  </si>
  <si>
    <t>SUNPHARMA</t>
  </si>
  <si>
    <t>MANKIND</t>
  </si>
  <si>
    <t>ALKEM</t>
  </si>
  <si>
    <t>ZYDUSLIFE</t>
  </si>
  <si>
    <t>LUPIN</t>
  </si>
  <si>
    <t>CIPLA</t>
  </si>
  <si>
    <t>DRREDDY</t>
  </si>
  <si>
    <t>AUROPHARMA</t>
  </si>
  <si>
    <t>BIOCON</t>
  </si>
  <si>
    <t>IPCALAB</t>
  </si>
  <si>
    <t>Adj Close</t>
  </si>
  <si>
    <t>Returns</t>
  </si>
  <si>
    <t>Calculation of Value at Risk - Cipla Ltd. (Historical )</t>
  </si>
  <si>
    <t>Sorted Returns</t>
  </si>
  <si>
    <t>Calculation of Value at Risk</t>
  </si>
  <si>
    <t>Min.</t>
  </si>
  <si>
    <t>Max.</t>
  </si>
  <si>
    <t>Std. Deviation</t>
  </si>
  <si>
    <t>Percentile</t>
  </si>
  <si>
    <t>VAR</t>
  </si>
  <si>
    <t>CMP</t>
  </si>
  <si>
    <t>Stock price</t>
  </si>
  <si>
    <t>VAR (INR)</t>
  </si>
  <si>
    <t>Confidence</t>
  </si>
  <si>
    <t>Replication</t>
  </si>
  <si>
    <t>Simulated Returns</t>
  </si>
  <si>
    <t>Historical Approch</t>
  </si>
  <si>
    <t>Monte Carlo Simulation</t>
  </si>
  <si>
    <t>Dupont Analysis - Cipla Ltd.</t>
  </si>
  <si>
    <t>Return on Equity</t>
  </si>
  <si>
    <t>Average Shareholder Equity</t>
  </si>
  <si>
    <t>Return on Equity - Dupont Equation</t>
  </si>
  <si>
    <t>Revenues</t>
  </si>
  <si>
    <t>Net Profit Margins (A)</t>
  </si>
  <si>
    <t>Average Total Assets</t>
  </si>
  <si>
    <t>Asset Turnover Ratio (B)</t>
  </si>
  <si>
    <t>Equity Multiplier (C)</t>
  </si>
  <si>
    <t>Return on Equity (A*B*C)</t>
  </si>
  <si>
    <t>Return on Assets</t>
  </si>
  <si>
    <t>Return on Assets - Dupont Equation</t>
  </si>
  <si>
    <t>Return on Assets (A*B)</t>
  </si>
  <si>
    <t>Dupont Analysis Summary</t>
  </si>
  <si>
    <t>The Return on Equity (ROE) of Cipla Ltd has exhibited a steady upward trajectory since 2017, rising from 8.37% to 12.66% in 2023. This indicates improved shareholder returns attributed to enhanced profitability and decreased financial leverage.</t>
  </si>
  <si>
    <t>The Net Profit Margin has demonstrated consistent yet enhanced growth since 2017, increasing from 6.99% to 12.31% in 2023. This reflects significantly improved profitability and more effective cost management practices.</t>
  </si>
  <si>
    <t>Meanwhile, the equity multiplier exhibited a consistent decline, indicating reduced reliance on financial leverage. This suggests a positive financial stability within the company.</t>
  </si>
  <si>
    <t>Senstivity Analysis (Enterprice Value) - Cipla Ltd</t>
  </si>
  <si>
    <t>Football Field Analysis - Cipla Ltd.</t>
  </si>
  <si>
    <t>OpenLow</t>
  </si>
  <si>
    <t>OpenHigh</t>
  </si>
  <si>
    <t>Comps.</t>
  </si>
  <si>
    <t>DCF Bear</t>
  </si>
  <si>
    <t>DCF Base</t>
  </si>
  <si>
    <t>DCF Bull</t>
  </si>
  <si>
    <t>52W H/L</t>
  </si>
  <si>
    <t>Current Market Price : 1483</t>
  </si>
  <si>
    <t>This report is created solely for educational and learning purposes, utilizing publicly available online data accessible to everyone. It does not provide any buying or selling recommendations, and the author holds no liability for any losses resulting from its use.</t>
  </si>
  <si>
    <r>
      <rPr>
        <b/>
        <sz val="11"/>
        <color theme="1"/>
        <rFont val="Calibri"/>
        <family val="2"/>
        <scheme val="minor"/>
      </rPr>
      <t xml:space="preserve">Disclaimer: </t>
    </r>
    <r>
      <rPr>
        <sz val="11"/>
        <color theme="1"/>
        <rFont val="Calibri"/>
        <family val="2"/>
        <scheme val="minor"/>
      </rPr>
      <t>This report is created solely for educational and learning purposes, utilizing publicly available online data accessible to everyone. It does not provide any buying or selling recommendations, and the author holds no liability for any losses resulting from its use.</t>
    </r>
  </si>
  <si>
    <t>Historical Financial Statement (Cash Flow Statement) - CIPLA LTD</t>
  </si>
  <si>
    <t xml:space="preserve">Sources: </t>
  </si>
  <si>
    <r>
      <t xml:space="preserve">Quantitative Data Source: </t>
    </r>
    <r>
      <rPr>
        <sz val="11"/>
        <color theme="1"/>
        <rFont val="Calibri"/>
        <family val="2"/>
        <scheme val="minor"/>
      </rPr>
      <t>Cipla Ltd. (Annual Report FY 23), Screener.com, Yahoo Finance, Primeinvestor.in,</t>
    </r>
    <r>
      <rPr>
        <b/>
        <sz val="11"/>
        <color theme="1"/>
        <rFont val="Calibri"/>
        <family val="2"/>
        <scheme val="minor"/>
      </rPr>
      <t xml:space="preserve"> </t>
    </r>
    <r>
      <rPr>
        <sz val="11"/>
        <color theme="1"/>
        <rFont val="Calibri"/>
        <family val="2"/>
        <scheme val="minor"/>
      </rPr>
      <t>Moneycontrol.com, Topstockresearch.com, Equitymaster.com, Tickerby finology, BSEIndia.com</t>
    </r>
  </si>
  <si>
    <r>
      <rPr>
        <b/>
        <sz val="11"/>
        <color theme="1"/>
        <rFont val="Calibri"/>
        <family val="2"/>
        <scheme val="minor"/>
      </rPr>
      <t>Qualitative Data Source:</t>
    </r>
    <r>
      <rPr>
        <sz val="11"/>
        <color theme="1"/>
        <rFont val="Calibri"/>
        <family val="2"/>
        <scheme val="minor"/>
      </rPr>
      <t xml:space="preserve"> Cipla Ltd. (Annual Report FY 23), Wikipedia.com, Equitymaster.com, Alphaspread.com, Screener.com, Yahoo Finance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</si>
</sst>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_(* \(#,##0.00\);_(* &quot;-&quot;??_);_(@_)"/>
    <numFmt numFmtId="164" formatCode="_ * #,##0.00_ ;_ * \-#,##0.00_ ;_ * &quot;-&quot;??_ ;_ @_ "/>
    <numFmt numFmtId="165" formatCode="[$-409]mmm\-yy;@"/>
    <numFmt numFmtId="166" formatCode="[$-409]d/mmm/yy;@"/>
    <numFmt numFmtId="167" formatCode="\₹#,##0.00;\(\₹#,##0.00\);\-"/>
    <numFmt numFmtId="168" formatCode="0.000%"/>
    <numFmt numFmtId="169" formatCode="0.00&quot;x&quot;"/>
    <numFmt numFmtId="170" formatCode="yyyy\ &quot;A&quot;"/>
    <numFmt numFmtId="171" formatCode="yyyy\ &quot;E&quot;"/>
    <numFmt numFmtId="172" formatCode="[$-409]mmm/yy;@"/>
    <numFmt numFmtId="173" formatCode="0.0\ &quot;x&quot;"/>
    <numFmt numFmtId="174" formatCode="0.000"/>
    <numFmt numFmtId="175" formatCode="0.0%"/>
    <numFmt numFmtId="177" formatCode="#,##0.00;\(#,##0.00\);\-"/>
    <numFmt numFmtId="178" formatCode="mmm/yy\ &quot;A&quot;"/>
    <numFmt numFmtId="179" formatCode="mmm/yy\ &quot;F&quot;"/>
    <numFmt numFmtId="180" formatCode="0.0"/>
    <numFmt numFmtId="181" formatCode="0.00\ &quot;x&quot;"/>
    <numFmt numFmtId="182" formatCode="0.00_);\(0.00\)"/>
  </numFmts>
  <fonts count="32" x14ac:knownFonts="1">
    <font>
      <sz val="11"/>
      <color theme="1"/>
      <name val="Calibri"/>
      <family val="2"/>
      <scheme val="minor"/>
    </font>
    <font>
      <sz val="11"/>
      <color theme="1"/>
      <name val="Calibri"/>
      <family val="2"/>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sz val="11"/>
      <name val="Calibri"/>
      <family val="2"/>
      <scheme val="minor"/>
    </font>
    <font>
      <i/>
      <sz val="11"/>
      <color theme="1" tint="0.499984740745262"/>
      <name val="Calibri"/>
      <family val="2"/>
      <scheme val="minor"/>
    </font>
    <font>
      <b/>
      <i/>
      <sz val="11"/>
      <color theme="1" tint="0.499984740745262"/>
      <name val="Calibri"/>
      <family val="2"/>
      <scheme val="minor"/>
    </font>
    <font>
      <b/>
      <sz val="11"/>
      <color theme="0"/>
      <name val="Calibri"/>
      <family val="2"/>
    </font>
    <font>
      <i/>
      <sz val="11"/>
      <color theme="1"/>
      <name val="Calibri"/>
      <family val="2"/>
      <scheme val="minor"/>
    </font>
    <font>
      <sz val="10"/>
      <color theme="1"/>
      <name val="Calibri"/>
      <family val="2"/>
      <scheme val="minor"/>
    </font>
    <font>
      <sz val="9"/>
      <color theme="1"/>
      <name val="Calibri"/>
      <family val="2"/>
      <scheme val="minor"/>
    </font>
    <font>
      <b/>
      <sz val="14"/>
      <color theme="1"/>
      <name val="Calibri"/>
      <family val="2"/>
      <scheme val="minor"/>
    </font>
    <font>
      <b/>
      <sz val="11"/>
      <color theme="1"/>
      <name val="Calibri"/>
      <family val="2"/>
    </font>
    <font>
      <sz val="11"/>
      <color theme="0"/>
      <name val="Calibri"/>
      <family val="2"/>
    </font>
    <font>
      <i/>
      <sz val="11"/>
      <color theme="1"/>
      <name val="Calibri"/>
      <family val="2"/>
    </font>
    <font>
      <vertAlign val="superscript"/>
      <sz val="11"/>
      <color theme="1"/>
      <name val="Calibri"/>
      <family val="2"/>
    </font>
    <font>
      <sz val="11"/>
      <color rgb="FF3333FF"/>
      <name val="Calibri"/>
      <family val="2"/>
    </font>
    <font>
      <b/>
      <i/>
      <sz val="9"/>
      <color theme="1"/>
      <name val="Calibri"/>
      <family val="2"/>
    </font>
    <font>
      <i/>
      <sz val="9"/>
      <color theme="1"/>
      <name val="Calibri"/>
      <family val="2"/>
    </font>
    <font>
      <i/>
      <sz val="11"/>
      <color rgb="FF3333FF"/>
      <name val="Calibri"/>
      <family val="2"/>
    </font>
    <font>
      <b/>
      <vertAlign val="superscript"/>
      <sz val="11"/>
      <color theme="1"/>
      <name val="Calibri"/>
      <family val="2"/>
    </font>
    <font>
      <sz val="11"/>
      <color rgb="FF0070C0"/>
      <name val="Calibri"/>
      <family val="2"/>
    </font>
    <font>
      <b/>
      <sz val="11"/>
      <color rgb="FF0070C0"/>
      <name val="Calibri"/>
      <family val="2"/>
    </font>
    <font>
      <b/>
      <i/>
      <sz val="11"/>
      <color theme="1"/>
      <name val="Calibri"/>
      <family val="2"/>
    </font>
    <font>
      <b/>
      <i/>
      <sz val="11"/>
      <color rgb="FF0070C0"/>
      <name val="Calibri"/>
      <family val="2"/>
      <scheme val="minor"/>
    </font>
    <font>
      <i/>
      <sz val="8"/>
      <color theme="1"/>
      <name val="Calibri"/>
      <family val="2"/>
    </font>
    <font>
      <b/>
      <sz val="11"/>
      <color rgb="FF0070C0"/>
      <name val="Calibri"/>
      <family val="2"/>
      <scheme val="minor"/>
    </font>
    <font>
      <i/>
      <sz val="8"/>
      <color theme="1"/>
      <name val="Calibri"/>
      <family val="2"/>
      <scheme val="minor"/>
    </font>
    <font>
      <sz val="11"/>
      <color rgb="FFFF0000"/>
      <name val="Calibri"/>
      <family val="2"/>
      <scheme val="minor"/>
    </font>
  </fonts>
  <fills count="13">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27446B"/>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E2152"/>
        <bgColor indexed="64"/>
      </patternFill>
    </fill>
  </fills>
  <borders count="16">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top style="medium">
        <color auto="1"/>
      </top>
      <bottom/>
      <diagonal/>
    </border>
    <border>
      <left/>
      <right/>
      <top/>
      <bottom style="medium">
        <color auto="1"/>
      </bottom>
      <diagonal/>
    </border>
    <border>
      <left/>
      <right/>
      <top style="hair">
        <color theme="1"/>
      </top>
      <bottom style="hair">
        <color theme="1"/>
      </bottom>
      <diagonal/>
    </border>
    <border>
      <left/>
      <right/>
      <top style="hair">
        <color theme="1"/>
      </top>
      <bottom/>
      <diagonal/>
    </border>
    <border>
      <left/>
      <right/>
      <top style="medium">
        <color auto="1"/>
      </top>
      <bottom style="medium">
        <color auto="1"/>
      </bottom>
      <diagonal/>
    </border>
    <border>
      <left/>
      <right/>
      <top style="hair">
        <color auto="1"/>
      </top>
      <bottom style="hair">
        <color auto="1"/>
      </bottom>
      <diagonal/>
    </border>
    <border>
      <left/>
      <right/>
      <top style="hair">
        <color auto="1"/>
      </top>
      <bottom/>
      <diagonal/>
    </border>
    <border>
      <left/>
      <right/>
      <top style="thin">
        <color auto="1"/>
      </top>
      <bottom style="double">
        <color auto="1"/>
      </bottom>
      <diagonal/>
    </border>
    <border>
      <left/>
      <right/>
      <top style="medium">
        <color indexed="64"/>
      </top>
      <bottom style="thin">
        <color indexed="64"/>
      </bottom>
      <diagonal/>
    </border>
    <border>
      <left/>
      <right/>
      <top style="hair">
        <color theme="2"/>
      </top>
      <bottom/>
      <diagonal/>
    </border>
    <border>
      <left/>
      <right/>
      <top/>
      <bottom style="thin">
        <color theme="0"/>
      </bottom>
      <diagonal/>
    </border>
    <border>
      <left/>
      <right/>
      <top style="thin">
        <color auto="1"/>
      </top>
      <bottom style="medium">
        <color auto="1"/>
      </bottom>
      <diagonal/>
    </border>
  </borders>
  <cellStyleXfs count="12">
    <xf numFmtId="0" fontId="0" fillId="0" borderId="0"/>
    <xf numFmtId="164" fontId="4" fillId="0" borderId="0" applyFont="0" applyFill="0" applyBorder="0" applyAlignment="0" applyProtection="0"/>
    <xf numFmtId="0" fontId="5" fillId="0" borderId="0" applyNumberFormat="0" applyFill="0" applyBorder="0" applyAlignment="0" applyProtection="0">
      <alignment vertical="top"/>
      <protection locked="0"/>
    </xf>
    <xf numFmtId="0" fontId="6" fillId="2" borderId="0" applyNumberFormat="0" applyBorder="0" applyAlignment="0" applyProtection="0"/>
    <xf numFmtId="9" fontId="4" fillId="0" borderId="0" applyFont="0" applyFill="0" applyBorder="0" applyAlignment="0" applyProtection="0"/>
    <xf numFmtId="0" fontId="1" fillId="0" borderId="0"/>
    <xf numFmtId="9" fontId="1" fillId="0" borderId="0" applyFont="0" applyFill="0" applyBorder="0" applyAlignment="0" applyProtection="0"/>
    <xf numFmtId="0" fontId="4" fillId="0" borderId="0"/>
    <xf numFmtId="9" fontId="4" fillId="0" borderId="0" applyFont="0" applyFill="0" applyBorder="0" applyAlignment="0" applyProtection="0"/>
    <xf numFmtId="164" fontId="4" fillId="0" borderId="0" applyFont="0" applyFill="0" applyBorder="0" applyAlignment="0" applyProtection="0"/>
    <xf numFmtId="0" fontId="5" fillId="0" borderId="0" applyNumberFormat="0" applyFill="0" applyBorder="0" applyAlignment="0" applyProtection="0">
      <alignment vertical="top"/>
      <protection locked="0"/>
    </xf>
    <xf numFmtId="0" fontId="6" fillId="2" borderId="0" applyNumberFormat="0" applyBorder="0" applyAlignment="0" applyProtection="0"/>
  </cellStyleXfs>
  <cellXfs count="292">
    <xf numFmtId="0" fontId="0" fillId="0" borderId="0" xfId="0"/>
    <xf numFmtId="164" fontId="2" fillId="0" borderId="0" xfId="1" applyFont="1" applyBorder="1"/>
    <xf numFmtId="0" fontId="2" fillId="0" borderId="0" xfId="0" applyFont="1"/>
    <xf numFmtId="164" fontId="0" fillId="0" borderId="0" xfId="1" applyFont="1" applyBorder="1"/>
    <xf numFmtId="164" fontId="4" fillId="0" borderId="0" xfId="1" applyFont="1" applyBorder="1"/>
    <xf numFmtId="165" fontId="3" fillId="3" borderId="0" xfId="0" applyNumberFormat="1" applyFont="1" applyFill="1" applyAlignment="1">
      <alignment horizontal="center"/>
    </xf>
    <xf numFmtId="165" fontId="3" fillId="3" borderId="0" xfId="1" applyNumberFormat="1" applyFont="1" applyFill="1" applyBorder="1"/>
    <xf numFmtId="165" fontId="7" fillId="0" borderId="0" xfId="1" applyNumberFormat="1" applyFont="1" applyFill="1" applyBorder="1"/>
    <xf numFmtId="43" fontId="0" fillId="0" borderId="0" xfId="1" applyNumberFormat="1" applyFont="1" applyBorder="1"/>
    <xf numFmtId="167" fontId="0" fillId="0" borderId="0" xfId="0" applyNumberFormat="1"/>
    <xf numFmtId="0" fontId="8" fillId="0" borderId="0" xfId="0" applyFont="1"/>
    <xf numFmtId="10" fontId="8" fillId="0" borderId="0" xfId="4" applyNumberFormat="1" applyFont="1"/>
    <xf numFmtId="0" fontId="3" fillId="0" borderId="0" xfId="0" applyFont="1"/>
    <xf numFmtId="166" fontId="3" fillId="0" borderId="0" xfId="0" applyNumberFormat="1" applyFont="1"/>
    <xf numFmtId="0" fontId="0" fillId="4" borderId="0" xfId="0" applyFill="1"/>
    <xf numFmtId="168" fontId="0" fillId="0" borderId="0" xfId="4" applyNumberFormat="1" applyFont="1"/>
    <xf numFmtId="9" fontId="8" fillId="0" borderId="0" xfId="4" applyFont="1"/>
    <xf numFmtId="9" fontId="4" fillId="0" borderId="0" xfId="4" applyFont="1"/>
    <xf numFmtId="0" fontId="2" fillId="4" borderId="0" xfId="0" applyFont="1" applyFill="1"/>
    <xf numFmtId="164" fontId="2" fillId="0" borderId="0" xfId="1" applyFont="1" applyFill="1" applyBorder="1"/>
    <xf numFmtId="164" fontId="9" fillId="0" borderId="0" xfId="1" applyFont="1" applyFill="1" applyBorder="1"/>
    <xf numFmtId="3" fontId="0" fillId="0" borderId="0" xfId="0" applyNumberFormat="1"/>
    <xf numFmtId="10" fontId="0" fillId="0" borderId="0" xfId="0" applyNumberFormat="1"/>
    <xf numFmtId="0" fontId="0" fillId="0" borderId="2" xfId="0" applyBorder="1"/>
    <xf numFmtId="10" fontId="0" fillId="0" borderId="2" xfId="0" applyNumberFormat="1" applyBorder="1"/>
    <xf numFmtId="0" fontId="0" fillId="0" borderId="3" xfId="0" applyBorder="1"/>
    <xf numFmtId="10" fontId="0" fillId="0" borderId="3" xfId="0" applyNumberFormat="1" applyBorder="1"/>
    <xf numFmtId="169" fontId="0" fillId="0" borderId="3" xfId="4" applyNumberFormat="1" applyFont="1" applyBorder="1"/>
    <xf numFmtId="169" fontId="0" fillId="0" borderId="2" xfId="0" applyNumberFormat="1" applyBorder="1"/>
    <xf numFmtId="169" fontId="0" fillId="0" borderId="2" xfId="4" applyNumberFormat="1" applyFont="1" applyBorder="1"/>
    <xf numFmtId="169" fontId="0" fillId="0" borderId="0" xfId="0" applyNumberFormat="1"/>
    <xf numFmtId="169" fontId="0" fillId="0" borderId="0" xfId="4" applyNumberFormat="1" applyFont="1" applyBorder="1"/>
    <xf numFmtId="169" fontId="0" fillId="0" borderId="3" xfId="0" applyNumberFormat="1" applyBorder="1"/>
    <xf numFmtId="2" fontId="0" fillId="0" borderId="2" xfId="0" applyNumberFormat="1" applyBorder="1"/>
    <xf numFmtId="2" fontId="0" fillId="0" borderId="0" xfId="0" applyNumberFormat="1"/>
    <xf numFmtId="2" fontId="0" fillId="0" borderId="3" xfId="0" applyNumberFormat="1" applyBorder="1"/>
    <xf numFmtId="0" fontId="2" fillId="0" borderId="1" xfId="0" applyFont="1" applyBorder="1"/>
    <xf numFmtId="167" fontId="2" fillId="0" borderId="1" xfId="0" applyNumberFormat="1" applyFont="1" applyBorder="1"/>
    <xf numFmtId="164" fontId="2" fillId="0" borderId="1" xfId="1" applyFont="1" applyBorder="1"/>
    <xf numFmtId="164" fontId="2" fillId="0" borderId="1" xfId="1" applyFont="1" applyFill="1" applyBorder="1"/>
    <xf numFmtId="170" fontId="0" fillId="0" borderId="0" xfId="0" applyNumberFormat="1"/>
    <xf numFmtId="171" fontId="0" fillId="0" borderId="0" xfId="0" applyNumberFormat="1"/>
    <xf numFmtId="4" fontId="0" fillId="0" borderId="0" xfId="0" applyNumberFormat="1"/>
    <xf numFmtId="10" fontId="0" fillId="0" borderId="0" xfId="4" applyNumberFormat="1" applyFont="1"/>
    <xf numFmtId="171" fontId="11" fillId="5" borderId="0" xfId="0" applyNumberFormat="1" applyFont="1" applyFill="1"/>
    <xf numFmtId="4" fontId="11" fillId="5" borderId="0" xfId="0" applyNumberFormat="1" applyFont="1" applyFill="1"/>
    <xf numFmtId="10" fontId="11" fillId="5" borderId="0" xfId="4" applyNumberFormat="1" applyFont="1" applyFill="1"/>
    <xf numFmtId="0" fontId="0" fillId="0" borderId="0" xfId="0" applyAlignment="1">
      <alignment horizontal="left"/>
    </xf>
    <xf numFmtId="0" fontId="11" fillId="5" borderId="0" xfId="0" applyFont="1" applyFill="1" applyAlignment="1">
      <alignment horizontal="left"/>
    </xf>
    <xf numFmtId="172" fontId="0" fillId="0" borderId="0" xfId="0" applyNumberFormat="1"/>
    <xf numFmtId="0" fontId="2" fillId="0" borderId="3" xfId="0" applyFont="1" applyBorder="1"/>
    <xf numFmtId="172" fontId="2" fillId="0" borderId="3" xfId="0" applyNumberFormat="1" applyFont="1" applyBorder="1"/>
    <xf numFmtId="172" fontId="2" fillId="0" borderId="0" xfId="0" applyNumberFormat="1" applyFont="1"/>
    <xf numFmtId="0" fontId="0" fillId="0" borderId="0" xfId="0" applyAlignment="1">
      <alignment horizontal="center" vertical="center" wrapText="1"/>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wrapText="1"/>
    </xf>
    <xf numFmtId="0" fontId="0" fillId="0" borderId="0" xfId="0" applyAlignment="1">
      <alignment horizontal="center" vertical="center"/>
    </xf>
    <xf numFmtId="0" fontId="13" fillId="0" borderId="0" xfId="0" applyFont="1" applyAlignment="1">
      <alignment horizontal="center" vertical="center" wrapText="1"/>
    </xf>
    <xf numFmtId="0" fontId="0" fillId="6" borderId="0" xfId="0" applyFill="1"/>
    <xf numFmtId="0" fontId="3" fillId="6" borderId="0" xfId="0" applyFont="1" applyFill="1" applyAlignment="1">
      <alignment horizontal="center"/>
    </xf>
    <xf numFmtId="0" fontId="3" fillId="7" borderId="0" xfId="0" applyFont="1" applyFill="1" applyAlignment="1">
      <alignment horizontal="center"/>
    </xf>
    <xf numFmtId="0" fontId="2" fillId="0" borderId="0" xfId="0" applyFont="1" applyAlignment="1">
      <alignment horizontal="left"/>
    </xf>
    <xf numFmtId="1" fontId="0" fillId="0" borderId="0" xfId="0" applyNumberFormat="1" applyAlignment="1">
      <alignment horizontal="center"/>
    </xf>
    <xf numFmtId="173" fontId="0" fillId="0" borderId="0" xfId="0" applyNumberFormat="1"/>
    <xf numFmtId="17" fontId="0" fillId="0" borderId="0" xfId="0" applyNumberFormat="1"/>
    <xf numFmtId="17" fontId="2" fillId="0" borderId="3" xfId="0" applyNumberFormat="1" applyFont="1" applyBorder="1"/>
    <xf numFmtId="17" fontId="2" fillId="0" borderId="0" xfId="0" applyNumberFormat="1" applyFont="1"/>
    <xf numFmtId="0" fontId="3" fillId="6" borderId="0" xfId="0" applyFont="1" applyFill="1"/>
    <xf numFmtId="166" fontId="3" fillId="6" borderId="0" xfId="0" applyNumberFormat="1" applyFont="1" applyFill="1"/>
    <xf numFmtId="9" fontId="2" fillId="0" borderId="0" xfId="4" applyFont="1"/>
    <xf numFmtId="10" fontId="0" fillId="0" borderId="0" xfId="4" applyNumberFormat="1" applyFont="1" applyAlignment="1">
      <alignment horizontal="center"/>
    </xf>
    <xf numFmtId="10" fontId="2" fillId="0" borderId="0" xfId="4" applyNumberFormat="1" applyFont="1" applyAlignment="1">
      <alignment horizontal="right"/>
    </xf>
    <xf numFmtId="10" fontId="0" fillId="0" borderId="0" xfId="4" applyNumberFormat="1" applyFont="1" applyAlignment="1">
      <alignment horizontal="right"/>
    </xf>
    <xf numFmtId="174" fontId="0" fillId="0" borderId="0" xfId="0" applyNumberFormat="1"/>
    <xf numFmtId="0" fontId="8" fillId="6" borderId="0" xfId="0" applyFont="1" applyFill="1"/>
    <xf numFmtId="166" fontId="3" fillId="6" borderId="0" xfId="0" applyNumberFormat="1" applyFont="1" applyFill="1" applyAlignment="1">
      <alignment horizontal="center"/>
    </xf>
    <xf numFmtId="0" fontId="10" fillId="6" borderId="0" xfId="0" applyFont="1" applyFill="1" applyAlignment="1">
      <alignment horizontal="center"/>
    </xf>
    <xf numFmtId="3" fontId="10" fillId="6" borderId="0" xfId="0" applyNumberFormat="1" applyFont="1" applyFill="1" applyAlignment="1">
      <alignment horizontal="center"/>
    </xf>
    <xf numFmtId="0" fontId="1" fillId="0" borderId="0" xfId="5"/>
    <xf numFmtId="0" fontId="17" fillId="0" borderId="0" xfId="5" applyFont="1"/>
    <xf numFmtId="0" fontId="15" fillId="0" borderId="0" xfId="5" applyFont="1"/>
    <xf numFmtId="0" fontId="1" fillId="0" borderId="5" xfId="5" applyBorder="1"/>
    <xf numFmtId="10" fontId="0" fillId="8" borderId="0" xfId="6" applyNumberFormat="1" applyFont="1" applyFill="1" applyAlignment="1">
      <alignment horizontal="center"/>
    </xf>
    <xf numFmtId="2" fontId="1" fillId="8" borderId="0" xfId="5" applyNumberFormat="1" applyFill="1" applyAlignment="1">
      <alignment horizontal="center"/>
    </xf>
    <xf numFmtId="0" fontId="1" fillId="0" borderId="0" xfId="5" applyAlignment="1">
      <alignment horizontal="center"/>
    </xf>
    <xf numFmtId="0" fontId="15" fillId="0" borderId="2" xfId="5" applyFont="1" applyBorder="1" applyAlignment="1">
      <alignment horizontal="center"/>
    </xf>
    <xf numFmtId="10" fontId="0" fillId="0" borderId="2" xfId="6" applyNumberFormat="1" applyFont="1" applyBorder="1" applyAlignment="1">
      <alignment horizontal="center"/>
    </xf>
    <xf numFmtId="2" fontId="1" fillId="0" borderId="2" xfId="5" applyNumberFormat="1" applyBorder="1" applyAlignment="1">
      <alignment horizontal="center"/>
    </xf>
    <xf numFmtId="0" fontId="15" fillId="0" borderId="3" xfId="5" applyFont="1" applyBorder="1" applyAlignment="1">
      <alignment horizontal="center"/>
    </xf>
    <xf numFmtId="10" fontId="0" fillId="0" borderId="3" xfId="6" applyNumberFormat="1" applyFont="1" applyBorder="1" applyAlignment="1">
      <alignment horizontal="center"/>
    </xf>
    <xf numFmtId="2" fontId="1" fillId="0" borderId="3" xfId="5" applyNumberFormat="1" applyBorder="1" applyAlignment="1">
      <alignment horizontal="center"/>
    </xf>
    <xf numFmtId="0" fontId="15" fillId="0" borderId="5" xfId="5" applyFont="1" applyBorder="1"/>
    <xf numFmtId="10" fontId="19" fillId="0" borderId="0" xfId="6" applyNumberFormat="1" applyFont="1"/>
    <xf numFmtId="10" fontId="19" fillId="0" borderId="0" xfId="5" applyNumberFormat="1" applyFont="1"/>
    <xf numFmtId="0" fontId="1" fillId="0" borderId="3" xfId="5" applyBorder="1"/>
    <xf numFmtId="9" fontId="0" fillId="0" borderId="3" xfId="6" applyFont="1" applyBorder="1"/>
    <xf numFmtId="10" fontId="1" fillId="0" borderId="0" xfId="5" applyNumberFormat="1"/>
    <xf numFmtId="2" fontId="1" fillId="0" borderId="3" xfId="5" applyNumberFormat="1" applyBorder="1"/>
    <xf numFmtId="0" fontId="1" fillId="0" borderId="2" xfId="5" applyBorder="1"/>
    <xf numFmtId="0" fontId="15" fillId="0" borderId="3" xfId="5" applyFont="1" applyBorder="1"/>
    <xf numFmtId="2" fontId="1" fillId="0" borderId="0" xfId="5" applyNumberFormat="1"/>
    <xf numFmtId="4" fontId="1" fillId="0" borderId="0" xfId="5" applyNumberFormat="1"/>
    <xf numFmtId="175" fontId="0" fillId="0" borderId="0" xfId="6" applyNumberFormat="1" applyFont="1"/>
    <xf numFmtId="175" fontId="1" fillId="0" borderId="0" xfId="5" applyNumberFormat="1"/>
    <xf numFmtId="175" fontId="0" fillId="0" borderId="3" xfId="6" applyNumberFormat="1" applyFont="1" applyBorder="1"/>
    <xf numFmtId="9" fontId="1" fillId="0" borderId="3" xfId="5" applyNumberFormat="1" applyBorder="1"/>
    <xf numFmtId="0" fontId="20" fillId="0" borderId="0" xfId="5" applyFont="1"/>
    <xf numFmtId="0" fontId="1" fillId="0" borderId="3" xfId="5" applyBorder="1" applyAlignment="1">
      <alignment horizontal="center"/>
    </xf>
    <xf numFmtId="0" fontId="21" fillId="0" borderId="0" xfId="5" applyFont="1"/>
    <xf numFmtId="10" fontId="15" fillId="8" borderId="2" xfId="6" applyNumberFormat="1" applyFont="1" applyFill="1" applyBorder="1"/>
    <xf numFmtId="4" fontId="1" fillId="0" borderId="9" xfId="5" applyNumberFormat="1" applyBorder="1"/>
    <xf numFmtId="177" fontId="1" fillId="0" borderId="6" xfId="5" applyNumberFormat="1" applyBorder="1"/>
    <xf numFmtId="177" fontId="1" fillId="0" borderId="7" xfId="5" applyNumberFormat="1" applyBorder="1"/>
    <xf numFmtId="0" fontId="1" fillId="0" borderId="9" xfId="5" applyBorder="1"/>
    <xf numFmtId="4" fontId="1" fillId="0" borderId="10" xfId="5" applyNumberFormat="1" applyBorder="1"/>
    <xf numFmtId="0" fontId="1" fillId="0" borderId="10" xfId="5" applyBorder="1"/>
    <xf numFmtId="0" fontId="15" fillId="0" borderId="4" xfId="5" applyFont="1" applyBorder="1"/>
    <xf numFmtId="0" fontId="15" fillId="0" borderId="8" xfId="5" applyFont="1" applyBorder="1"/>
    <xf numFmtId="177" fontId="15" fillId="0" borderId="8" xfId="5" applyNumberFormat="1" applyFont="1" applyBorder="1"/>
    <xf numFmtId="177" fontId="1" fillId="0" borderId="0" xfId="5" applyNumberFormat="1"/>
    <xf numFmtId="0" fontId="1" fillId="0" borderId="8" xfId="5" applyBorder="1"/>
    <xf numFmtId="177" fontId="15" fillId="0" borderId="6" xfId="5" applyNumberFormat="1" applyFont="1" applyBorder="1"/>
    <xf numFmtId="10" fontId="15" fillId="0" borderId="6" xfId="6" applyNumberFormat="1" applyFont="1" applyBorder="1"/>
    <xf numFmtId="10" fontId="22" fillId="0" borderId="6" xfId="6" applyNumberFormat="1" applyFont="1" applyBorder="1"/>
    <xf numFmtId="10" fontId="0" fillId="0" borderId="0" xfId="6" applyNumberFormat="1" applyFont="1"/>
    <xf numFmtId="177" fontId="15" fillId="5" borderId="0" xfId="5" applyNumberFormat="1" applyFont="1" applyFill="1"/>
    <xf numFmtId="10" fontId="0" fillId="0" borderId="6" xfId="6" applyNumberFormat="1" applyFont="1" applyBorder="1"/>
    <xf numFmtId="10" fontId="15" fillId="0" borderId="8" xfId="5" applyNumberFormat="1" applyFont="1" applyBorder="1"/>
    <xf numFmtId="0" fontId="10" fillId="6" borderId="0" xfId="5" applyFont="1" applyFill="1"/>
    <xf numFmtId="178" fontId="10" fillId="6" borderId="0" xfId="5" applyNumberFormat="1" applyFont="1" applyFill="1"/>
    <xf numFmtId="179" fontId="10" fillId="6" borderId="0" xfId="5" applyNumberFormat="1" applyFont="1" applyFill="1"/>
    <xf numFmtId="0" fontId="1" fillId="8" borderId="0" xfId="5" applyFill="1"/>
    <xf numFmtId="10" fontId="1" fillId="8" borderId="0" xfId="5" applyNumberFormat="1" applyFill="1"/>
    <xf numFmtId="174" fontId="1" fillId="0" borderId="0" xfId="5" applyNumberFormat="1"/>
    <xf numFmtId="0" fontId="1" fillId="0" borderId="11" xfId="5" applyBorder="1"/>
    <xf numFmtId="0" fontId="1" fillId="8" borderId="11" xfId="5" applyFill="1" applyBorder="1"/>
    <xf numFmtId="0" fontId="1" fillId="5" borderId="0" xfId="5" applyFill="1"/>
    <xf numFmtId="10" fontId="1" fillId="5" borderId="0" xfId="5" applyNumberFormat="1" applyFill="1"/>
    <xf numFmtId="0" fontId="10" fillId="0" borderId="0" xfId="5" applyFont="1"/>
    <xf numFmtId="179" fontId="10" fillId="0" borderId="0" xfId="5" applyNumberFormat="1" applyFont="1"/>
    <xf numFmtId="0" fontId="16" fillId="5" borderId="0" xfId="5" applyFont="1" applyFill="1"/>
    <xf numFmtId="9" fontId="1" fillId="0" borderId="0" xfId="5" applyNumberFormat="1"/>
    <xf numFmtId="10" fontId="15" fillId="0" borderId="0" xfId="5" applyNumberFormat="1" applyFont="1" applyAlignment="1">
      <alignment horizontal="left"/>
    </xf>
    <xf numFmtId="2" fontId="1" fillId="5" borderId="0" xfId="5" applyNumberFormat="1" applyFill="1"/>
    <xf numFmtId="0" fontId="15" fillId="0" borderId="11" xfId="5" applyFont="1" applyBorder="1"/>
    <xf numFmtId="0" fontId="1" fillId="6" borderId="0" xfId="5" applyFill="1"/>
    <xf numFmtId="0" fontId="1" fillId="0" borderId="0" xfId="5" applyAlignment="1">
      <alignment horizontal="left"/>
    </xf>
    <xf numFmtId="10" fontId="0" fillId="0" borderId="0" xfId="6" applyNumberFormat="1" applyFont="1" applyAlignment="1">
      <alignment horizontal="center"/>
    </xf>
    <xf numFmtId="0" fontId="15" fillId="0" borderId="0" xfId="5" applyFont="1" applyAlignment="1">
      <alignment horizontal="left"/>
    </xf>
    <xf numFmtId="0" fontId="15" fillId="0" borderId="4" xfId="5" applyFont="1" applyBorder="1" applyAlignment="1">
      <alignment horizontal="center"/>
    </xf>
    <xf numFmtId="0" fontId="15" fillId="0" borderId="5" xfId="5" applyFont="1" applyBorder="1" applyAlignment="1">
      <alignment horizontal="center"/>
    </xf>
    <xf numFmtId="0" fontId="24" fillId="0" borderId="0" xfId="5" applyFont="1"/>
    <xf numFmtId="4" fontId="24" fillId="0" borderId="0" xfId="5" applyNumberFormat="1" applyFont="1" applyAlignment="1">
      <alignment horizontal="center"/>
    </xf>
    <xf numFmtId="9" fontId="24" fillId="0" borderId="0" xfId="6" applyFont="1" applyAlignment="1">
      <alignment horizontal="center"/>
    </xf>
    <xf numFmtId="0" fontId="24" fillId="0" borderId="0" xfId="5" applyFont="1" applyAlignment="1">
      <alignment horizontal="center"/>
    </xf>
    <xf numFmtId="0" fontId="25" fillId="0" borderId="0" xfId="5" applyFont="1"/>
    <xf numFmtId="4" fontId="25" fillId="0" borderId="0" xfId="5" applyNumberFormat="1" applyFont="1" applyAlignment="1">
      <alignment horizontal="center"/>
    </xf>
    <xf numFmtId="9" fontId="25" fillId="0" borderId="0" xfId="6" applyFont="1" applyAlignment="1">
      <alignment horizontal="center"/>
    </xf>
    <xf numFmtId="10" fontId="2" fillId="8" borderId="0" xfId="6" applyNumberFormat="1" applyFont="1" applyFill="1" applyAlignment="1">
      <alignment horizontal="center"/>
    </xf>
    <xf numFmtId="2" fontId="25" fillId="0" borderId="0" xfId="5" applyNumberFormat="1" applyFont="1" applyAlignment="1">
      <alignment horizontal="center"/>
    </xf>
    <xf numFmtId="2" fontId="15" fillId="8" borderId="0" xfId="5" applyNumberFormat="1" applyFont="1" applyFill="1" applyAlignment="1">
      <alignment horizontal="center"/>
    </xf>
    <xf numFmtId="0" fontId="15" fillId="0" borderId="3" xfId="5" applyFont="1" applyBorder="1" applyAlignment="1">
      <alignment horizontal="right"/>
    </xf>
    <xf numFmtId="0" fontId="15" fillId="0" borderId="2" xfId="5" applyFont="1" applyBorder="1"/>
    <xf numFmtId="2" fontId="26" fillId="8" borderId="0" xfId="5" applyNumberFormat="1" applyFont="1" applyFill="1"/>
    <xf numFmtId="175" fontId="26" fillId="8" borderId="0" xfId="5" applyNumberFormat="1" applyFont="1" applyFill="1"/>
    <xf numFmtId="4" fontId="15" fillId="0" borderId="2" xfId="5" applyNumberFormat="1" applyFont="1" applyBorder="1"/>
    <xf numFmtId="175" fontId="15" fillId="0" borderId="0" xfId="5" applyNumberFormat="1" applyFont="1"/>
    <xf numFmtId="9" fontId="2" fillId="0" borderId="0" xfId="6" applyFont="1"/>
    <xf numFmtId="10" fontId="26" fillId="8" borderId="0" xfId="5" applyNumberFormat="1" applyFont="1" applyFill="1"/>
    <xf numFmtId="10" fontId="26" fillId="8" borderId="0" xfId="6" applyNumberFormat="1" applyFont="1" applyFill="1"/>
    <xf numFmtId="0" fontId="15" fillId="0" borderId="3" xfId="5" applyFont="1" applyBorder="1" applyAlignment="1">
      <alignment horizontal="left"/>
    </xf>
    <xf numFmtId="14" fontId="1" fillId="0" borderId="0" xfId="5" applyNumberFormat="1"/>
    <xf numFmtId="2" fontId="1" fillId="0" borderId="0" xfId="5" applyNumberFormat="1" applyAlignment="1">
      <alignment horizontal="center"/>
    </xf>
    <xf numFmtId="14" fontId="0" fillId="0" borderId="0" xfId="0" applyNumberFormat="1"/>
    <xf numFmtId="2" fontId="0" fillId="0" borderId="0" xfId="0" applyNumberFormat="1" applyAlignment="1">
      <alignment horizontal="center"/>
    </xf>
    <xf numFmtId="0" fontId="0" fillId="0" borderId="5" xfId="0" applyBorder="1"/>
    <xf numFmtId="0" fontId="11" fillId="0" borderId="12" xfId="0" applyFont="1" applyBorder="1" applyAlignment="1">
      <alignment horizontal="center"/>
    </xf>
    <xf numFmtId="0" fontId="11" fillId="0" borderId="12" xfId="0" applyFont="1" applyBorder="1" applyAlignment="1">
      <alignment horizontal="centerContinuous"/>
    </xf>
    <xf numFmtId="10" fontId="0" fillId="0" borderId="0" xfId="6" applyNumberFormat="1" applyFont="1" applyAlignment="1"/>
    <xf numFmtId="0" fontId="15" fillId="5" borderId="0" xfId="5" applyFont="1" applyFill="1"/>
    <xf numFmtId="2" fontId="15" fillId="5" borderId="0" xfId="5" applyNumberFormat="1" applyFont="1" applyFill="1"/>
    <xf numFmtId="14" fontId="0" fillId="0" borderId="0" xfId="0" applyNumberFormat="1" applyAlignment="1">
      <alignment horizontal="left"/>
    </xf>
    <xf numFmtId="14" fontId="1" fillId="0" borderId="0" xfId="5" applyNumberFormat="1" applyAlignment="1">
      <alignment horizontal="left"/>
    </xf>
    <xf numFmtId="2" fontId="0" fillId="0" borderId="0" xfId="0" applyNumberFormat="1" applyAlignment="1">
      <alignment horizontal="left"/>
    </xf>
    <xf numFmtId="4" fontId="1" fillId="0" borderId="0" xfId="5" applyNumberFormat="1" applyAlignment="1">
      <alignment horizontal="left"/>
    </xf>
    <xf numFmtId="0" fontId="26" fillId="5" borderId="1" xfId="5" applyFont="1" applyFill="1" applyBorder="1"/>
    <xf numFmtId="10" fontId="26" fillId="5" borderId="1" xfId="5" applyNumberFormat="1" applyFont="1" applyFill="1" applyBorder="1"/>
    <xf numFmtId="10" fontId="1" fillId="0" borderId="3" xfId="5" applyNumberFormat="1" applyBorder="1"/>
    <xf numFmtId="172" fontId="10" fillId="6" borderId="0" xfId="5" applyNumberFormat="1" applyFont="1" applyFill="1"/>
    <xf numFmtId="3" fontId="2" fillId="0" borderId="3" xfId="0" applyNumberFormat="1" applyFont="1" applyBorder="1"/>
    <xf numFmtId="17" fontId="2" fillId="9" borderId="0" xfId="0" applyNumberFormat="1" applyFont="1" applyFill="1"/>
    <xf numFmtId="3" fontId="1" fillId="0" borderId="10" xfId="5" applyNumberFormat="1" applyBorder="1"/>
    <xf numFmtId="0" fontId="10" fillId="6" borderId="0" xfId="0" applyFont="1" applyFill="1"/>
    <xf numFmtId="178" fontId="10" fillId="6" borderId="0" xfId="0" applyNumberFormat="1" applyFont="1" applyFill="1"/>
    <xf numFmtId="179" fontId="10" fillId="6" borderId="0" xfId="0" applyNumberFormat="1" applyFont="1" applyFill="1"/>
    <xf numFmtId="0" fontId="0" fillId="8" borderId="0" xfId="0" applyFill="1"/>
    <xf numFmtId="10" fontId="0" fillId="8" borderId="0" xfId="0" applyNumberFormat="1" applyFill="1"/>
    <xf numFmtId="0" fontId="0" fillId="5" borderId="0" xfId="0" applyFill="1"/>
    <xf numFmtId="10" fontId="0" fillId="5" borderId="0" xfId="0" applyNumberFormat="1" applyFill="1"/>
    <xf numFmtId="0" fontId="10" fillId="0" borderId="0" xfId="0" applyFont="1"/>
    <xf numFmtId="0" fontId="15" fillId="0" borderId="11" xfId="0" applyFont="1" applyBorder="1"/>
    <xf numFmtId="0" fontId="15" fillId="0" borderId="1" xfId="0" applyFont="1" applyBorder="1"/>
    <xf numFmtId="0" fontId="2" fillId="0" borderId="11" xfId="0" applyFont="1" applyBorder="1"/>
    <xf numFmtId="0" fontId="2" fillId="8" borderId="11" xfId="0" applyFont="1" applyFill="1" applyBorder="1"/>
    <xf numFmtId="0" fontId="11" fillId="0" borderId="0" xfId="0" applyFont="1"/>
    <xf numFmtId="10" fontId="27" fillId="5" borderId="0" xfId="0" applyNumberFormat="1" applyFont="1" applyFill="1"/>
    <xf numFmtId="10" fontId="27" fillId="8" borderId="0" xfId="0" applyNumberFormat="1" applyFont="1" applyFill="1"/>
    <xf numFmtId="10" fontId="27" fillId="0" borderId="0" xfId="0" applyNumberFormat="1" applyFont="1"/>
    <xf numFmtId="0" fontId="0" fillId="0" borderId="0" xfId="0" applyAlignment="1">
      <alignment wrapText="1"/>
    </xf>
    <xf numFmtId="0" fontId="28" fillId="0" borderId="0" xfId="0" applyFont="1"/>
    <xf numFmtId="0" fontId="0" fillId="0" borderId="13" xfId="0" applyBorder="1"/>
    <xf numFmtId="0" fontId="0" fillId="0" borderId="13" xfId="0" applyBorder="1" applyAlignment="1">
      <alignment wrapText="1"/>
    </xf>
    <xf numFmtId="0" fontId="10" fillId="6" borderId="0" xfId="0" applyFont="1" applyFill="1" applyAlignment="1">
      <alignment wrapText="1"/>
    </xf>
    <xf numFmtId="0" fontId="0" fillId="6" borderId="0" xfId="0" applyFill="1" applyAlignment="1">
      <alignment wrapText="1"/>
    </xf>
    <xf numFmtId="0" fontId="10" fillId="6" borderId="0" xfId="0" applyFont="1" applyFill="1" applyAlignment="1">
      <alignment horizontal="center" wrapText="1"/>
    </xf>
    <xf numFmtId="0" fontId="10" fillId="0" borderId="0" xfId="0" applyFont="1" applyAlignment="1">
      <alignment wrapText="1"/>
    </xf>
    <xf numFmtId="0" fontId="15" fillId="10" borderId="9" xfId="0" applyFont="1" applyFill="1" applyBorder="1"/>
    <xf numFmtId="0" fontId="15" fillId="10" borderId="9" xfId="0" applyFont="1" applyFill="1" applyBorder="1" applyAlignment="1">
      <alignment wrapText="1"/>
    </xf>
    <xf numFmtId="181" fontId="15" fillId="10" borderId="9" xfId="0" applyNumberFormat="1" applyFont="1" applyFill="1" applyBorder="1" applyAlignment="1">
      <alignment horizontal="center"/>
    </xf>
    <xf numFmtId="0" fontId="0" fillId="0" borderId="9" xfId="0" applyBorder="1"/>
    <xf numFmtId="0" fontId="0" fillId="0" borderId="9" xfId="0" applyBorder="1" applyAlignment="1">
      <alignment wrapText="1"/>
    </xf>
    <xf numFmtId="181" fontId="0" fillId="0" borderId="9" xfId="0" applyNumberFormat="1" applyBorder="1" applyAlignment="1">
      <alignment horizontal="center"/>
    </xf>
    <xf numFmtId="0" fontId="0" fillId="10" borderId="9" xfId="0" applyFill="1" applyBorder="1"/>
    <xf numFmtId="0" fontId="0" fillId="10" borderId="9" xfId="0" applyFill="1" applyBorder="1" applyAlignment="1">
      <alignment wrapText="1"/>
    </xf>
    <xf numFmtId="181" fontId="0" fillId="10" borderId="9" xfId="0" applyNumberFormat="1" applyFill="1" applyBorder="1"/>
    <xf numFmtId="181" fontId="15" fillId="10" borderId="9" xfId="0" applyNumberFormat="1" applyFont="1" applyFill="1" applyBorder="1"/>
    <xf numFmtId="2" fontId="0" fillId="0" borderId="9" xfId="0" applyNumberFormat="1" applyBorder="1"/>
    <xf numFmtId="0" fontId="15" fillId="0" borderId="15" xfId="0" applyFont="1" applyBorder="1"/>
    <xf numFmtId="0" fontId="15" fillId="0" borderId="15" xfId="0" applyFont="1" applyBorder="1" applyAlignment="1">
      <alignment wrapText="1"/>
    </xf>
    <xf numFmtId="2" fontId="15" fillId="0" borderId="15" xfId="0" applyNumberFormat="1" applyFont="1" applyBorder="1"/>
    <xf numFmtId="2" fontId="15" fillId="10" borderId="9" xfId="0" applyNumberFormat="1" applyFont="1" applyFill="1" applyBorder="1" applyAlignment="1">
      <alignment wrapText="1"/>
    </xf>
    <xf numFmtId="0" fontId="0" fillId="0" borderId="0" xfId="0" applyAlignment="1">
      <alignment horizontal="right"/>
    </xf>
    <xf numFmtId="10" fontId="0" fillId="0" borderId="9" xfId="4" applyNumberFormat="1" applyFont="1" applyBorder="1"/>
    <xf numFmtId="4" fontId="0" fillId="0" borderId="9" xfId="0" applyNumberFormat="1" applyBorder="1"/>
    <xf numFmtId="0" fontId="2" fillId="0" borderId="8" xfId="0" applyFont="1" applyBorder="1" applyAlignment="1">
      <alignment horizontal="center"/>
    </xf>
    <xf numFmtId="175" fontId="0" fillId="0" borderId="0" xfId="0" applyNumberFormat="1" applyAlignment="1">
      <alignment horizontal="center"/>
    </xf>
    <xf numFmtId="180" fontId="0" fillId="0" borderId="0" xfId="0" applyNumberFormat="1" applyAlignment="1">
      <alignment horizontal="center"/>
    </xf>
    <xf numFmtId="4" fontId="0" fillId="0" borderId="0" xfId="0" applyNumberFormat="1" applyAlignment="1">
      <alignment horizontal="center"/>
    </xf>
    <xf numFmtId="175" fontId="0" fillId="0" borderId="9" xfId="0" applyNumberFormat="1" applyBorder="1" applyAlignment="1">
      <alignment horizontal="center"/>
    </xf>
    <xf numFmtId="10" fontId="0" fillId="0" borderId="9" xfId="4" applyNumberFormat="1" applyFont="1" applyBorder="1" applyAlignment="1">
      <alignment horizontal="center"/>
    </xf>
    <xf numFmtId="180" fontId="0" fillId="0" borderId="9" xfId="0" applyNumberFormat="1" applyBorder="1" applyAlignment="1">
      <alignment horizontal="center"/>
    </xf>
    <xf numFmtId="4" fontId="0" fillId="0" borderId="9" xfId="0" applyNumberFormat="1" applyBorder="1" applyAlignment="1">
      <alignment horizontal="center"/>
    </xf>
    <xf numFmtId="2" fontId="0" fillId="6" borderId="0" xfId="0" applyNumberFormat="1" applyFill="1" applyAlignment="1">
      <alignment horizontal="center"/>
    </xf>
    <xf numFmtId="0" fontId="2" fillId="11" borderId="0" xfId="0" applyFont="1" applyFill="1"/>
    <xf numFmtId="0" fontId="0" fillId="11" borderId="0" xfId="0" applyFill="1"/>
    <xf numFmtId="10" fontId="2" fillId="11" borderId="0" xfId="4" applyNumberFormat="1" applyFont="1" applyFill="1"/>
    <xf numFmtId="181" fontId="2" fillId="11" borderId="0" xfId="4" applyNumberFormat="1" applyFont="1" applyFill="1"/>
    <xf numFmtId="0" fontId="0" fillId="12" borderId="0" xfId="0" applyFill="1"/>
    <xf numFmtId="0" fontId="29" fillId="0" borderId="0" xfId="0" applyFont="1"/>
    <xf numFmtId="181" fontId="11" fillId="0" borderId="0" xfId="6" applyNumberFormat="1" applyFont="1"/>
    <xf numFmtId="9" fontId="0" fillId="0" borderId="0" xfId="0" applyNumberFormat="1"/>
    <xf numFmtId="0" fontId="2" fillId="0" borderId="5" xfId="0" applyFont="1" applyBorder="1" applyAlignment="1">
      <alignment horizontal="center"/>
    </xf>
    <xf numFmtId="0" fontId="30" fillId="0" borderId="0" xfId="0" applyFont="1"/>
    <xf numFmtId="2" fontId="6" fillId="5" borderId="0" xfId="0" applyNumberFormat="1" applyFont="1" applyFill="1"/>
    <xf numFmtId="10" fontId="0" fillId="0" borderId="0" xfId="0" applyNumberFormat="1" applyAlignment="1">
      <alignment horizontal="center"/>
    </xf>
    <xf numFmtId="10" fontId="2" fillId="0" borderId="0" xfId="0" applyNumberFormat="1" applyFont="1" applyAlignment="1">
      <alignment horizontal="center"/>
    </xf>
    <xf numFmtId="10" fontId="2" fillId="0" borderId="0" xfId="0" applyNumberFormat="1" applyFont="1"/>
    <xf numFmtId="182" fontId="0" fillId="0" borderId="0" xfId="0" applyNumberFormat="1"/>
    <xf numFmtId="4" fontId="0" fillId="8" borderId="0" xfId="0" applyNumberFormat="1" applyFill="1"/>
    <xf numFmtId="4" fontId="2" fillId="0" borderId="11" xfId="0" applyNumberFormat="1" applyFont="1" applyBorder="1"/>
    <xf numFmtId="4" fontId="0" fillId="5" borderId="0" xfId="0" applyNumberFormat="1" applyFill="1"/>
    <xf numFmtId="4" fontId="0" fillId="0" borderId="3" xfId="0" applyNumberFormat="1" applyBorder="1"/>
    <xf numFmtId="4" fontId="15" fillId="0" borderId="11" xfId="0" applyNumberFormat="1" applyFont="1" applyBorder="1"/>
    <xf numFmtId="4" fontId="15" fillId="0" borderId="1" xfId="0" applyNumberFormat="1" applyFont="1" applyBorder="1"/>
    <xf numFmtId="10" fontId="2" fillId="5" borderId="0" xfId="6" applyNumberFormat="1" applyFont="1" applyFill="1" applyBorder="1"/>
    <xf numFmtId="164" fontId="5" fillId="0" borderId="0" xfId="2" applyNumberFormat="1" applyBorder="1" applyAlignment="1" applyProtection="1">
      <alignment horizontal="center"/>
    </xf>
    <xf numFmtId="164" fontId="3" fillId="2" borderId="0" xfId="3" applyNumberFormat="1" applyFont="1" applyBorder="1" applyAlignment="1">
      <alignment horizontal="center"/>
    </xf>
    <xf numFmtId="0" fontId="3" fillId="12" borderId="0" xfId="0" applyFont="1" applyFill="1" applyAlignment="1">
      <alignment horizontal="center"/>
    </xf>
    <xf numFmtId="0" fontId="0" fillId="0" borderId="0" xfId="0" applyAlignment="1">
      <alignment horizontal="center" vertical="center" wrapText="1"/>
    </xf>
    <xf numFmtId="0" fontId="3" fillId="6" borderId="0" xfId="0" applyFont="1" applyFill="1" applyAlignment="1">
      <alignment horizontal="center"/>
    </xf>
    <xf numFmtId="0" fontId="0" fillId="6" borderId="0" xfId="0" applyFill="1" applyAlignment="1">
      <alignment horizontal="center"/>
    </xf>
    <xf numFmtId="0" fontId="1" fillId="6" borderId="0" xfId="5" applyFill="1" applyAlignment="1">
      <alignment horizontal="center"/>
    </xf>
    <xf numFmtId="0" fontId="10" fillId="6" borderId="0" xfId="5" applyFont="1" applyFill="1" applyAlignment="1">
      <alignment horizontal="center"/>
    </xf>
    <xf numFmtId="0" fontId="3" fillId="6" borderId="0" xfId="0" applyFont="1" applyFill="1" applyAlignment="1">
      <alignment horizontal="left"/>
    </xf>
    <xf numFmtId="0" fontId="31" fillId="6" borderId="0" xfId="0" applyFont="1" applyFill="1" applyAlignment="1">
      <alignment horizontal="center"/>
    </xf>
    <xf numFmtId="0" fontId="0" fillId="0" borderId="0" xfId="0" applyAlignment="1">
      <alignment horizontal="left" wrapText="1"/>
    </xf>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left" vertical="center" wrapText="1"/>
    </xf>
    <xf numFmtId="0" fontId="0" fillId="0" borderId="0" xfId="0" applyAlignment="1">
      <alignment horizontal="left" vertical="center" wrapText="1"/>
    </xf>
    <xf numFmtId="0" fontId="10" fillId="6" borderId="14" xfId="0" applyFont="1" applyFill="1" applyBorder="1" applyAlignment="1">
      <alignment horizontal="center"/>
    </xf>
    <xf numFmtId="0" fontId="10" fillId="6" borderId="0" xfId="0" applyFont="1" applyFill="1" applyAlignment="1">
      <alignment horizontal="left"/>
    </xf>
    <xf numFmtId="14" fontId="0" fillId="6" borderId="0" xfId="0" applyNumberFormat="1" applyFill="1" applyAlignment="1">
      <alignment horizontal="center"/>
    </xf>
    <xf numFmtId="164" fontId="3" fillId="6" borderId="0" xfId="1" applyFont="1" applyFill="1" applyBorder="1" applyAlignment="1">
      <alignment horizontal="center"/>
    </xf>
    <xf numFmtId="167" fontId="2" fillId="0" borderId="0" xfId="0" applyNumberFormat="1" applyFont="1" applyAlignment="1">
      <alignment horizontal="center" vertical="center"/>
    </xf>
    <xf numFmtId="167" fontId="12" fillId="0" borderId="0" xfId="0" applyNumberFormat="1" applyFont="1" applyAlignment="1">
      <alignment horizontal="center" vertical="center"/>
    </xf>
    <xf numFmtId="0" fontId="3" fillId="7" borderId="0" xfId="0" applyFont="1" applyFill="1" applyAlignment="1">
      <alignment horizontal="center"/>
    </xf>
    <xf numFmtId="0" fontId="2" fillId="0" borderId="0" xfId="0" applyFont="1" applyAlignment="1">
      <alignment horizontal="center"/>
    </xf>
    <xf numFmtId="0" fontId="0" fillId="0" borderId="0" xfId="0" applyAlignment="1">
      <alignment horizontal="center"/>
    </xf>
    <xf numFmtId="0" fontId="14" fillId="4" borderId="0" xfId="0" applyFont="1" applyFill="1" applyAlignment="1">
      <alignment horizontal="center"/>
    </xf>
    <xf numFmtId="0" fontId="10" fillId="6" borderId="0" xfId="5" applyFont="1" applyFill="1"/>
  </cellXfs>
  <cellStyles count="12">
    <cellStyle name="Accent6" xfId="3" builtinId="49"/>
    <cellStyle name="Accent6 2" xfId="11" xr:uid="{21DF90FF-5F38-4AB0-BF44-CCE8B85D0877}"/>
    <cellStyle name="Comma" xfId="1" builtinId="3"/>
    <cellStyle name="Comma 2" xfId="9" xr:uid="{082F2BE0-E142-4B98-9856-27FB21C339C7}"/>
    <cellStyle name="Hyperlink" xfId="2" builtinId="8"/>
    <cellStyle name="Hyperlink 2" xfId="10" xr:uid="{E6258B2A-38C0-4DA8-972F-FEDBBF1A67C0}"/>
    <cellStyle name="Normal" xfId="0" builtinId="0"/>
    <cellStyle name="Normal 2" xfId="5" xr:uid="{54DDBD1F-526C-4F0C-8659-C0E4697F0C65}"/>
    <cellStyle name="Normal 2 2" xfId="7" xr:uid="{9BDC94F7-7FBE-4DB0-8271-023AAF7ECE49}"/>
    <cellStyle name="Percent" xfId="4" builtinId="5"/>
    <cellStyle name="Percent 2" xfId="6" xr:uid="{C16256D1-0327-45D9-88C1-45338A1A66A6}"/>
    <cellStyle name="Percent 2 2" xfId="8" xr:uid="{C2445CA0-4FCA-4888-A4CF-1F16F02323B1}"/>
  </cellStyles>
  <dxfs count="1">
    <dxf>
      <font>
        <b/>
        <i val="0"/>
        <color theme="0"/>
      </font>
      <fill>
        <patternFill>
          <bgColor theme="5"/>
        </patternFill>
      </fill>
    </dxf>
  </dxfs>
  <tableStyles count="0" defaultTableStyle="TableStyleMedium9" defaultPivotStyle="PivotStyleLight16"/>
  <colors>
    <mruColors>
      <color rgb="FF0E2152"/>
      <color rgb="FF0275D8"/>
      <color rgb="FF2744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Forecasting!$D$5</c:f>
              <c:strCache>
                <c:ptCount val="1"/>
                <c:pt idx="0">
                  <c:v>Sales</c:v>
                </c:pt>
              </c:strCache>
            </c:strRef>
          </c:tx>
          <c:spPr>
            <a:solidFill>
              <a:srgbClr val="002060"/>
            </a:solidFill>
            <a:ln>
              <a:noFill/>
            </a:ln>
            <a:effectLst/>
          </c:spPr>
          <c:invertIfNegative val="0"/>
          <c:cat>
            <c:numRef>
              <c:f>Forecasting!$C$6:$C$20</c:f>
              <c:numCache>
                <c:formatCode>yyyy\ "A"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 &quot;E&quot;">
                  <c:v>45379</c:v>
                </c:pt>
                <c:pt idx="11" formatCode="yyyy\ &quot;E&quot;">
                  <c:v>45744</c:v>
                </c:pt>
                <c:pt idx="12" formatCode="yyyy\ &quot;E&quot;">
                  <c:v>46109</c:v>
                </c:pt>
                <c:pt idx="13" formatCode="yyyy\ &quot;E&quot;">
                  <c:v>46474</c:v>
                </c:pt>
                <c:pt idx="14" formatCode="yyyy\ &quot;E&quot;">
                  <c:v>46839</c:v>
                </c:pt>
              </c:numCache>
            </c:numRef>
          </c:cat>
          <c:val>
            <c:numRef>
              <c:f>Forecasting!$D$6:$D$20</c:f>
              <c:numCache>
                <c:formatCode>#,##0.00</c:formatCode>
                <c:ptCount val="15"/>
                <c:pt idx="0">
                  <c:v>10173.39</c:v>
                </c:pt>
                <c:pt idx="1">
                  <c:v>11345.44</c:v>
                </c:pt>
                <c:pt idx="2">
                  <c:v>13790.1</c:v>
                </c:pt>
                <c:pt idx="3">
                  <c:v>14394.29</c:v>
                </c:pt>
                <c:pt idx="4">
                  <c:v>15155.71</c:v>
                </c:pt>
                <c:pt idx="5">
                  <c:v>16362.41</c:v>
                </c:pt>
                <c:pt idx="6">
                  <c:v>17131.990000000002</c:v>
                </c:pt>
                <c:pt idx="7">
                  <c:v>19159.59</c:v>
                </c:pt>
                <c:pt idx="8">
                  <c:v>21763.34</c:v>
                </c:pt>
                <c:pt idx="9">
                  <c:v>22753.119999999999</c:v>
                </c:pt>
                <c:pt idx="10">
                  <c:v>23616.608666666667</c:v>
                </c:pt>
                <c:pt idx="11">
                  <c:v>24964.548787878786</c:v>
                </c:pt>
                <c:pt idx="12">
                  <c:v>26312.488909090909</c:v>
                </c:pt>
                <c:pt idx="13">
                  <c:v>27660.429030303028</c:v>
                </c:pt>
                <c:pt idx="14">
                  <c:v>29008.369151515148</c:v>
                </c:pt>
              </c:numCache>
            </c:numRef>
          </c:val>
          <c:extLst>
            <c:ext xmlns:c16="http://schemas.microsoft.com/office/drawing/2014/chart" uri="{C3380CC4-5D6E-409C-BE32-E72D297353CC}">
              <c16:uniqueId val="{00000000-30E2-4A42-AB25-7FA7CDFBA941}"/>
            </c:ext>
          </c:extLst>
        </c:ser>
        <c:dLbls>
          <c:showLegendKey val="0"/>
          <c:showVal val="0"/>
          <c:showCatName val="0"/>
          <c:showSerName val="0"/>
          <c:showPercent val="0"/>
          <c:showBubbleSize val="0"/>
        </c:dLbls>
        <c:gapWidth val="219"/>
        <c:overlap val="-27"/>
        <c:axId val="802633000"/>
        <c:axId val="802634080"/>
      </c:barChart>
      <c:lineChart>
        <c:grouping val="standard"/>
        <c:varyColors val="0"/>
        <c:ser>
          <c:idx val="1"/>
          <c:order val="1"/>
          <c:tx>
            <c:strRef>
              <c:f>Forecasting!$E$5</c:f>
              <c:strCache>
                <c:ptCount val="1"/>
                <c:pt idx="0">
                  <c:v> Growth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Forecasting!$C$6:$C$20</c:f>
              <c:numCache>
                <c:formatCode>yyyy\ "A"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 &quot;E&quot;">
                  <c:v>45379</c:v>
                </c:pt>
                <c:pt idx="11" formatCode="yyyy\ &quot;E&quot;">
                  <c:v>45744</c:v>
                </c:pt>
                <c:pt idx="12" formatCode="yyyy\ &quot;E&quot;">
                  <c:v>46109</c:v>
                </c:pt>
                <c:pt idx="13" formatCode="yyyy\ &quot;E&quot;">
                  <c:v>46474</c:v>
                </c:pt>
                <c:pt idx="14" formatCode="yyyy\ &quot;E&quot;">
                  <c:v>46839</c:v>
                </c:pt>
              </c:numCache>
            </c:numRef>
          </c:cat>
          <c:val>
            <c:numRef>
              <c:f>Forecasting!$E$6:$E$20</c:f>
              <c:numCache>
                <c:formatCode>0.00%</c:formatCode>
                <c:ptCount val="15"/>
                <c:pt idx="1">
                  <c:v>0.11520741856942496</c:v>
                </c:pt>
                <c:pt idx="2">
                  <c:v>0.21547511599373848</c:v>
                </c:pt>
                <c:pt idx="3">
                  <c:v>4.3813315349417348E-2</c:v>
                </c:pt>
                <c:pt idx="4">
                  <c:v>5.2897364163150717E-2</c:v>
                </c:pt>
                <c:pt idx="5">
                  <c:v>7.9620156363509276E-2</c:v>
                </c:pt>
                <c:pt idx="6">
                  <c:v>4.7033413781955247E-2</c:v>
                </c:pt>
                <c:pt idx="7">
                  <c:v>0.11835169177661187</c:v>
                </c:pt>
                <c:pt idx="8">
                  <c:v>0.13589800199273583</c:v>
                </c:pt>
                <c:pt idx="9">
                  <c:v>4.5479232507510181E-2</c:v>
                </c:pt>
                <c:pt idx="10">
                  <c:v>3.7950341169328272E-2</c:v>
                </c:pt>
                <c:pt idx="11">
                  <c:v>5.7075939235706308E-2</c:v>
                </c:pt>
                <c:pt idx="12">
                  <c:v>5.3994171201147356E-2</c:v>
                </c:pt>
                <c:pt idx="13">
                  <c:v>5.1228149715111471E-2</c:v>
                </c:pt>
                <c:pt idx="14">
                  <c:v>4.8731714165944462E-2</c:v>
                </c:pt>
              </c:numCache>
            </c:numRef>
          </c:val>
          <c:smooth val="0"/>
          <c:extLst>
            <c:ext xmlns:c16="http://schemas.microsoft.com/office/drawing/2014/chart" uri="{C3380CC4-5D6E-409C-BE32-E72D297353CC}">
              <c16:uniqueId val="{00000001-30E2-4A42-AB25-7FA7CDFBA941}"/>
            </c:ext>
          </c:extLst>
        </c:ser>
        <c:dLbls>
          <c:showLegendKey val="0"/>
          <c:showVal val="0"/>
          <c:showCatName val="0"/>
          <c:showSerName val="0"/>
          <c:showPercent val="0"/>
          <c:showBubbleSize val="0"/>
        </c:dLbls>
        <c:marker val="1"/>
        <c:smooth val="0"/>
        <c:axId val="802514560"/>
        <c:axId val="802513840"/>
      </c:lineChart>
      <c:dateAx>
        <c:axId val="802633000"/>
        <c:scaling>
          <c:orientation val="minMax"/>
        </c:scaling>
        <c:delete val="0"/>
        <c:axPos val="b"/>
        <c:numFmt formatCode="yyyy\ &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634080"/>
        <c:crosses val="autoZero"/>
        <c:auto val="1"/>
        <c:lblOffset val="100"/>
        <c:baseTimeUnit val="years"/>
      </c:dateAx>
      <c:valAx>
        <c:axId val="802634080"/>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633000"/>
        <c:crosses val="autoZero"/>
        <c:crossBetween val="between"/>
      </c:valAx>
      <c:valAx>
        <c:axId val="80251384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514560"/>
        <c:crosses val="max"/>
        <c:crossBetween val="between"/>
      </c:valAx>
      <c:dateAx>
        <c:axId val="802514560"/>
        <c:scaling>
          <c:orientation val="minMax"/>
        </c:scaling>
        <c:delete val="1"/>
        <c:axPos val="b"/>
        <c:numFmt formatCode="yyyy\ &quot;A&quot;" sourceLinked="1"/>
        <c:majorTickMark val="out"/>
        <c:minorTickMark val="none"/>
        <c:tickLblPos val="nextTo"/>
        <c:crossAx val="802513840"/>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Forecasting!$I$5</c:f>
              <c:strCache>
                <c:ptCount val="1"/>
                <c:pt idx="0">
                  <c:v>Sales</c:v>
                </c:pt>
              </c:strCache>
            </c:strRef>
          </c:tx>
          <c:spPr>
            <a:solidFill>
              <a:srgbClr val="002060"/>
            </a:solidFill>
            <a:ln>
              <a:noFill/>
            </a:ln>
            <a:effectLst/>
          </c:spPr>
          <c:invertIfNegative val="0"/>
          <c:cat>
            <c:numRef>
              <c:f>Forecasting!$H$6:$H$20</c:f>
              <c:numCache>
                <c:formatCode>yyyy\ "A"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 &quot;E&quot;">
                  <c:v>45379</c:v>
                </c:pt>
                <c:pt idx="11" formatCode="yyyy\ &quot;E&quot;">
                  <c:v>45744</c:v>
                </c:pt>
                <c:pt idx="12" formatCode="yyyy\ &quot;E&quot;">
                  <c:v>46109</c:v>
                </c:pt>
                <c:pt idx="13" formatCode="yyyy\ &quot;E&quot;">
                  <c:v>46474</c:v>
                </c:pt>
                <c:pt idx="14" formatCode="yyyy\ &quot;E&quot;">
                  <c:v>46839</c:v>
                </c:pt>
              </c:numCache>
            </c:numRef>
          </c:cat>
          <c:val>
            <c:numRef>
              <c:f>Forecasting!$I$6:$I$20</c:f>
              <c:numCache>
                <c:formatCode>#,##0.00</c:formatCode>
                <c:ptCount val="15"/>
                <c:pt idx="0">
                  <c:v>2146.9399999999996</c:v>
                </c:pt>
                <c:pt idx="1">
                  <c:v>2162.8700000000008</c:v>
                </c:pt>
                <c:pt idx="2">
                  <c:v>2479.670000000001</c:v>
                </c:pt>
                <c:pt idx="3">
                  <c:v>2496.3100000000027</c:v>
                </c:pt>
                <c:pt idx="4">
                  <c:v>2826.380000000001</c:v>
                </c:pt>
                <c:pt idx="5">
                  <c:v>3097.3099999999995</c:v>
                </c:pt>
                <c:pt idx="6">
                  <c:v>3205.9900000000011</c:v>
                </c:pt>
                <c:pt idx="7">
                  <c:v>4252.4299999999976</c:v>
                </c:pt>
                <c:pt idx="8">
                  <c:v>4552.7800000000007</c:v>
                </c:pt>
                <c:pt idx="9">
                  <c:v>5026.9699999999975</c:v>
                </c:pt>
                <c:pt idx="10">
                  <c:v>5021.8786666666656</c:v>
                </c:pt>
                <c:pt idx="11">
                  <c:v>5348.6266060606049</c:v>
                </c:pt>
                <c:pt idx="12">
                  <c:v>5675.3745454545442</c:v>
                </c:pt>
                <c:pt idx="13">
                  <c:v>6002.1224848484817</c:v>
                </c:pt>
                <c:pt idx="14">
                  <c:v>6328.870424242421</c:v>
                </c:pt>
              </c:numCache>
            </c:numRef>
          </c:val>
          <c:extLst>
            <c:ext xmlns:c16="http://schemas.microsoft.com/office/drawing/2014/chart" uri="{C3380CC4-5D6E-409C-BE32-E72D297353CC}">
              <c16:uniqueId val="{00000000-8218-4C76-B981-704F3FC5DCFB}"/>
            </c:ext>
          </c:extLst>
        </c:ser>
        <c:dLbls>
          <c:showLegendKey val="0"/>
          <c:showVal val="0"/>
          <c:showCatName val="0"/>
          <c:showSerName val="0"/>
          <c:showPercent val="0"/>
          <c:showBubbleSize val="0"/>
        </c:dLbls>
        <c:gapWidth val="219"/>
        <c:overlap val="-27"/>
        <c:axId val="802589440"/>
        <c:axId val="802591960"/>
      </c:barChart>
      <c:lineChart>
        <c:grouping val="standard"/>
        <c:varyColors val="0"/>
        <c:ser>
          <c:idx val="1"/>
          <c:order val="1"/>
          <c:tx>
            <c:strRef>
              <c:f>Forecasting!$J$5</c:f>
              <c:strCache>
                <c:ptCount val="1"/>
                <c:pt idx="0">
                  <c:v> Growth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Forecasting!$H$6:$H$20</c:f>
              <c:numCache>
                <c:formatCode>yyyy\ "A"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 &quot;E&quot;">
                  <c:v>45379</c:v>
                </c:pt>
                <c:pt idx="11" formatCode="yyyy\ &quot;E&quot;">
                  <c:v>45744</c:v>
                </c:pt>
                <c:pt idx="12" formatCode="yyyy\ &quot;E&quot;">
                  <c:v>46109</c:v>
                </c:pt>
                <c:pt idx="13" formatCode="yyyy\ &quot;E&quot;">
                  <c:v>46474</c:v>
                </c:pt>
                <c:pt idx="14" formatCode="yyyy\ &quot;E&quot;">
                  <c:v>46839</c:v>
                </c:pt>
              </c:numCache>
            </c:numRef>
          </c:cat>
          <c:val>
            <c:numRef>
              <c:f>Forecasting!$J$6:$J$20</c:f>
              <c:numCache>
                <c:formatCode>0.00%</c:formatCode>
                <c:ptCount val="15"/>
                <c:pt idx="1">
                  <c:v>7.4198626882917562E-3</c:v>
                </c:pt>
                <c:pt idx="2">
                  <c:v>0.14647204871305264</c:v>
                </c:pt>
                <c:pt idx="3">
                  <c:v>6.7105703581531451E-3</c:v>
                </c:pt>
                <c:pt idx="4">
                  <c:v>0.13222316138620527</c:v>
                </c:pt>
                <c:pt idx="5">
                  <c:v>9.5857598765912044E-2</c:v>
                </c:pt>
                <c:pt idx="6">
                  <c:v>3.5088512289697116E-2</c:v>
                </c:pt>
                <c:pt idx="7">
                  <c:v>0.32640151716006471</c:v>
                </c:pt>
                <c:pt idx="8">
                  <c:v>7.063020437726264E-2</c:v>
                </c:pt>
                <c:pt idx="9">
                  <c:v>0.10415394550142909</c:v>
                </c:pt>
                <c:pt idx="10">
                  <c:v>-1.0128036040262245E-3</c:v>
                </c:pt>
                <c:pt idx="11">
                  <c:v>6.5064881308815492E-2</c:v>
                </c:pt>
                <c:pt idx="12">
                  <c:v>6.1090063573272513E-2</c:v>
                </c:pt>
                <c:pt idx="13">
                  <c:v>5.7572929641380721E-2</c:v>
                </c:pt>
                <c:pt idx="14">
                  <c:v>5.4438732334898043E-2</c:v>
                </c:pt>
              </c:numCache>
            </c:numRef>
          </c:val>
          <c:smooth val="0"/>
          <c:extLst>
            <c:ext xmlns:c16="http://schemas.microsoft.com/office/drawing/2014/chart" uri="{C3380CC4-5D6E-409C-BE32-E72D297353CC}">
              <c16:uniqueId val="{00000001-8218-4C76-B981-704F3FC5DCFB}"/>
            </c:ext>
          </c:extLst>
        </c:ser>
        <c:dLbls>
          <c:showLegendKey val="0"/>
          <c:showVal val="0"/>
          <c:showCatName val="0"/>
          <c:showSerName val="0"/>
          <c:showPercent val="0"/>
          <c:showBubbleSize val="0"/>
        </c:dLbls>
        <c:marker val="1"/>
        <c:smooth val="0"/>
        <c:axId val="802593400"/>
        <c:axId val="802588360"/>
      </c:lineChart>
      <c:dateAx>
        <c:axId val="802589440"/>
        <c:scaling>
          <c:orientation val="minMax"/>
        </c:scaling>
        <c:delete val="0"/>
        <c:axPos val="b"/>
        <c:numFmt formatCode="yyyy\ &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591960"/>
        <c:crosses val="autoZero"/>
        <c:auto val="1"/>
        <c:lblOffset val="100"/>
        <c:baseTimeUnit val="years"/>
      </c:dateAx>
      <c:valAx>
        <c:axId val="802591960"/>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589440"/>
        <c:crosses val="autoZero"/>
        <c:crossBetween val="between"/>
      </c:valAx>
      <c:valAx>
        <c:axId val="80258836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593400"/>
        <c:crosses val="max"/>
        <c:crossBetween val="between"/>
      </c:valAx>
      <c:dateAx>
        <c:axId val="802593400"/>
        <c:scaling>
          <c:orientation val="minMax"/>
        </c:scaling>
        <c:delete val="1"/>
        <c:axPos val="b"/>
        <c:numFmt formatCode="yyyy\ &quot;A&quot;" sourceLinked="1"/>
        <c:majorTickMark val="out"/>
        <c:minorTickMark val="none"/>
        <c:tickLblPos val="nextTo"/>
        <c:crossAx val="802588360"/>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Forecasting!$N$5</c:f>
              <c:strCache>
                <c:ptCount val="1"/>
                <c:pt idx="0">
                  <c:v>Sales</c:v>
                </c:pt>
              </c:strCache>
            </c:strRef>
          </c:tx>
          <c:spPr>
            <a:solidFill>
              <a:srgbClr val="002060"/>
            </a:solidFill>
            <a:ln>
              <a:noFill/>
            </a:ln>
            <a:effectLst/>
          </c:spPr>
          <c:invertIfNegative val="0"/>
          <c:cat>
            <c:numRef>
              <c:f>Forecasting!$M$6:$M$20</c:f>
              <c:numCache>
                <c:formatCode>yyyy\ "A"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 &quot;E&quot;">
                  <c:v>45379</c:v>
                </c:pt>
                <c:pt idx="11" formatCode="yyyy\ &quot;E&quot;">
                  <c:v>45744</c:v>
                </c:pt>
                <c:pt idx="12" formatCode="yyyy\ &quot;E&quot;">
                  <c:v>46109</c:v>
                </c:pt>
                <c:pt idx="13" formatCode="yyyy\ &quot;E&quot;">
                  <c:v>46474</c:v>
                </c:pt>
                <c:pt idx="14" formatCode="yyyy\ &quot;E&quot;">
                  <c:v>46839</c:v>
                </c:pt>
              </c:numCache>
            </c:numRef>
          </c:cat>
          <c:val>
            <c:numRef>
              <c:f>Forecasting!$N$6:$N$20</c:f>
              <c:numCache>
                <c:formatCode>#,##0.00</c:formatCode>
                <c:ptCount val="15"/>
                <c:pt idx="0">
                  <c:v>14.512143479885406</c:v>
                </c:pt>
                <c:pt idx="1">
                  <c:v>13.572104607721057</c:v>
                </c:pt>
                <c:pt idx="2">
                  <c:v>14.777570326114029</c:v>
                </c:pt>
                <c:pt idx="3">
                  <c:v>10.369670602858951</c:v>
                </c:pt>
                <c:pt idx="4">
                  <c:v>14.150043472860528</c:v>
                </c:pt>
                <c:pt idx="5">
                  <c:v>12.821645773861233</c:v>
                </c:pt>
                <c:pt idx="6">
                  <c:v>14.919126767551486</c:v>
                </c:pt>
                <c:pt idx="7">
                  <c:v>26.476255424674488</c:v>
                </c:pt>
                <c:pt idx="8">
                  <c:v>30.499256321269211</c:v>
                </c:pt>
                <c:pt idx="9">
                  <c:v>31.497274529236847</c:v>
                </c:pt>
                <c:pt idx="10">
                  <c:v>29.765163721499345</c:v>
                </c:pt>
                <c:pt idx="11">
                  <c:v>31.83891910166226</c:v>
                </c:pt>
                <c:pt idx="12">
                  <c:v>33.912674481825178</c:v>
                </c:pt>
                <c:pt idx="13">
                  <c:v>35.986429861988086</c:v>
                </c:pt>
                <c:pt idx="14">
                  <c:v>38.060185242150993</c:v>
                </c:pt>
              </c:numCache>
            </c:numRef>
          </c:val>
          <c:extLst>
            <c:ext xmlns:c16="http://schemas.microsoft.com/office/drawing/2014/chart" uri="{C3380CC4-5D6E-409C-BE32-E72D297353CC}">
              <c16:uniqueId val="{00000000-FF26-45F5-9F39-04016EE4EB3A}"/>
            </c:ext>
          </c:extLst>
        </c:ser>
        <c:dLbls>
          <c:showLegendKey val="0"/>
          <c:showVal val="0"/>
          <c:showCatName val="0"/>
          <c:showSerName val="0"/>
          <c:showPercent val="0"/>
          <c:showBubbleSize val="0"/>
        </c:dLbls>
        <c:gapWidth val="219"/>
        <c:overlap val="-27"/>
        <c:axId val="938718528"/>
        <c:axId val="938719608"/>
      </c:barChart>
      <c:lineChart>
        <c:grouping val="standard"/>
        <c:varyColors val="0"/>
        <c:ser>
          <c:idx val="1"/>
          <c:order val="1"/>
          <c:tx>
            <c:strRef>
              <c:f>Forecasting!$O$5</c:f>
              <c:strCache>
                <c:ptCount val="1"/>
                <c:pt idx="0">
                  <c:v> Growth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Forecasting!$M$6:$M$20</c:f>
              <c:numCache>
                <c:formatCode>yyyy\ "A"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 &quot;E&quot;">
                  <c:v>45379</c:v>
                </c:pt>
                <c:pt idx="11" formatCode="yyyy\ &quot;E&quot;">
                  <c:v>45744</c:v>
                </c:pt>
                <c:pt idx="12" formatCode="yyyy\ &quot;E&quot;">
                  <c:v>46109</c:v>
                </c:pt>
                <c:pt idx="13" formatCode="yyyy\ &quot;E&quot;">
                  <c:v>46474</c:v>
                </c:pt>
                <c:pt idx="14" formatCode="yyyy\ &quot;E&quot;">
                  <c:v>46839</c:v>
                </c:pt>
              </c:numCache>
            </c:numRef>
          </c:cat>
          <c:val>
            <c:numRef>
              <c:f>Forecasting!$O$6:$O$20</c:f>
              <c:numCache>
                <c:formatCode>0.00%</c:formatCode>
                <c:ptCount val="15"/>
                <c:pt idx="1">
                  <c:v>-6.4776018337145858E-2</c:v>
                </c:pt>
                <c:pt idx="2">
                  <c:v>8.8819365399467332E-2</c:v>
                </c:pt>
                <c:pt idx="3">
                  <c:v>-0.29828311596431412</c:v>
                </c:pt>
                <c:pt idx="4">
                  <c:v>0.36456055498612616</c:v>
                </c:pt>
                <c:pt idx="5">
                  <c:v>-9.3879407617872834E-2</c:v>
                </c:pt>
                <c:pt idx="6">
                  <c:v>0.16358906108342741</c:v>
                </c:pt>
                <c:pt idx="7">
                  <c:v>0.77465181690521612</c:v>
                </c:pt>
                <c:pt idx="8">
                  <c:v>0.15194750284987424</c:v>
                </c:pt>
                <c:pt idx="9">
                  <c:v>3.2722706332732665E-2</c:v>
                </c:pt>
                <c:pt idx="10">
                  <c:v>-5.4992402791222417E-2</c:v>
                </c:pt>
                <c:pt idx="11">
                  <c:v>6.9670551775431466E-2</c:v>
                </c:pt>
                <c:pt idx="12">
                  <c:v>6.5132719284262786E-2</c:v>
                </c:pt>
                <c:pt idx="13">
                  <c:v>6.1149862458482751E-2</c:v>
                </c:pt>
                <c:pt idx="14">
                  <c:v>5.7626038151491699E-2</c:v>
                </c:pt>
              </c:numCache>
            </c:numRef>
          </c:val>
          <c:smooth val="0"/>
          <c:extLst>
            <c:ext xmlns:c16="http://schemas.microsoft.com/office/drawing/2014/chart" uri="{C3380CC4-5D6E-409C-BE32-E72D297353CC}">
              <c16:uniqueId val="{00000001-FF26-45F5-9F39-04016EE4EB3A}"/>
            </c:ext>
          </c:extLst>
        </c:ser>
        <c:dLbls>
          <c:showLegendKey val="0"/>
          <c:showVal val="0"/>
          <c:showCatName val="0"/>
          <c:showSerName val="0"/>
          <c:showPercent val="0"/>
          <c:showBubbleSize val="0"/>
        </c:dLbls>
        <c:marker val="1"/>
        <c:smooth val="0"/>
        <c:axId val="938714208"/>
        <c:axId val="938715288"/>
      </c:lineChart>
      <c:dateAx>
        <c:axId val="938718528"/>
        <c:scaling>
          <c:orientation val="minMax"/>
        </c:scaling>
        <c:delete val="0"/>
        <c:axPos val="b"/>
        <c:numFmt formatCode="yyyy\ &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719608"/>
        <c:crosses val="autoZero"/>
        <c:auto val="1"/>
        <c:lblOffset val="100"/>
        <c:baseTimeUnit val="years"/>
      </c:dateAx>
      <c:valAx>
        <c:axId val="938719608"/>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718528"/>
        <c:crosses val="autoZero"/>
        <c:crossBetween val="between"/>
      </c:valAx>
      <c:valAx>
        <c:axId val="93871528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714208"/>
        <c:crosses val="max"/>
        <c:crossBetween val="between"/>
      </c:valAx>
      <c:dateAx>
        <c:axId val="938714208"/>
        <c:scaling>
          <c:orientation val="minMax"/>
        </c:scaling>
        <c:delete val="1"/>
        <c:axPos val="b"/>
        <c:numFmt formatCode="yyyy\ &quot;A&quot;" sourceLinked="1"/>
        <c:majorTickMark val="out"/>
        <c:minorTickMark val="none"/>
        <c:tickLblPos val="nextTo"/>
        <c:crossAx val="938715288"/>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Football</a:t>
            </a:r>
            <a:r>
              <a:rPr lang="en-US" sz="1200" b="1" baseline="0">
                <a:solidFill>
                  <a:schemeClr val="tx1"/>
                </a:solidFill>
              </a:rPr>
              <a:t> Feild Analysis - Valuation Summary (Rs.)</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38100" cap="rnd">
              <a:noFill/>
              <a:round/>
            </a:ln>
            <a:effectLst/>
          </c:spPr>
          <c:marker>
            <c:symbol val="none"/>
          </c:marker>
          <c:cat>
            <c:strRef>
              <c:f>'Footbal Feild Analysis'!$C$5:$C$9</c:f>
              <c:strCache>
                <c:ptCount val="5"/>
                <c:pt idx="0">
                  <c:v>Comps.</c:v>
                </c:pt>
                <c:pt idx="1">
                  <c:v>DCF Bear</c:v>
                </c:pt>
                <c:pt idx="2">
                  <c:v>DCF Base</c:v>
                </c:pt>
                <c:pt idx="3">
                  <c:v>DCF Bull</c:v>
                </c:pt>
                <c:pt idx="4">
                  <c:v>52W H/L</c:v>
                </c:pt>
              </c:strCache>
            </c:strRef>
          </c:cat>
          <c:val>
            <c:numRef>
              <c:f>'Footbal Feild Analysis'!$E$5:$E$9</c:f>
              <c:numCache>
                <c:formatCode>#,##0.00</c:formatCode>
                <c:ptCount val="5"/>
                <c:pt idx="0">
                  <c:v>718.47359843075276</c:v>
                </c:pt>
                <c:pt idx="1">
                  <c:v>531.87</c:v>
                </c:pt>
                <c:pt idx="2">
                  <c:v>809.27</c:v>
                </c:pt>
                <c:pt idx="3">
                  <c:v>1469.1166000000001</c:v>
                </c:pt>
                <c:pt idx="4">
                  <c:v>852</c:v>
                </c:pt>
              </c:numCache>
            </c:numRef>
          </c:val>
          <c:smooth val="0"/>
          <c:extLst>
            <c:ext xmlns:c16="http://schemas.microsoft.com/office/drawing/2014/chart" uri="{C3380CC4-5D6E-409C-BE32-E72D297353CC}">
              <c16:uniqueId val="{00000000-4CD4-4592-8400-3D837CB416A6}"/>
            </c:ext>
          </c:extLst>
        </c:ser>
        <c:ser>
          <c:idx val="1"/>
          <c:order val="1"/>
          <c:spPr>
            <a:ln w="38100" cap="rnd">
              <a:noFill/>
              <a:round/>
            </a:ln>
            <a:effectLst/>
          </c:spPr>
          <c:marker>
            <c:symbol val="none"/>
          </c:marker>
          <c:dLbls>
            <c:numFmt formatCode="[$₹-4009]\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 Feild Analysis'!$C$5:$C$9</c:f>
              <c:strCache>
                <c:ptCount val="5"/>
                <c:pt idx="0">
                  <c:v>Comps.</c:v>
                </c:pt>
                <c:pt idx="1">
                  <c:v>DCF Bear</c:v>
                </c:pt>
                <c:pt idx="2">
                  <c:v>DCF Base</c:v>
                </c:pt>
                <c:pt idx="3">
                  <c:v>DCF Bull</c:v>
                </c:pt>
                <c:pt idx="4">
                  <c:v>52W H/L</c:v>
                </c:pt>
              </c:strCache>
            </c:strRef>
          </c:cat>
          <c:val>
            <c:numRef>
              <c:f>'Footbal Feild Analysis'!$F$5:$F$9</c:f>
              <c:numCache>
                <c:formatCode>#,##0.00</c:formatCode>
                <c:ptCount val="5"/>
                <c:pt idx="0">
                  <c:v>718.47359843075276</c:v>
                </c:pt>
                <c:pt idx="1">
                  <c:v>531.87</c:v>
                </c:pt>
                <c:pt idx="2">
                  <c:v>809.27</c:v>
                </c:pt>
                <c:pt idx="3">
                  <c:v>1469.1166000000001</c:v>
                </c:pt>
                <c:pt idx="4">
                  <c:v>852</c:v>
                </c:pt>
              </c:numCache>
            </c:numRef>
          </c:val>
          <c:smooth val="0"/>
          <c:extLst>
            <c:ext xmlns:c16="http://schemas.microsoft.com/office/drawing/2014/chart" uri="{C3380CC4-5D6E-409C-BE32-E72D297353CC}">
              <c16:uniqueId val="{00000001-4CD4-4592-8400-3D837CB416A6}"/>
            </c:ext>
          </c:extLst>
        </c:ser>
        <c:ser>
          <c:idx val="2"/>
          <c:order val="2"/>
          <c:spPr>
            <a:ln w="38100" cap="rnd">
              <a:noFill/>
              <a:round/>
            </a:ln>
            <a:effectLst/>
          </c:spPr>
          <c:marker>
            <c:symbol val="none"/>
          </c:marker>
          <c:cat>
            <c:strRef>
              <c:f>'Footbal Feild Analysis'!$C$5:$C$9</c:f>
              <c:strCache>
                <c:ptCount val="5"/>
                <c:pt idx="0">
                  <c:v>Comps.</c:v>
                </c:pt>
                <c:pt idx="1">
                  <c:v>DCF Bear</c:v>
                </c:pt>
                <c:pt idx="2">
                  <c:v>DCF Base</c:v>
                </c:pt>
                <c:pt idx="3">
                  <c:v>DCF Bull</c:v>
                </c:pt>
                <c:pt idx="4">
                  <c:v>52W H/L</c:v>
                </c:pt>
              </c:strCache>
            </c:strRef>
          </c:cat>
          <c:val>
            <c:numRef>
              <c:f>'Footbal Feild Analysis'!$G$5:$G$9</c:f>
              <c:numCache>
                <c:formatCode>#,##0.00</c:formatCode>
                <c:ptCount val="5"/>
                <c:pt idx="0">
                  <c:v>3924.9144134197554</c:v>
                </c:pt>
                <c:pt idx="1">
                  <c:v>872.26679999999999</c:v>
                </c:pt>
                <c:pt idx="2">
                  <c:v>1173.4414999999999</c:v>
                </c:pt>
                <c:pt idx="3">
                  <c:v>1562.89</c:v>
                </c:pt>
                <c:pt idx="4">
                  <c:v>1494</c:v>
                </c:pt>
              </c:numCache>
            </c:numRef>
          </c:val>
          <c:smooth val="0"/>
          <c:extLst>
            <c:ext xmlns:c16="http://schemas.microsoft.com/office/drawing/2014/chart" uri="{C3380CC4-5D6E-409C-BE32-E72D297353CC}">
              <c16:uniqueId val="{00000002-4CD4-4592-8400-3D837CB416A6}"/>
            </c:ext>
          </c:extLst>
        </c:ser>
        <c:ser>
          <c:idx val="3"/>
          <c:order val="3"/>
          <c:spPr>
            <a:ln w="38100" cap="rnd">
              <a:noFill/>
              <a:round/>
            </a:ln>
            <a:effectLst/>
          </c:spPr>
          <c:marker>
            <c:symbol val="none"/>
          </c:marker>
          <c:dLbls>
            <c:numFmt formatCode="[$₹-4009]\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 Feild Analysis'!$C$5:$C$9</c:f>
              <c:strCache>
                <c:ptCount val="5"/>
                <c:pt idx="0">
                  <c:v>Comps.</c:v>
                </c:pt>
                <c:pt idx="1">
                  <c:v>DCF Bear</c:v>
                </c:pt>
                <c:pt idx="2">
                  <c:v>DCF Base</c:v>
                </c:pt>
                <c:pt idx="3">
                  <c:v>DCF Bull</c:v>
                </c:pt>
                <c:pt idx="4">
                  <c:v>52W H/L</c:v>
                </c:pt>
              </c:strCache>
            </c:strRef>
          </c:cat>
          <c:val>
            <c:numRef>
              <c:f>'Footbal Feild Analysis'!$H$5:$H$9</c:f>
              <c:numCache>
                <c:formatCode>#,##0.00</c:formatCode>
                <c:ptCount val="5"/>
                <c:pt idx="0">
                  <c:v>3924.9144134197554</c:v>
                </c:pt>
                <c:pt idx="1">
                  <c:v>872.26679999999999</c:v>
                </c:pt>
                <c:pt idx="2">
                  <c:v>1173.4414999999999</c:v>
                </c:pt>
                <c:pt idx="3">
                  <c:v>1562.89</c:v>
                </c:pt>
                <c:pt idx="4">
                  <c:v>1494</c:v>
                </c:pt>
              </c:numCache>
            </c:numRef>
          </c:val>
          <c:smooth val="0"/>
          <c:extLst>
            <c:ext xmlns:c16="http://schemas.microsoft.com/office/drawing/2014/chart" uri="{C3380CC4-5D6E-409C-BE32-E72D297353CC}">
              <c16:uniqueId val="{00000003-4CD4-4592-8400-3D837CB416A6}"/>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957169952"/>
        <c:axId val="957169592"/>
      </c:stockChart>
      <c:catAx>
        <c:axId val="957169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169592"/>
        <c:crosses val="autoZero"/>
        <c:auto val="1"/>
        <c:lblAlgn val="ctr"/>
        <c:lblOffset val="100"/>
        <c:noMultiLvlLbl val="0"/>
      </c:catAx>
      <c:valAx>
        <c:axId val="957169592"/>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169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Peers!$N$5</c:f>
              <c:strCache>
                <c:ptCount val="1"/>
                <c:pt idx="0">
                  <c:v>EV/Revenue</c:v>
                </c:pt>
              </c:strCache>
            </c:strRef>
          </c:tx>
          <c:spPr>
            <a:solidFill>
              <a:schemeClr val="accent1"/>
            </a:solidFill>
            <a:ln>
              <a:noFill/>
            </a:ln>
            <a:effectLst/>
          </c:spPr>
          <c:invertIfNegative val="0"/>
          <c:cat>
            <c:strRef>
              <c:f>Peers!$B$6:$B$16</c:f>
              <c:strCache>
                <c:ptCount val="11"/>
                <c:pt idx="1">
                  <c:v>Cipla</c:v>
                </c:pt>
                <c:pt idx="2">
                  <c:v>Sun Pharma.Inds.</c:v>
                </c:pt>
                <c:pt idx="3">
                  <c:v>Dr Reddy's Labs</c:v>
                </c:pt>
                <c:pt idx="4">
                  <c:v>Zydus Lifesci.</c:v>
                </c:pt>
                <c:pt idx="5">
                  <c:v>Mankind Pharma</c:v>
                </c:pt>
                <c:pt idx="6">
                  <c:v>Lupin</c:v>
                </c:pt>
                <c:pt idx="7">
                  <c:v>Alkem Lab</c:v>
                </c:pt>
                <c:pt idx="8">
                  <c:v>Aurobindo Pharma</c:v>
                </c:pt>
                <c:pt idx="9">
                  <c:v>Biocon</c:v>
                </c:pt>
                <c:pt idx="10">
                  <c:v>Ipca Labs.</c:v>
                </c:pt>
              </c:strCache>
            </c:strRef>
          </c:cat>
          <c:val>
            <c:numRef>
              <c:f>Peers!$N$6:$N$16</c:f>
              <c:numCache>
                <c:formatCode>0.00\ "x"</c:formatCode>
                <c:ptCount val="11"/>
                <c:pt idx="1">
                  <c:v>2.5082056932904084</c:v>
                </c:pt>
                <c:pt idx="2">
                  <c:v>7.8143454937567212</c:v>
                </c:pt>
                <c:pt idx="3">
                  <c:v>3.9337753605879651</c:v>
                </c:pt>
                <c:pt idx="4">
                  <c:v>4.8921986207041561</c:v>
                </c:pt>
                <c:pt idx="5">
                  <c:v>9.5885391657623078</c:v>
                </c:pt>
                <c:pt idx="6">
                  <c:v>3.9041079593493055</c:v>
                </c:pt>
                <c:pt idx="7">
                  <c:v>5.0387509933229699</c:v>
                </c:pt>
                <c:pt idx="8">
                  <c:v>2.2126323729112505</c:v>
                </c:pt>
                <c:pt idx="9">
                  <c:v>3.32828626176219</c:v>
                </c:pt>
                <c:pt idx="10">
                  <c:v>4.3191449762377401</c:v>
                </c:pt>
              </c:numCache>
            </c:numRef>
          </c:val>
          <c:extLst>
            <c:ext xmlns:c16="http://schemas.microsoft.com/office/drawing/2014/chart" uri="{C3380CC4-5D6E-409C-BE32-E72D297353CC}">
              <c16:uniqueId val="{00000000-92A7-4330-B9E4-81AE5F755B18}"/>
            </c:ext>
          </c:extLst>
        </c:ser>
        <c:ser>
          <c:idx val="1"/>
          <c:order val="1"/>
          <c:tx>
            <c:strRef>
              <c:f>Peers!$O$5</c:f>
              <c:strCache>
                <c:ptCount val="1"/>
                <c:pt idx="0">
                  <c:v>EV/EBITDA</c:v>
                </c:pt>
              </c:strCache>
            </c:strRef>
          </c:tx>
          <c:spPr>
            <a:solidFill>
              <a:srgbClr val="002060"/>
            </a:solidFill>
            <a:ln>
              <a:noFill/>
            </a:ln>
            <a:effectLst/>
          </c:spPr>
          <c:invertIfNegative val="0"/>
          <c:cat>
            <c:strRef>
              <c:f>Peers!$B$6:$B$16</c:f>
              <c:strCache>
                <c:ptCount val="11"/>
                <c:pt idx="1">
                  <c:v>Cipla</c:v>
                </c:pt>
                <c:pt idx="2">
                  <c:v>Sun Pharma.Inds.</c:v>
                </c:pt>
                <c:pt idx="3">
                  <c:v>Dr Reddy's Labs</c:v>
                </c:pt>
                <c:pt idx="4">
                  <c:v>Zydus Lifesci.</c:v>
                </c:pt>
                <c:pt idx="5">
                  <c:v>Mankind Pharma</c:v>
                </c:pt>
                <c:pt idx="6">
                  <c:v>Lupin</c:v>
                </c:pt>
                <c:pt idx="7">
                  <c:v>Alkem Lab</c:v>
                </c:pt>
                <c:pt idx="8">
                  <c:v>Aurobindo Pharma</c:v>
                </c:pt>
                <c:pt idx="9">
                  <c:v>Biocon</c:v>
                </c:pt>
                <c:pt idx="10">
                  <c:v>Ipca Labs.</c:v>
                </c:pt>
              </c:strCache>
            </c:strRef>
          </c:cat>
          <c:val>
            <c:numRef>
              <c:f>Peers!$O$6:$O$16</c:f>
              <c:numCache>
                <c:formatCode>0.00\ "x"</c:formatCode>
                <c:ptCount val="11"/>
                <c:pt idx="1">
                  <c:v>8.5540501335572223</c:v>
                </c:pt>
                <c:pt idx="2">
                  <c:v>26.650247742178497</c:v>
                </c:pt>
                <c:pt idx="3">
                  <c:v>12.608848396329757</c:v>
                </c:pt>
                <c:pt idx="4">
                  <c:v>17.984920481555204</c:v>
                </c:pt>
                <c:pt idx="5">
                  <c:v>36.132420506926941</c:v>
                </c:pt>
                <c:pt idx="6">
                  <c:v>21.608081673357709</c:v>
                </c:pt>
                <c:pt idx="7">
                  <c:v>25.586348619428481</c:v>
                </c:pt>
                <c:pt idx="8">
                  <c:v>10.792817923017198</c:v>
                </c:pt>
                <c:pt idx="9">
                  <c:v>11.496721981892536</c:v>
                </c:pt>
                <c:pt idx="10">
                  <c:v>24.173953252824312</c:v>
                </c:pt>
              </c:numCache>
            </c:numRef>
          </c:val>
          <c:extLst>
            <c:ext xmlns:c16="http://schemas.microsoft.com/office/drawing/2014/chart" uri="{C3380CC4-5D6E-409C-BE32-E72D297353CC}">
              <c16:uniqueId val="{00000001-92A7-4330-B9E4-81AE5F755B18}"/>
            </c:ext>
          </c:extLst>
        </c:ser>
        <c:dLbls>
          <c:showLegendKey val="0"/>
          <c:showVal val="0"/>
          <c:showCatName val="0"/>
          <c:showSerName val="0"/>
          <c:showPercent val="0"/>
          <c:showBubbleSize val="0"/>
        </c:dLbls>
        <c:gapWidth val="219"/>
        <c:overlap val="-27"/>
        <c:axId val="958925688"/>
        <c:axId val="958923888"/>
      </c:barChart>
      <c:lineChart>
        <c:grouping val="standard"/>
        <c:varyColors val="0"/>
        <c:ser>
          <c:idx val="2"/>
          <c:order val="2"/>
          <c:tx>
            <c:strRef>
              <c:f>Peers!$P$5</c:f>
              <c:strCache>
                <c:ptCount val="1"/>
                <c:pt idx="0">
                  <c:v>P/E</c:v>
                </c:pt>
              </c:strCache>
            </c:strRef>
          </c:tx>
          <c:spPr>
            <a:ln w="28575" cap="rnd">
              <a:solidFill>
                <a:srgbClr val="0070C0"/>
              </a:solidFill>
              <a:round/>
            </a:ln>
            <a:effectLst/>
          </c:spPr>
          <c:marker>
            <c:symbol val="circle"/>
            <c:size val="5"/>
            <c:spPr>
              <a:solidFill>
                <a:srgbClr val="0070C0"/>
              </a:solidFill>
              <a:ln w="9525">
                <a:solidFill>
                  <a:srgbClr val="0070C0"/>
                </a:solidFill>
              </a:ln>
              <a:effectLst/>
            </c:spPr>
          </c:marker>
          <c:cat>
            <c:strRef>
              <c:f>Peers!$B$6:$B$16</c:f>
              <c:strCache>
                <c:ptCount val="11"/>
                <c:pt idx="1">
                  <c:v>Cipla</c:v>
                </c:pt>
                <c:pt idx="2">
                  <c:v>Sun Pharma.Inds.</c:v>
                </c:pt>
                <c:pt idx="3">
                  <c:v>Dr Reddy's Labs</c:v>
                </c:pt>
                <c:pt idx="4">
                  <c:v>Zydus Lifesci.</c:v>
                </c:pt>
                <c:pt idx="5">
                  <c:v>Mankind Pharma</c:v>
                </c:pt>
                <c:pt idx="6">
                  <c:v>Lupin</c:v>
                </c:pt>
                <c:pt idx="7">
                  <c:v>Alkem Lab</c:v>
                </c:pt>
                <c:pt idx="8">
                  <c:v>Aurobindo Pharma</c:v>
                </c:pt>
                <c:pt idx="9">
                  <c:v>Biocon</c:v>
                </c:pt>
                <c:pt idx="10">
                  <c:v>Ipca Labs.</c:v>
                </c:pt>
              </c:strCache>
            </c:strRef>
          </c:cat>
          <c:val>
            <c:numRef>
              <c:f>Peers!$P$6:$P$16</c:f>
              <c:numCache>
                <c:formatCode>0.00\ "x"</c:formatCode>
                <c:ptCount val="11"/>
                <c:pt idx="1">
                  <c:v>13.252139925387752</c:v>
                </c:pt>
                <c:pt idx="2">
                  <c:v>41.927775489440002</c:v>
                </c:pt>
                <c:pt idx="3">
                  <c:v>20.552974637542558</c:v>
                </c:pt>
                <c:pt idx="4">
                  <c:v>30.293158611300203</c:v>
                </c:pt>
                <c:pt idx="5">
                  <c:v>52.290750930179016</c:v>
                </c:pt>
                <c:pt idx="6">
                  <c:v>40.647260103661303</c:v>
                </c:pt>
                <c:pt idx="7">
                  <c:v>41.17520861646323</c:v>
                </c:pt>
                <c:pt idx="8">
                  <c:v>22.097770213873019</c:v>
                </c:pt>
                <c:pt idx="9">
                  <c:v>22.010462602390223</c:v>
                </c:pt>
                <c:pt idx="10">
                  <c:v>51.511595217848033</c:v>
                </c:pt>
              </c:numCache>
            </c:numRef>
          </c:val>
          <c:smooth val="0"/>
          <c:extLst>
            <c:ext xmlns:c16="http://schemas.microsoft.com/office/drawing/2014/chart" uri="{C3380CC4-5D6E-409C-BE32-E72D297353CC}">
              <c16:uniqueId val="{00000002-92A7-4330-B9E4-81AE5F755B18}"/>
            </c:ext>
          </c:extLst>
        </c:ser>
        <c:dLbls>
          <c:showLegendKey val="0"/>
          <c:showVal val="0"/>
          <c:showCatName val="0"/>
          <c:showSerName val="0"/>
          <c:showPercent val="0"/>
          <c:showBubbleSize val="0"/>
        </c:dLbls>
        <c:marker val="1"/>
        <c:smooth val="0"/>
        <c:axId val="958925688"/>
        <c:axId val="958923888"/>
      </c:lineChart>
      <c:catAx>
        <c:axId val="958925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923888"/>
        <c:crosses val="autoZero"/>
        <c:auto val="1"/>
        <c:lblAlgn val="ctr"/>
        <c:lblOffset val="100"/>
        <c:noMultiLvlLbl val="0"/>
      </c:catAx>
      <c:valAx>
        <c:axId val="958923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925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Rough!$B$3</c:f>
              <c:strCache>
                <c:ptCount val="1"/>
                <c:pt idx="0">
                  <c:v>Total Revenue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Rough!$C$3:$F$3</c:f>
              <c:numCache>
                <c:formatCode>0</c:formatCode>
                <c:ptCount val="4"/>
                <c:pt idx="0">
                  <c:v>22753</c:v>
                </c:pt>
                <c:pt idx="1">
                  <c:v>21763</c:v>
                </c:pt>
                <c:pt idx="2">
                  <c:v>19159</c:v>
                </c:pt>
                <c:pt idx="3">
                  <c:v>17131</c:v>
                </c:pt>
              </c:numCache>
            </c:numRef>
          </c:val>
          <c:extLst>
            <c:ext xmlns:c16="http://schemas.microsoft.com/office/drawing/2014/chart" uri="{C3380CC4-5D6E-409C-BE32-E72D297353CC}">
              <c16:uniqueId val="{00000000-1330-4335-8AFA-7EE1F332161A}"/>
            </c:ext>
          </c:extLst>
        </c:ser>
        <c:dLbls>
          <c:dLblPos val="outEnd"/>
          <c:showLegendKey val="0"/>
          <c:showVal val="1"/>
          <c:showCatName val="0"/>
          <c:showSerName val="0"/>
          <c:showPercent val="0"/>
          <c:showBubbleSize val="0"/>
        </c:dLbls>
        <c:gapWidth val="219"/>
        <c:overlap val="-27"/>
        <c:axId val="596430472"/>
        <c:axId val="596432992"/>
      </c:barChart>
      <c:catAx>
        <c:axId val="596430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432992"/>
        <c:crosses val="autoZero"/>
        <c:auto val="1"/>
        <c:lblAlgn val="ctr"/>
        <c:lblOffset val="100"/>
        <c:noMultiLvlLbl val="0"/>
      </c:catAx>
      <c:valAx>
        <c:axId val="596432992"/>
        <c:scaling>
          <c:orientation val="minMax"/>
        </c:scaling>
        <c:delete val="1"/>
        <c:axPos val="l"/>
        <c:numFmt formatCode="0\ &quot;Cr.&quot;" sourceLinked="0"/>
        <c:majorTickMark val="none"/>
        <c:minorTickMark val="none"/>
        <c:tickLblPos val="nextTo"/>
        <c:crossAx val="5964304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Rough!$C$4:$F$4</c:f>
              <c:numCache>
                <c:formatCode>0</c:formatCode>
                <c:ptCount val="4"/>
                <c:pt idx="0">
                  <c:v>2835</c:v>
                </c:pt>
                <c:pt idx="1">
                  <c:v>2559</c:v>
                </c:pt>
                <c:pt idx="2">
                  <c:v>2401</c:v>
                </c:pt>
                <c:pt idx="3">
                  <c:v>1546</c:v>
                </c:pt>
              </c:numCache>
            </c:numRef>
          </c:val>
          <c:extLst>
            <c:ext xmlns:c16="http://schemas.microsoft.com/office/drawing/2014/chart" uri="{C3380CC4-5D6E-409C-BE32-E72D297353CC}">
              <c16:uniqueId val="{00000000-BC35-4020-B7E6-B4CC03A06A3B}"/>
            </c:ext>
          </c:extLst>
        </c:ser>
        <c:dLbls>
          <c:dLblPos val="outEnd"/>
          <c:showLegendKey val="0"/>
          <c:showVal val="1"/>
          <c:showCatName val="0"/>
          <c:showSerName val="0"/>
          <c:showPercent val="0"/>
          <c:showBubbleSize val="0"/>
        </c:dLbls>
        <c:gapWidth val="219"/>
        <c:overlap val="-27"/>
        <c:axId val="792269560"/>
        <c:axId val="792270640"/>
      </c:barChart>
      <c:catAx>
        <c:axId val="79226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270640"/>
        <c:crosses val="autoZero"/>
        <c:auto val="1"/>
        <c:lblAlgn val="ctr"/>
        <c:lblOffset val="100"/>
        <c:noMultiLvlLbl val="0"/>
      </c:catAx>
      <c:valAx>
        <c:axId val="792270640"/>
        <c:scaling>
          <c:orientation val="minMax"/>
        </c:scaling>
        <c:delete val="1"/>
        <c:axPos val="l"/>
        <c:numFmt formatCode="0" sourceLinked="1"/>
        <c:majorTickMark val="none"/>
        <c:minorTickMark val="none"/>
        <c:tickLblPos val="nextTo"/>
        <c:crossAx val="79226956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Rough!$C$36:$F$36</c:f>
              <c:numCache>
                <c:formatCode>General</c:formatCode>
                <c:ptCount val="4"/>
                <c:pt idx="0">
                  <c:v>9.5</c:v>
                </c:pt>
                <c:pt idx="1">
                  <c:v>9.2799999999999994</c:v>
                </c:pt>
                <c:pt idx="2">
                  <c:v>9.56</c:v>
                </c:pt>
                <c:pt idx="3">
                  <c:v>6.53</c:v>
                </c:pt>
              </c:numCache>
            </c:numRef>
          </c:val>
          <c:extLst>
            <c:ext xmlns:c16="http://schemas.microsoft.com/office/drawing/2014/chart" uri="{C3380CC4-5D6E-409C-BE32-E72D297353CC}">
              <c16:uniqueId val="{00000000-34CD-4B75-967F-9FBA424F31FC}"/>
            </c:ext>
          </c:extLst>
        </c:ser>
        <c:dLbls>
          <c:dLblPos val="outEnd"/>
          <c:showLegendKey val="0"/>
          <c:showVal val="1"/>
          <c:showCatName val="0"/>
          <c:showSerName val="0"/>
          <c:showPercent val="0"/>
          <c:showBubbleSize val="0"/>
        </c:dLbls>
        <c:gapWidth val="219"/>
        <c:overlap val="-27"/>
        <c:axId val="531775320"/>
        <c:axId val="533014488"/>
      </c:barChart>
      <c:catAx>
        <c:axId val="531775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014488"/>
        <c:crosses val="autoZero"/>
        <c:auto val="1"/>
        <c:lblAlgn val="ctr"/>
        <c:lblOffset val="100"/>
        <c:noMultiLvlLbl val="0"/>
      </c:catAx>
      <c:valAx>
        <c:axId val="533014488"/>
        <c:scaling>
          <c:orientation val="minMax"/>
        </c:scaling>
        <c:delete val="1"/>
        <c:axPos val="l"/>
        <c:numFmt formatCode="General" sourceLinked="1"/>
        <c:majorTickMark val="none"/>
        <c:minorTickMark val="none"/>
        <c:tickLblPos val="nextTo"/>
        <c:crossAx val="53177532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Rough!$C$37:$F$37</c:f>
              <c:numCache>
                <c:formatCode>General</c:formatCode>
                <c:ptCount val="4"/>
                <c:pt idx="0">
                  <c:v>11.96</c:v>
                </c:pt>
                <c:pt idx="1">
                  <c:v>12.07</c:v>
                </c:pt>
                <c:pt idx="2">
                  <c:v>13.12</c:v>
                </c:pt>
                <c:pt idx="3">
                  <c:v>9.81</c:v>
                </c:pt>
              </c:numCache>
            </c:numRef>
          </c:val>
          <c:extLst>
            <c:ext xmlns:c16="http://schemas.microsoft.com/office/drawing/2014/chart" uri="{C3380CC4-5D6E-409C-BE32-E72D297353CC}">
              <c16:uniqueId val="{00000000-0639-400A-97C0-778D7937C95D}"/>
            </c:ext>
          </c:extLst>
        </c:ser>
        <c:dLbls>
          <c:dLblPos val="outEnd"/>
          <c:showLegendKey val="0"/>
          <c:showVal val="1"/>
          <c:showCatName val="0"/>
          <c:showSerName val="0"/>
          <c:showPercent val="0"/>
          <c:showBubbleSize val="0"/>
        </c:dLbls>
        <c:gapWidth val="219"/>
        <c:overlap val="-27"/>
        <c:axId val="824536312"/>
        <c:axId val="824534872"/>
      </c:barChart>
      <c:catAx>
        <c:axId val="824536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534872"/>
        <c:crosses val="autoZero"/>
        <c:auto val="1"/>
        <c:lblAlgn val="ctr"/>
        <c:lblOffset val="100"/>
        <c:noMultiLvlLbl val="0"/>
      </c:catAx>
      <c:valAx>
        <c:axId val="824534872"/>
        <c:scaling>
          <c:orientation val="minMax"/>
        </c:scaling>
        <c:delete val="1"/>
        <c:axPos val="l"/>
        <c:numFmt formatCode="General" sourceLinked="1"/>
        <c:majorTickMark val="none"/>
        <c:minorTickMark val="none"/>
        <c:tickLblPos val="nextTo"/>
        <c:crossAx val="8245363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Rough!$C$38:$F$38</c:f>
              <c:numCache>
                <c:formatCode>#,##0</c:formatCode>
                <c:ptCount val="4"/>
                <c:pt idx="0">
                  <c:v>29463</c:v>
                </c:pt>
                <c:pt idx="1">
                  <c:v>27101</c:v>
                </c:pt>
                <c:pt idx="2">
                  <c:v>25151</c:v>
                </c:pt>
                <c:pt idx="3">
                  <c:v>23662</c:v>
                </c:pt>
              </c:numCache>
            </c:numRef>
          </c:val>
          <c:extLst>
            <c:ext xmlns:c16="http://schemas.microsoft.com/office/drawing/2014/chart" uri="{C3380CC4-5D6E-409C-BE32-E72D297353CC}">
              <c16:uniqueId val="{00000000-56B8-4614-94CE-B0C128571490}"/>
            </c:ext>
          </c:extLst>
        </c:ser>
        <c:dLbls>
          <c:dLblPos val="outEnd"/>
          <c:showLegendKey val="0"/>
          <c:showVal val="1"/>
          <c:showCatName val="0"/>
          <c:showSerName val="0"/>
          <c:showPercent val="0"/>
          <c:showBubbleSize val="0"/>
        </c:dLbls>
        <c:gapWidth val="219"/>
        <c:overlap val="-27"/>
        <c:axId val="792836256"/>
        <c:axId val="792836616"/>
      </c:barChart>
      <c:catAx>
        <c:axId val="79283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836616"/>
        <c:crosses val="autoZero"/>
        <c:auto val="1"/>
        <c:lblAlgn val="ctr"/>
        <c:lblOffset val="100"/>
        <c:noMultiLvlLbl val="0"/>
      </c:catAx>
      <c:valAx>
        <c:axId val="792836616"/>
        <c:scaling>
          <c:orientation val="minMax"/>
        </c:scaling>
        <c:delete val="1"/>
        <c:axPos val="l"/>
        <c:numFmt formatCode="#,##0" sourceLinked="1"/>
        <c:majorTickMark val="none"/>
        <c:minorTickMark val="none"/>
        <c:tickLblPos val="nextTo"/>
        <c:crossAx val="7928362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Rough!$C$39:$F$39</c:f>
              <c:numCache>
                <c:formatCode>0.0\ "x"</c:formatCode>
                <c:ptCount val="4"/>
                <c:pt idx="0">
                  <c:v>1.3</c:v>
                </c:pt>
                <c:pt idx="1">
                  <c:v>1.3</c:v>
                </c:pt>
                <c:pt idx="2">
                  <c:v>1.4</c:v>
                </c:pt>
                <c:pt idx="3">
                  <c:v>1.5</c:v>
                </c:pt>
              </c:numCache>
            </c:numRef>
          </c:val>
          <c:extLst>
            <c:ext xmlns:c16="http://schemas.microsoft.com/office/drawing/2014/chart" uri="{C3380CC4-5D6E-409C-BE32-E72D297353CC}">
              <c16:uniqueId val="{00000000-D0EC-4D84-8282-C871E4CAC4AD}"/>
            </c:ext>
          </c:extLst>
        </c:ser>
        <c:dLbls>
          <c:dLblPos val="outEnd"/>
          <c:showLegendKey val="0"/>
          <c:showVal val="1"/>
          <c:showCatName val="0"/>
          <c:showSerName val="0"/>
          <c:showPercent val="0"/>
          <c:showBubbleSize val="0"/>
        </c:dLbls>
        <c:gapWidth val="219"/>
        <c:overlap val="-27"/>
        <c:axId val="601825744"/>
        <c:axId val="601826104"/>
      </c:barChart>
      <c:catAx>
        <c:axId val="60182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826104"/>
        <c:crosses val="autoZero"/>
        <c:auto val="1"/>
        <c:lblAlgn val="ctr"/>
        <c:lblOffset val="100"/>
        <c:noMultiLvlLbl val="0"/>
      </c:catAx>
      <c:valAx>
        <c:axId val="601826104"/>
        <c:scaling>
          <c:orientation val="minMax"/>
        </c:scaling>
        <c:delete val="1"/>
        <c:axPos val="l"/>
        <c:numFmt formatCode="0.0\ &quot;x&quot;" sourceLinked="1"/>
        <c:majorTickMark val="none"/>
        <c:minorTickMark val="none"/>
        <c:tickLblPos val="nextTo"/>
        <c:crossAx val="60182574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Rough!$B$3</c:f>
              <c:strCache>
                <c:ptCount val="1"/>
                <c:pt idx="0">
                  <c:v>Total Revenue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Rough!$C$3:$F$3</c:f>
              <c:numCache>
                <c:formatCode>0</c:formatCode>
                <c:ptCount val="4"/>
                <c:pt idx="0">
                  <c:v>22753</c:v>
                </c:pt>
                <c:pt idx="1">
                  <c:v>21763</c:v>
                </c:pt>
                <c:pt idx="2">
                  <c:v>19159</c:v>
                </c:pt>
                <c:pt idx="3">
                  <c:v>17131</c:v>
                </c:pt>
              </c:numCache>
            </c:numRef>
          </c:val>
          <c:extLst>
            <c:ext xmlns:c16="http://schemas.microsoft.com/office/drawing/2014/chart" uri="{C3380CC4-5D6E-409C-BE32-E72D297353CC}">
              <c16:uniqueId val="{00000001-962E-4013-A70E-999E5DE86FB9}"/>
            </c:ext>
          </c:extLst>
        </c:ser>
        <c:dLbls>
          <c:dLblPos val="outEnd"/>
          <c:showLegendKey val="0"/>
          <c:showVal val="1"/>
          <c:showCatName val="0"/>
          <c:showSerName val="0"/>
          <c:showPercent val="0"/>
          <c:showBubbleSize val="0"/>
        </c:dLbls>
        <c:gapWidth val="219"/>
        <c:overlap val="-27"/>
        <c:axId val="596430472"/>
        <c:axId val="596432992"/>
      </c:barChart>
      <c:catAx>
        <c:axId val="596430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432992"/>
        <c:crosses val="autoZero"/>
        <c:auto val="1"/>
        <c:lblAlgn val="ctr"/>
        <c:lblOffset val="100"/>
        <c:noMultiLvlLbl val="0"/>
      </c:catAx>
      <c:valAx>
        <c:axId val="596432992"/>
        <c:scaling>
          <c:orientation val="minMax"/>
        </c:scaling>
        <c:delete val="1"/>
        <c:axPos val="l"/>
        <c:numFmt formatCode="0\ &quot;Cr.&quot;" sourceLinked="0"/>
        <c:majorTickMark val="none"/>
        <c:minorTickMark val="none"/>
        <c:tickLblPos val="nextTo"/>
        <c:crossAx val="5964304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Rough!$C$4:$F$4</c:f>
              <c:numCache>
                <c:formatCode>0</c:formatCode>
                <c:ptCount val="4"/>
                <c:pt idx="0">
                  <c:v>2835</c:v>
                </c:pt>
                <c:pt idx="1">
                  <c:v>2559</c:v>
                </c:pt>
                <c:pt idx="2">
                  <c:v>2401</c:v>
                </c:pt>
                <c:pt idx="3">
                  <c:v>1546</c:v>
                </c:pt>
              </c:numCache>
            </c:numRef>
          </c:val>
          <c:extLst>
            <c:ext xmlns:c16="http://schemas.microsoft.com/office/drawing/2014/chart" uri="{C3380CC4-5D6E-409C-BE32-E72D297353CC}">
              <c16:uniqueId val="{00000001-07DD-4046-B498-5F4B4CBD3D21}"/>
            </c:ext>
          </c:extLst>
        </c:ser>
        <c:dLbls>
          <c:dLblPos val="outEnd"/>
          <c:showLegendKey val="0"/>
          <c:showVal val="1"/>
          <c:showCatName val="0"/>
          <c:showSerName val="0"/>
          <c:showPercent val="0"/>
          <c:showBubbleSize val="0"/>
        </c:dLbls>
        <c:gapWidth val="219"/>
        <c:overlap val="-27"/>
        <c:axId val="792269560"/>
        <c:axId val="792270640"/>
      </c:barChart>
      <c:catAx>
        <c:axId val="79226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270640"/>
        <c:crosses val="autoZero"/>
        <c:auto val="1"/>
        <c:lblAlgn val="ctr"/>
        <c:lblOffset val="100"/>
        <c:noMultiLvlLbl val="0"/>
      </c:catAx>
      <c:valAx>
        <c:axId val="792270640"/>
        <c:scaling>
          <c:orientation val="minMax"/>
        </c:scaling>
        <c:delete val="1"/>
        <c:axPos val="l"/>
        <c:numFmt formatCode="0" sourceLinked="1"/>
        <c:majorTickMark val="none"/>
        <c:minorTickMark val="none"/>
        <c:tickLblPos val="nextTo"/>
        <c:crossAx val="79226956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567567567567571E-2"/>
          <c:y val="8.8141025641025647E-2"/>
          <c:w val="0.87612612612612617"/>
          <c:h val="0.72597541893801731"/>
        </c:manualLayout>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Rough!$C$36:$F$36</c:f>
              <c:numCache>
                <c:formatCode>General</c:formatCode>
                <c:ptCount val="4"/>
                <c:pt idx="0">
                  <c:v>9.5</c:v>
                </c:pt>
                <c:pt idx="1">
                  <c:v>9.2799999999999994</c:v>
                </c:pt>
                <c:pt idx="2">
                  <c:v>9.56</c:v>
                </c:pt>
                <c:pt idx="3">
                  <c:v>6.53</c:v>
                </c:pt>
              </c:numCache>
            </c:numRef>
          </c:val>
          <c:extLst>
            <c:ext xmlns:c16="http://schemas.microsoft.com/office/drawing/2014/chart" uri="{C3380CC4-5D6E-409C-BE32-E72D297353CC}">
              <c16:uniqueId val="{00000001-D3CB-4136-9A67-17EA92DFD1FF}"/>
            </c:ext>
          </c:extLst>
        </c:ser>
        <c:dLbls>
          <c:dLblPos val="outEnd"/>
          <c:showLegendKey val="0"/>
          <c:showVal val="1"/>
          <c:showCatName val="0"/>
          <c:showSerName val="0"/>
          <c:showPercent val="0"/>
          <c:showBubbleSize val="0"/>
        </c:dLbls>
        <c:gapWidth val="219"/>
        <c:overlap val="-27"/>
        <c:axId val="531775320"/>
        <c:axId val="533014488"/>
      </c:barChart>
      <c:catAx>
        <c:axId val="531775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014488"/>
        <c:crosses val="autoZero"/>
        <c:auto val="1"/>
        <c:lblAlgn val="ctr"/>
        <c:lblOffset val="100"/>
        <c:noMultiLvlLbl val="0"/>
      </c:catAx>
      <c:valAx>
        <c:axId val="533014488"/>
        <c:scaling>
          <c:orientation val="minMax"/>
        </c:scaling>
        <c:delete val="1"/>
        <c:axPos val="l"/>
        <c:numFmt formatCode="General" sourceLinked="1"/>
        <c:majorTickMark val="none"/>
        <c:minorTickMark val="none"/>
        <c:tickLblPos val="nextTo"/>
        <c:crossAx val="53177532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Rough!$C$37:$F$37</c:f>
              <c:numCache>
                <c:formatCode>General</c:formatCode>
                <c:ptCount val="4"/>
                <c:pt idx="0">
                  <c:v>11.96</c:v>
                </c:pt>
                <c:pt idx="1">
                  <c:v>12.07</c:v>
                </c:pt>
                <c:pt idx="2">
                  <c:v>13.12</c:v>
                </c:pt>
                <c:pt idx="3">
                  <c:v>9.81</c:v>
                </c:pt>
              </c:numCache>
            </c:numRef>
          </c:val>
          <c:extLst>
            <c:ext xmlns:c16="http://schemas.microsoft.com/office/drawing/2014/chart" uri="{C3380CC4-5D6E-409C-BE32-E72D297353CC}">
              <c16:uniqueId val="{00000001-EA0E-4414-B005-4DD0CF85969F}"/>
            </c:ext>
          </c:extLst>
        </c:ser>
        <c:dLbls>
          <c:dLblPos val="outEnd"/>
          <c:showLegendKey val="0"/>
          <c:showVal val="1"/>
          <c:showCatName val="0"/>
          <c:showSerName val="0"/>
          <c:showPercent val="0"/>
          <c:showBubbleSize val="0"/>
        </c:dLbls>
        <c:gapWidth val="219"/>
        <c:overlap val="-27"/>
        <c:axId val="824536312"/>
        <c:axId val="824534872"/>
      </c:barChart>
      <c:catAx>
        <c:axId val="824536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534872"/>
        <c:crosses val="autoZero"/>
        <c:auto val="1"/>
        <c:lblAlgn val="ctr"/>
        <c:lblOffset val="100"/>
        <c:noMultiLvlLbl val="0"/>
      </c:catAx>
      <c:valAx>
        <c:axId val="824534872"/>
        <c:scaling>
          <c:orientation val="minMax"/>
        </c:scaling>
        <c:delete val="1"/>
        <c:axPos val="l"/>
        <c:numFmt formatCode="General" sourceLinked="1"/>
        <c:majorTickMark val="none"/>
        <c:minorTickMark val="none"/>
        <c:tickLblPos val="nextTo"/>
        <c:crossAx val="8245363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4563492063492064E-2"/>
          <c:y val="8.3333333333333329E-2"/>
          <c:w val="0.89087301587301593"/>
          <c:h val="0.740922214268671"/>
        </c:manualLayout>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Rough!$C$38:$F$38</c:f>
              <c:numCache>
                <c:formatCode>#,##0</c:formatCode>
                <c:ptCount val="4"/>
                <c:pt idx="0">
                  <c:v>29463</c:v>
                </c:pt>
                <c:pt idx="1">
                  <c:v>27101</c:v>
                </c:pt>
                <c:pt idx="2">
                  <c:v>25151</c:v>
                </c:pt>
                <c:pt idx="3">
                  <c:v>23662</c:v>
                </c:pt>
              </c:numCache>
            </c:numRef>
          </c:val>
          <c:extLst>
            <c:ext xmlns:c16="http://schemas.microsoft.com/office/drawing/2014/chart" uri="{C3380CC4-5D6E-409C-BE32-E72D297353CC}">
              <c16:uniqueId val="{00000001-CF08-48BF-A3F1-665CEE8B2829}"/>
            </c:ext>
          </c:extLst>
        </c:ser>
        <c:dLbls>
          <c:dLblPos val="outEnd"/>
          <c:showLegendKey val="0"/>
          <c:showVal val="1"/>
          <c:showCatName val="0"/>
          <c:showSerName val="0"/>
          <c:showPercent val="0"/>
          <c:showBubbleSize val="0"/>
        </c:dLbls>
        <c:gapWidth val="219"/>
        <c:overlap val="-27"/>
        <c:axId val="792836256"/>
        <c:axId val="792836616"/>
      </c:barChart>
      <c:catAx>
        <c:axId val="79283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836616"/>
        <c:crosses val="autoZero"/>
        <c:auto val="1"/>
        <c:lblAlgn val="ctr"/>
        <c:lblOffset val="100"/>
        <c:noMultiLvlLbl val="0"/>
      </c:catAx>
      <c:valAx>
        <c:axId val="792836616"/>
        <c:scaling>
          <c:orientation val="minMax"/>
        </c:scaling>
        <c:delete val="1"/>
        <c:axPos val="l"/>
        <c:numFmt formatCode="#,##0" sourceLinked="1"/>
        <c:majorTickMark val="none"/>
        <c:minorTickMark val="none"/>
        <c:tickLblPos val="nextTo"/>
        <c:crossAx val="7928362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2060"/>
                </a:solidFill>
                <a:prstDash val="sysDot"/>
              </a:ln>
              <a:effectLst/>
            </c:spPr>
            <c:trendlineType val="linear"/>
            <c:dispRSqr val="0"/>
            <c:dispEq val="0"/>
          </c:trendline>
          <c:cat>
            <c:numRef>
              <c:f>Rough!$C$2:$F$2</c:f>
              <c:numCache>
                <c:formatCode>General</c:formatCode>
                <c:ptCount val="4"/>
                <c:pt idx="0">
                  <c:v>2023</c:v>
                </c:pt>
                <c:pt idx="1">
                  <c:v>2022</c:v>
                </c:pt>
                <c:pt idx="2">
                  <c:v>2021</c:v>
                </c:pt>
                <c:pt idx="3">
                  <c:v>2020</c:v>
                </c:pt>
              </c:numCache>
            </c:numRef>
          </c:cat>
          <c:val>
            <c:numRef>
              <c:f>Rough!$C$39:$F$39</c:f>
              <c:numCache>
                <c:formatCode>0.0\ "x"</c:formatCode>
                <c:ptCount val="4"/>
                <c:pt idx="0">
                  <c:v>1.3</c:v>
                </c:pt>
                <c:pt idx="1">
                  <c:v>1.3</c:v>
                </c:pt>
                <c:pt idx="2">
                  <c:v>1.4</c:v>
                </c:pt>
                <c:pt idx="3">
                  <c:v>1.5</c:v>
                </c:pt>
              </c:numCache>
            </c:numRef>
          </c:val>
          <c:extLst>
            <c:ext xmlns:c16="http://schemas.microsoft.com/office/drawing/2014/chart" uri="{C3380CC4-5D6E-409C-BE32-E72D297353CC}">
              <c16:uniqueId val="{00000001-40CB-4CFB-AEB6-728D735872B6}"/>
            </c:ext>
          </c:extLst>
        </c:ser>
        <c:dLbls>
          <c:dLblPos val="outEnd"/>
          <c:showLegendKey val="0"/>
          <c:showVal val="1"/>
          <c:showCatName val="0"/>
          <c:showSerName val="0"/>
          <c:showPercent val="0"/>
          <c:showBubbleSize val="0"/>
        </c:dLbls>
        <c:gapWidth val="219"/>
        <c:overlap val="-27"/>
        <c:axId val="601825744"/>
        <c:axId val="601826104"/>
      </c:barChart>
      <c:catAx>
        <c:axId val="60182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826104"/>
        <c:crosses val="autoZero"/>
        <c:auto val="1"/>
        <c:lblAlgn val="ctr"/>
        <c:lblOffset val="100"/>
        <c:noMultiLvlLbl val="0"/>
      </c:catAx>
      <c:valAx>
        <c:axId val="601826104"/>
        <c:scaling>
          <c:orientation val="minMax"/>
        </c:scaling>
        <c:delete val="1"/>
        <c:axPos val="l"/>
        <c:numFmt formatCode="0.0\ &quot;x&quot;" sourceLinked="1"/>
        <c:majorTickMark val="none"/>
        <c:minorTickMark val="none"/>
        <c:tickLblPos val="nextTo"/>
        <c:crossAx val="60182574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Nifty</a:t>
            </a:r>
            <a:r>
              <a:rPr lang="en-US" baseline="0"/>
              <a:t> Returns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'Return on Market(Rm)'!$C$5</c:f>
              <c:strCache>
                <c:ptCount val="1"/>
                <c:pt idx="0">
                  <c:v>Annual</c:v>
                </c:pt>
              </c:strCache>
            </c:strRef>
          </c:tx>
          <c:spPr>
            <a:ln w="31750" cap="rnd" cmpd="sng">
              <a:solidFill>
                <a:srgbClr val="002060"/>
              </a:solidFill>
              <a:round/>
            </a:ln>
            <a:effectLst/>
          </c:spPr>
          <c:marker>
            <c:symbol val="circle"/>
            <c:size val="5"/>
            <c:spPr>
              <a:solidFill>
                <a:srgbClr val="002060"/>
              </a:solidFill>
              <a:ln w="9525">
                <a:solidFill>
                  <a:srgbClr val="002060"/>
                </a:solidFill>
              </a:ln>
              <a:effectLst/>
            </c:spPr>
          </c:marker>
          <c:xVal>
            <c:numRef>
              <c:f>'Return on Market(Rm)'!$B$6:$B$29</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xVal>
          <c:yVal>
            <c:numRef>
              <c:f>'Return on Market(Rm)'!$C$6:$C$29</c:f>
              <c:numCache>
                <c:formatCode>0.00%</c:formatCode>
                <c:ptCount val="24"/>
                <c:pt idx="0">
                  <c:v>-0.14649999999999999</c:v>
                </c:pt>
                <c:pt idx="1">
                  <c:v>-0.1618</c:v>
                </c:pt>
                <c:pt idx="2">
                  <c:v>3.2500000000000001E-2</c:v>
                </c:pt>
                <c:pt idx="3">
                  <c:v>0.71900000000000008</c:v>
                </c:pt>
                <c:pt idx="4">
                  <c:v>0.10679999999999999</c:v>
                </c:pt>
                <c:pt idx="5">
                  <c:v>0.36340000000000006</c:v>
                </c:pt>
                <c:pt idx="6">
                  <c:v>0.39829999999999999</c:v>
                </c:pt>
                <c:pt idx="7">
                  <c:v>0.54770000000000008</c:v>
                </c:pt>
                <c:pt idx="8">
                  <c:v>-0.51790000000000003</c:v>
                </c:pt>
                <c:pt idx="9">
                  <c:v>0.75760000000000005</c:v>
                </c:pt>
                <c:pt idx="10">
                  <c:v>0.17949999999999999</c:v>
                </c:pt>
                <c:pt idx="11">
                  <c:v>-0.2462</c:v>
                </c:pt>
                <c:pt idx="12">
                  <c:v>0.27699999999999997</c:v>
                </c:pt>
                <c:pt idx="13">
                  <c:v>6.7599999999999993E-2</c:v>
                </c:pt>
                <c:pt idx="14">
                  <c:v>0.31390000000000001</c:v>
                </c:pt>
                <c:pt idx="15">
                  <c:v>-4.0599999999999997E-2</c:v>
                </c:pt>
                <c:pt idx="16">
                  <c:v>3.0099999999999998E-2</c:v>
                </c:pt>
                <c:pt idx="17">
                  <c:v>0.28649999999999998</c:v>
                </c:pt>
                <c:pt idx="18">
                  <c:v>3.15E-2</c:v>
                </c:pt>
                <c:pt idx="19">
                  <c:v>0.1202</c:v>
                </c:pt>
                <c:pt idx="20">
                  <c:v>0.14899999999999999</c:v>
                </c:pt>
                <c:pt idx="21">
                  <c:v>0.2412</c:v>
                </c:pt>
                <c:pt idx="22">
                  <c:v>4.3200000000000002E-2</c:v>
                </c:pt>
                <c:pt idx="23">
                  <c:v>0.19420000000000001</c:v>
                </c:pt>
              </c:numCache>
            </c:numRef>
          </c:yVal>
          <c:smooth val="0"/>
          <c:extLst>
            <c:ext xmlns:c16="http://schemas.microsoft.com/office/drawing/2014/chart" uri="{C3380CC4-5D6E-409C-BE32-E72D297353CC}">
              <c16:uniqueId val="{00000000-CDD3-4ED5-819C-26045A4190DF}"/>
            </c:ext>
          </c:extLst>
        </c:ser>
        <c:dLbls>
          <c:showLegendKey val="0"/>
          <c:showVal val="0"/>
          <c:showCatName val="0"/>
          <c:showSerName val="0"/>
          <c:showPercent val="0"/>
          <c:showBubbleSize val="0"/>
        </c:dLbls>
        <c:axId val="805358776"/>
        <c:axId val="805359496"/>
      </c:scatterChart>
      <c:valAx>
        <c:axId val="805358776"/>
        <c:scaling>
          <c:orientation val="minMax"/>
          <c:max val="2024"/>
          <c:min val="20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359496"/>
        <c:crosses val="autoZero"/>
        <c:crossBetween val="midCat"/>
      </c:valAx>
      <c:valAx>
        <c:axId val="805359496"/>
        <c:scaling>
          <c:orientation val="minMax"/>
        </c:scaling>
        <c:delete val="1"/>
        <c:axPos val="l"/>
        <c:numFmt formatCode="0.00%" sourceLinked="1"/>
        <c:majorTickMark val="none"/>
        <c:minorTickMark val="none"/>
        <c:tickLblPos val="nextTo"/>
        <c:crossAx val="805358776"/>
        <c:crosses val="autoZero"/>
        <c:crossBetween val="midCat"/>
      </c:valAx>
      <c:spPr>
        <a:noFill/>
        <a:ln>
          <a:noFill/>
        </a:ln>
        <a:effectLst/>
      </c:spPr>
    </c:plotArea>
    <c:plotVisOnly val="1"/>
    <c:dispBlanksAs val="gap"/>
    <c:showDLblsOverMax val="0"/>
  </c:chart>
  <c:spPr>
    <a:solidFill>
      <a:schemeClr val="bg1"/>
    </a:soli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Monthly Returns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Monthly Returns Distribution</a:t>
          </a:r>
        </a:p>
      </cx:txPr>
    </cx:title>
    <cx:plotArea>
      <cx:plotAreaRegion>
        <cx:plotSurface>
          <cx:spPr>
            <a:ln>
              <a:noFill/>
            </a:ln>
          </cx:spPr>
        </cx:plotSurface>
        <cx:series layoutId="clusteredColumn" uniqueId="{3B9E3563-A91E-4E4B-AE7F-ED7E0DD5665B}">
          <cx:spPr>
            <a:solidFill>
              <a:srgbClr val="002060"/>
            </a:solidFill>
          </cx:spPr>
          <cx:dataId val="0"/>
          <cx:layoutPr>
            <cx:binning intervalClosed="r"/>
          </cx:layoutPr>
          <cx:axisId val="1"/>
        </cx:series>
        <cx:series layoutId="paretoLine" ownerIdx="0" uniqueId="{10EE7A15-1116-45B3-AC15-DA2EA3F779EF}">
          <cx:spPr>
            <a:solidFill>
              <a:srgbClr val="002060"/>
            </a:solidFill>
            <a:ln>
              <a:solidFill>
                <a:srgbClr val="00B0F0"/>
              </a:solidFill>
            </a:ln>
          </cx:spPr>
          <cx:axisId val="2"/>
        </cx:series>
      </cx:plotAreaRegion>
      <cx:axis id="0" hidden="1">
        <cx:catScaling gapWidth="0"/>
        <cx:tickLabels/>
      </cx:axis>
      <cx:axis id="1">
        <cx:valScaling/>
        <cx:tickLabels/>
      </cx:axis>
      <cx:axis id="2">
        <cx:valScaling max="1" min="0"/>
        <cx:units unit="percentage"/>
        <cx:tickLabels/>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Monthly Returns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Monthly Returns Distribution</a:t>
          </a:r>
        </a:p>
      </cx:txPr>
    </cx:title>
    <cx:plotArea>
      <cx:plotAreaRegion>
        <cx:series layoutId="clusteredColumn" uniqueId="{C231F99A-71D5-4012-BD20-CF9AC88ABF8B}">
          <cx:spPr>
            <a:solidFill>
              <a:srgbClr val="002060"/>
            </a:solidFill>
          </cx:spPr>
          <cx:dataId val="0"/>
          <cx:layoutPr>
            <cx:binning intervalClosed="r"/>
          </cx:layoutPr>
          <cx:axisId val="1"/>
        </cx:series>
        <cx:series layoutId="paretoLine" ownerIdx="0" uniqueId="{9F17AE24-0602-40F8-BC61-35699B2DA4BD}">
          <cx:spPr>
            <a:ln>
              <a:solidFill>
                <a:srgbClr val="00B0F0"/>
              </a:solidFill>
            </a:ln>
          </cx:spPr>
          <cx:axisId val="2"/>
        </cx:series>
      </cx:plotAreaRegion>
      <cx:axis id="0" hidden="1">
        <cx:catScaling gapWidth="0"/>
        <cx:tickLabels/>
      </cx:axis>
      <cx:axis id="1">
        <cx:valScaling/>
        <cx:tickLabels/>
      </cx:axis>
      <cx:axis id="2" hidden="1">
        <cx:valScaling max="1" min="0"/>
        <cx:units unit="percentage"/>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8" Type="http://schemas.openxmlformats.org/officeDocument/2006/relationships/image" Target="../media/image3.jpeg"/><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image" Target="../media/image2.png"/><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144780</xdr:colOff>
      <xdr:row>21</xdr:row>
      <xdr:rowOff>87630</xdr:rowOff>
    </xdr:from>
    <xdr:to>
      <xdr:col>5</xdr:col>
      <xdr:colOff>0</xdr:colOff>
      <xdr:row>32</xdr:row>
      <xdr:rowOff>160020</xdr:rowOff>
    </xdr:to>
    <xdr:graphicFrame macro="">
      <xdr:nvGraphicFramePr>
        <xdr:cNvPr id="4" name="Chart 3">
          <a:extLst>
            <a:ext uri="{FF2B5EF4-FFF2-40B4-BE49-F238E27FC236}">
              <a16:creationId xmlns:a16="http://schemas.microsoft.com/office/drawing/2014/main" id="{E786795D-E420-4F70-A9C5-8A1AD10596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388620</xdr:colOff>
      <xdr:row>21</xdr:row>
      <xdr:rowOff>102870</xdr:rowOff>
    </xdr:from>
    <xdr:to>
      <xdr:col>10</xdr:col>
      <xdr:colOff>114300</xdr:colOff>
      <xdr:row>32</xdr:row>
      <xdr:rowOff>137160</xdr:rowOff>
    </xdr:to>
    <xdr:graphicFrame macro="">
      <xdr:nvGraphicFramePr>
        <xdr:cNvPr id="5" name="Chart 4">
          <a:extLst>
            <a:ext uri="{FF2B5EF4-FFF2-40B4-BE49-F238E27FC236}">
              <a16:creationId xmlns:a16="http://schemas.microsoft.com/office/drawing/2014/main" id="{21869B8F-767E-E85E-9E03-E73D00AA00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495300</xdr:colOff>
      <xdr:row>21</xdr:row>
      <xdr:rowOff>95250</xdr:rowOff>
    </xdr:from>
    <xdr:to>
      <xdr:col>15</xdr:col>
      <xdr:colOff>0</xdr:colOff>
      <xdr:row>32</xdr:row>
      <xdr:rowOff>137160</xdr:rowOff>
    </xdr:to>
    <xdr:graphicFrame macro="">
      <xdr:nvGraphicFramePr>
        <xdr:cNvPr id="6" name="Chart 5">
          <a:extLst>
            <a:ext uri="{FF2B5EF4-FFF2-40B4-BE49-F238E27FC236}">
              <a16:creationId xmlns:a16="http://schemas.microsoft.com/office/drawing/2014/main" id="{C97B43FD-1F09-E5C6-634A-755AF5249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342900</xdr:colOff>
      <xdr:row>10</xdr:row>
      <xdr:rowOff>156210</xdr:rowOff>
    </xdr:from>
    <xdr:to>
      <xdr:col>9</xdr:col>
      <xdr:colOff>160020</xdr:colOff>
      <xdr:row>25</xdr:row>
      <xdr:rowOff>156210</xdr:rowOff>
    </xdr:to>
    <xdr:graphicFrame macro="">
      <xdr:nvGraphicFramePr>
        <xdr:cNvPr id="4" name="Chart 3">
          <a:extLst>
            <a:ext uri="{FF2B5EF4-FFF2-40B4-BE49-F238E27FC236}">
              <a16:creationId xmlns:a16="http://schemas.microsoft.com/office/drawing/2014/main" id="{7A3EB7B1-9E9B-C61F-024E-8961C775A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182880</xdr:colOff>
      <xdr:row>20</xdr:row>
      <xdr:rowOff>160020</xdr:rowOff>
    </xdr:from>
    <xdr:to>
      <xdr:col>8</xdr:col>
      <xdr:colOff>601980</xdr:colOff>
      <xdr:row>20</xdr:row>
      <xdr:rowOff>175260</xdr:rowOff>
    </xdr:to>
    <xdr:cxnSp macro="">
      <xdr:nvCxnSpPr>
        <xdr:cNvPr id="6" name="Straight Connector 5">
          <a:extLst>
            <a:ext uri="{FF2B5EF4-FFF2-40B4-BE49-F238E27FC236}">
              <a16:creationId xmlns:a16="http://schemas.microsoft.com/office/drawing/2014/main" id="{4CE1B46B-F201-194A-777C-80354A1F34FB}"/>
            </a:ext>
          </a:extLst>
        </xdr:cNvPr>
        <xdr:cNvCxnSpPr/>
      </xdr:nvCxnSpPr>
      <xdr:spPr>
        <a:xfrm>
          <a:off x="975360" y="3825240"/>
          <a:ext cx="3954780" cy="15240"/>
        </a:xfrm>
        <a:prstGeom prst="line">
          <a:avLst/>
        </a:prstGeom>
        <a:ln>
          <a:solidFill>
            <a:srgbClr val="00206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53340</xdr:colOff>
      <xdr:row>33</xdr:row>
      <xdr:rowOff>140970</xdr:rowOff>
    </xdr:from>
    <xdr:to>
      <xdr:col>16</xdr:col>
      <xdr:colOff>15240</xdr:colOff>
      <xdr:row>50</xdr:row>
      <xdr:rowOff>15240</xdr:rowOff>
    </xdr:to>
    <xdr:graphicFrame macro="">
      <xdr:nvGraphicFramePr>
        <xdr:cNvPr id="2" name="Chart 1">
          <a:extLst>
            <a:ext uri="{FF2B5EF4-FFF2-40B4-BE49-F238E27FC236}">
              <a16:creationId xmlns:a16="http://schemas.microsoft.com/office/drawing/2014/main" id="{74367E49-01F0-C0E0-AFA8-40F02484AC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403860</xdr:colOff>
      <xdr:row>17</xdr:row>
      <xdr:rowOff>171450</xdr:rowOff>
    </xdr:from>
    <xdr:to>
      <xdr:col>11</xdr:col>
      <xdr:colOff>121920</xdr:colOff>
      <xdr:row>31</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2F51A14-975A-48D8-D416-8FA3054756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96640" y="3295650"/>
              <a:ext cx="3558540" cy="25031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45720</xdr:colOff>
      <xdr:row>26</xdr:row>
      <xdr:rowOff>3810</xdr:rowOff>
    </xdr:from>
    <xdr:to>
      <xdr:col>13</xdr:col>
      <xdr:colOff>83820</xdr:colOff>
      <xdr:row>39</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EA1A16A-B93D-7FF5-DEE6-AC547FD652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88280" y="4773930"/>
              <a:ext cx="4328160" cy="25260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281940</xdr:colOff>
      <xdr:row>4</xdr:row>
      <xdr:rowOff>95250</xdr:rowOff>
    </xdr:from>
    <xdr:to>
      <xdr:col>12</xdr:col>
      <xdr:colOff>480060</xdr:colOff>
      <xdr:row>15</xdr:row>
      <xdr:rowOff>129540</xdr:rowOff>
    </xdr:to>
    <xdr:graphicFrame macro="">
      <xdr:nvGraphicFramePr>
        <xdr:cNvPr id="2" name="Chart 1">
          <a:extLst>
            <a:ext uri="{FF2B5EF4-FFF2-40B4-BE49-F238E27FC236}">
              <a16:creationId xmlns:a16="http://schemas.microsoft.com/office/drawing/2014/main" id="{799A72AC-5C20-23AC-D871-E9B962AD94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449580</xdr:colOff>
      <xdr:row>17</xdr:row>
      <xdr:rowOff>118110</xdr:rowOff>
    </xdr:from>
    <xdr:to>
      <xdr:col>14</xdr:col>
      <xdr:colOff>144780</xdr:colOff>
      <xdr:row>32</xdr:row>
      <xdr:rowOff>118110</xdr:rowOff>
    </xdr:to>
    <xdr:graphicFrame macro="">
      <xdr:nvGraphicFramePr>
        <xdr:cNvPr id="3" name="Chart 2">
          <a:extLst>
            <a:ext uri="{FF2B5EF4-FFF2-40B4-BE49-F238E27FC236}">
              <a16:creationId xmlns:a16="http://schemas.microsoft.com/office/drawing/2014/main" id="{E0192785-DF85-CC3C-5E26-B0468E7F8D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403860</xdr:colOff>
      <xdr:row>35</xdr:row>
      <xdr:rowOff>34290</xdr:rowOff>
    </xdr:from>
    <xdr:to>
      <xdr:col>12</xdr:col>
      <xdr:colOff>579120</xdr:colOff>
      <xdr:row>46</xdr:row>
      <xdr:rowOff>167640</xdr:rowOff>
    </xdr:to>
    <xdr:graphicFrame macro="">
      <xdr:nvGraphicFramePr>
        <xdr:cNvPr id="4" name="Chart 3">
          <a:extLst>
            <a:ext uri="{FF2B5EF4-FFF2-40B4-BE49-F238E27FC236}">
              <a16:creationId xmlns:a16="http://schemas.microsoft.com/office/drawing/2014/main" id="{D71A73A8-A4B3-D19D-28D7-10C75168C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76200</xdr:colOff>
      <xdr:row>47</xdr:row>
      <xdr:rowOff>102870</xdr:rowOff>
    </xdr:from>
    <xdr:to>
      <xdr:col>13</xdr:col>
      <xdr:colOff>381000</xdr:colOff>
      <xdr:row>62</xdr:row>
      <xdr:rowOff>102870</xdr:rowOff>
    </xdr:to>
    <xdr:graphicFrame macro="">
      <xdr:nvGraphicFramePr>
        <xdr:cNvPr id="5" name="Chart 4">
          <a:extLst>
            <a:ext uri="{FF2B5EF4-FFF2-40B4-BE49-F238E27FC236}">
              <a16:creationId xmlns:a16="http://schemas.microsoft.com/office/drawing/2014/main" id="{6E2E6582-3FB9-E6AB-2605-03B14B88B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22860</xdr:colOff>
      <xdr:row>63</xdr:row>
      <xdr:rowOff>64770</xdr:rowOff>
    </xdr:from>
    <xdr:to>
      <xdr:col>13</xdr:col>
      <xdr:colOff>327660</xdr:colOff>
      <xdr:row>78</xdr:row>
      <xdr:rowOff>64770</xdr:rowOff>
    </xdr:to>
    <xdr:graphicFrame macro="">
      <xdr:nvGraphicFramePr>
        <xdr:cNvPr id="6" name="Chart 5">
          <a:extLst>
            <a:ext uri="{FF2B5EF4-FFF2-40B4-BE49-F238E27FC236}">
              <a16:creationId xmlns:a16="http://schemas.microsoft.com/office/drawing/2014/main" id="{2D946653-1258-1244-0EFE-08C68F6F7E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563880</xdr:colOff>
      <xdr:row>61</xdr:row>
      <xdr:rowOff>80010</xdr:rowOff>
    </xdr:from>
    <xdr:to>
      <xdr:col>5</xdr:col>
      <xdr:colOff>838200</xdr:colOff>
      <xdr:row>76</xdr:row>
      <xdr:rowOff>80010</xdr:rowOff>
    </xdr:to>
    <xdr:graphicFrame macro="">
      <xdr:nvGraphicFramePr>
        <xdr:cNvPr id="7" name="Chart 6">
          <a:extLst>
            <a:ext uri="{FF2B5EF4-FFF2-40B4-BE49-F238E27FC236}">
              <a16:creationId xmlns:a16="http://schemas.microsoft.com/office/drawing/2014/main" id="{FDC77FD6-56B4-885F-ADBE-A05AA7806D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53341</xdr:colOff>
      <xdr:row>59</xdr:row>
      <xdr:rowOff>228600</xdr:rowOff>
    </xdr:from>
    <xdr:to>
      <xdr:col>3</xdr:col>
      <xdr:colOff>327937</xdr:colOff>
      <xdr:row>62</xdr:row>
      <xdr:rowOff>76200</xdr:rowOff>
    </xdr:to>
    <xdr:pic>
      <xdr:nvPicPr>
        <xdr:cNvPr id="2" name="Picture 1">
          <a:extLst>
            <a:ext uri="{FF2B5EF4-FFF2-40B4-BE49-F238E27FC236}">
              <a16:creationId xmlns:a16="http://schemas.microsoft.com/office/drawing/2014/main" id="{6C819CF9-3B1C-6D31-8D2C-D2593D05E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1" y="960120"/>
          <a:ext cx="1493796" cy="51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15240</xdr:colOff>
      <xdr:row>69</xdr:row>
      <xdr:rowOff>0</xdr:rowOff>
    </xdr:from>
    <xdr:to>
      <xdr:col>4</xdr:col>
      <xdr:colOff>472440</xdr:colOff>
      <xdr:row>69</xdr:row>
      <xdr:rowOff>7620</xdr:rowOff>
    </xdr:to>
    <xdr:cxnSp macro="">
      <xdr:nvCxnSpPr>
        <xdr:cNvPr id="7" name="Straight Connector 6">
          <a:extLst>
            <a:ext uri="{FF2B5EF4-FFF2-40B4-BE49-F238E27FC236}">
              <a16:creationId xmlns:a16="http://schemas.microsoft.com/office/drawing/2014/main" id="{51E185AD-6ED6-6879-9A39-951B788331A9}"/>
            </a:ext>
          </a:extLst>
        </xdr:cNvPr>
        <xdr:cNvCxnSpPr/>
      </xdr:nvCxnSpPr>
      <xdr:spPr>
        <a:xfrm flipV="1">
          <a:off x="152400" y="3337560"/>
          <a:ext cx="1981200" cy="7620"/>
        </a:xfrm>
        <a:prstGeom prst="line">
          <a:avLst/>
        </a:prstGeom>
        <a:ln>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762000</xdr:colOff>
      <xdr:row>69</xdr:row>
      <xdr:rowOff>0</xdr:rowOff>
    </xdr:from>
    <xdr:to>
      <xdr:col>7</xdr:col>
      <xdr:colOff>99060</xdr:colOff>
      <xdr:row>69</xdr:row>
      <xdr:rowOff>7620</xdr:rowOff>
    </xdr:to>
    <xdr:cxnSp macro="">
      <xdr:nvCxnSpPr>
        <xdr:cNvPr id="8" name="Straight Connector 7">
          <a:extLst>
            <a:ext uri="{FF2B5EF4-FFF2-40B4-BE49-F238E27FC236}">
              <a16:creationId xmlns:a16="http://schemas.microsoft.com/office/drawing/2014/main" id="{797C9F14-00FD-4654-9737-0BEAFA33B5AE}"/>
            </a:ext>
          </a:extLst>
        </xdr:cNvPr>
        <xdr:cNvCxnSpPr/>
      </xdr:nvCxnSpPr>
      <xdr:spPr>
        <a:xfrm flipV="1">
          <a:off x="2423160" y="3337560"/>
          <a:ext cx="1981200" cy="7620"/>
        </a:xfrm>
        <a:prstGeom prst="line">
          <a:avLst/>
        </a:prstGeom>
        <a:ln>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381000</xdr:colOff>
      <xdr:row>68</xdr:row>
      <xdr:rowOff>99060</xdr:rowOff>
    </xdr:from>
    <xdr:to>
      <xdr:col>9</xdr:col>
      <xdr:colOff>1104900</xdr:colOff>
      <xdr:row>69</xdr:row>
      <xdr:rowOff>0</xdr:rowOff>
    </xdr:to>
    <xdr:cxnSp macro="">
      <xdr:nvCxnSpPr>
        <xdr:cNvPr id="9" name="Straight Connector 8">
          <a:extLst>
            <a:ext uri="{FF2B5EF4-FFF2-40B4-BE49-F238E27FC236}">
              <a16:creationId xmlns:a16="http://schemas.microsoft.com/office/drawing/2014/main" id="{2435D8B7-5103-494A-99C7-67EEE40237A4}"/>
            </a:ext>
          </a:extLst>
        </xdr:cNvPr>
        <xdr:cNvCxnSpPr/>
      </xdr:nvCxnSpPr>
      <xdr:spPr>
        <a:xfrm flipV="1">
          <a:off x="4686300" y="3329940"/>
          <a:ext cx="1981200" cy="7620"/>
        </a:xfrm>
        <a:prstGeom prst="line">
          <a:avLst/>
        </a:prstGeom>
        <a:ln>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71</xdr:row>
      <xdr:rowOff>0</xdr:rowOff>
    </xdr:from>
    <xdr:to>
      <xdr:col>4</xdr:col>
      <xdr:colOff>541020</xdr:colOff>
      <xdr:row>79</xdr:row>
      <xdr:rowOff>45720</xdr:rowOff>
    </xdr:to>
    <xdr:graphicFrame macro="">
      <xdr:nvGraphicFramePr>
        <xdr:cNvPr id="10" name="Chart 9">
          <a:extLst>
            <a:ext uri="{FF2B5EF4-FFF2-40B4-BE49-F238E27FC236}">
              <a16:creationId xmlns:a16="http://schemas.microsoft.com/office/drawing/2014/main" id="{AA0843BC-5859-4AB4-822A-11B254A724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571500</xdr:colOff>
      <xdr:row>70</xdr:row>
      <xdr:rowOff>167640</xdr:rowOff>
    </xdr:from>
    <xdr:to>
      <xdr:col>7</xdr:col>
      <xdr:colOff>358140</xdr:colOff>
      <xdr:row>79</xdr:row>
      <xdr:rowOff>38100</xdr:rowOff>
    </xdr:to>
    <xdr:graphicFrame macro="">
      <xdr:nvGraphicFramePr>
        <xdr:cNvPr id="11" name="Chart 10">
          <a:extLst>
            <a:ext uri="{FF2B5EF4-FFF2-40B4-BE49-F238E27FC236}">
              <a16:creationId xmlns:a16="http://schemas.microsoft.com/office/drawing/2014/main" id="{99B6D664-5806-4608-B25E-935196D3EF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80</xdr:row>
      <xdr:rowOff>0</xdr:rowOff>
    </xdr:from>
    <xdr:to>
      <xdr:col>4</xdr:col>
      <xdr:colOff>457200</xdr:colOff>
      <xdr:row>80</xdr:row>
      <xdr:rowOff>7620</xdr:rowOff>
    </xdr:to>
    <xdr:cxnSp macro="">
      <xdr:nvCxnSpPr>
        <xdr:cNvPr id="12" name="Straight Connector 11">
          <a:extLst>
            <a:ext uri="{FF2B5EF4-FFF2-40B4-BE49-F238E27FC236}">
              <a16:creationId xmlns:a16="http://schemas.microsoft.com/office/drawing/2014/main" id="{E421E9E9-6492-4825-B305-BA986A3BE82B}"/>
            </a:ext>
          </a:extLst>
        </xdr:cNvPr>
        <xdr:cNvCxnSpPr/>
      </xdr:nvCxnSpPr>
      <xdr:spPr>
        <a:xfrm flipV="1">
          <a:off x="137160" y="5349240"/>
          <a:ext cx="2232660" cy="7620"/>
        </a:xfrm>
        <a:prstGeom prst="line">
          <a:avLst/>
        </a:prstGeom>
        <a:ln>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777240</xdr:colOff>
      <xdr:row>79</xdr:row>
      <xdr:rowOff>175260</xdr:rowOff>
    </xdr:from>
    <xdr:to>
      <xdr:col>7</xdr:col>
      <xdr:colOff>76200</xdr:colOff>
      <xdr:row>79</xdr:row>
      <xdr:rowOff>175260</xdr:rowOff>
    </xdr:to>
    <xdr:cxnSp macro="">
      <xdr:nvCxnSpPr>
        <xdr:cNvPr id="13" name="Straight Connector 12">
          <a:extLst>
            <a:ext uri="{FF2B5EF4-FFF2-40B4-BE49-F238E27FC236}">
              <a16:creationId xmlns:a16="http://schemas.microsoft.com/office/drawing/2014/main" id="{1C651700-D50C-4EE2-B89C-B8D6AAF43F18}"/>
            </a:ext>
          </a:extLst>
        </xdr:cNvPr>
        <xdr:cNvCxnSpPr/>
      </xdr:nvCxnSpPr>
      <xdr:spPr>
        <a:xfrm>
          <a:off x="2689860" y="5341620"/>
          <a:ext cx="1912620" cy="0"/>
        </a:xfrm>
        <a:prstGeom prst="line">
          <a:avLst/>
        </a:prstGeom>
        <a:ln>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411480</xdr:colOff>
      <xdr:row>79</xdr:row>
      <xdr:rowOff>167640</xdr:rowOff>
    </xdr:from>
    <xdr:to>
      <xdr:col>9</xdr:col>
      <xdr:colOff>1219200</xdr:colOff>
      <xdr:row>79</xdr:row>
      <xdr:rowOff>175260</xdr:rowOff>
    </xdr:to>
    <xdr:cxnSp macro="">
      <xdr:nvCxnSpPr>
        <xdr:cNvPr id="14" name="Straight Connector 13">
          <a:extLst>
            <a:ext uri="{FF2B5EF4-FFF2-40B4-BE49-F238E27FC236}">
              <a16:creationId xmlns:a16="http://schemas.microsoft.com/office/drawing/2014/main" id="{98C8D86E-27E0-4776-9C62-BD79C9A95049}"/>
            </a:ext>
          </a:extLst>
        </xdr:cNvPr>
        <xdr:cNvCxnSpPr/>
      </xdr:nvCxnSpPr>
      <xdr:spPr>
        <a:xfrm flipV="1">
          <a:off x="4937760" y="5334000"/>
          <a:ext cx="2232660" cy="7620"/>
        </a:xfrm>
        <a:prstGeom prst="line">
          <a:avLst/>
        </a:prstGeom>
        <a:ln>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586740</xdr:colOff>
      <xdr:row>81</xdr:row>
      <xdr:rowOff>144780</xdr:rowOff>
    </xdr:from>
    <xdr:to>
      <xdr:col>7</xdr:col>
      <xdr:colOff>228600</xdr:colOff>
      <xdr:row>90</xdr:row>
      <xdr:rowOff>83820</xdr:rowOff>
    </xdr:to>
    <xdr:graphicFrame macro="">
      <xdr:nvGraphicFramePr>
        <xdr:cNvPr id="16" name="Chart 15">
          <a:extLst>
            <a:ext uri="{FF2B5EF4-FFF2-40B4-BE49-F238E27FC236}">
              <a16:creationId xmlns:a16="http://schemas.microsoft.com/office/drawing/2014/main" id="{4CD3F1C1-B536-4D2B-93F2-9D0873267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91440</xdr:colOff>
      <xdr:row>82</xdr:row>
      <xdr:rowOff>121920</xdr:rowOff>
    </xdr:from>
    <xdr:to>
      <xdr:col>4</xdr:col>
      <xdr:colOff>388620</xdr:colOff>
      <xdr:row>90</xdr:row>
      <xdr:rowOff>76200</xdr:rowOff>
    </xdr:to>
    <xdr:graphicFrame macro="">
      <xdr:nvGraphicFramePr>
        <xdr:cNvPr id="17" name="Chart 16">
          <a:extLst>
            <a:ext uri="{FF2B5EF4-FFF2-40B4-BE49-F238E27FC236}">
              <a16:creationId xmlns:a16="http://schemas.microsoft.com/office/drawing/2014/main" id="{A20070FC-42EB-4424-A62F-703356847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342900</xdr:colOff>
      <xdr:row>71</xdr:row>
      <xdr:rowOff>30480</xdr:rowOff>
    </xdr:from>
    <xdr:to>
      <xdr:col>9</xdr:col>
      <xdr:colOff>1120140</xdr:colOff>
      <xdr:row>78</xdr:row>
      <xdr:rowOff>175260</xdr:rowOff>
    </xdr:to>
    <xdr:graphicFrame macro="">
      <xdr:nvGraphicFramePr>
        <xdr:cNvPr id="18" name="Chart 17">
          <a:extLst>
            <a:ext uri="{FF2B5EF4-FFF2-40B4-BE49-F238E27FC236}">
              <a16:creationId xmlns:a16="http://schemas.microsoft.com/office/drawing/2014/main" id="{5269FE05-83A1-462F-8446-80680C3FC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220980</xdr:colOff>
      <xdr:row>81</xdr:row>
      <xdr:rowOff>68580</xdr:rowOff>
    </xdr:from>
    <xdr:to>
      <xdr:col>10</xdr:col>
      <xdr:colOff>0</xdr:colOff>
      <xdr:row>90</xdr:row>
      <xdr:rowOff>68580</xdr:rowOff>
    </xdr:to>
    <xdr:graphicFrame macro="">
      <xdr:nvGraphicFramePr>
        <xdr:cNvPr id="19" name="Chart 18">
          <a:extLst>
            <a:ext uri="{FF2B5EF4-FFF2-40B4-BE49-F238E27FC236}">
              <a16:creationId xmlns:a16="http://schemas.microsoft.com/office/drawing/2014/main" id="{517182FB-5C6E-4697-99B9-BD6FE929C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7621</xdr:colOff>
      <xdr:row>0</xdr:row>
      <xdr:rowOff>175260</xdr:rowOff>
    </xdr:from>
    <xdr:to>
      <xdr:col>9</xdr:col>
      <xdr:colOff>1134418</xdr:colOff>
      <xdr:row>54</xdr:row>
      <xdr:rowOff>114300</xdr:rowOff>
    </xdr:to>
    <xdr:pic>
      <xdr:nvPicPr>
        <xdr:cNvPr id="20" name="Picture 19">
          <a:extLst>
            <a:ext uri="{FF2B5EF4-FFF2-40B4-BE49-F238E27FC236}">
              <a16:creationId xmlns:a16="http://schemas.microsoft.com/office/drawing/2014/main" id="{4A54F3AF-725F-8BB1-E997-B4877097008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4781" y="175260"/>
          <a:ext cx="6940857" cy="9814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251460</xdr:colOff>
      <xdr:row>8</xdr:row>
      <xdr:rowOff>102870</xdr:rowOff>
    </xdr:from>
    <xdr:to>
      <xdr:col>9</xdr:col>
      <xdr:colOff>480060</xdr:colOff>
      <xdr:row>23</xdr:row>
      <xdr:rowOff>22860</xdr:rowOff>
    </xdr:to>
    <xdr:graphicFrame macro="">
      <xdr:nvGraphicFramePr>
        <xdr:cNvPr id="2" name="Chart 1">
          <a:extLst>
            <a:ext uri="{FF2B5EF4-FFF2-40B4-BE49-F238E27FC236}">
              <a16:creationId xmlns:a16="http://schemas.microsoft.com/office/drawing/2014/main" id="{AFC0769E-C983-682C-C764-027A899A0A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98470eca6465773/Finance/Relative%20Valuation.xlsx" TargetMode="External"/><Relationship Id="rId1" Type="http://schemas.openxmlformats.org/officeDocument/2006/relationships/externalLinkPath" Target="Relative%20Valu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 Valuation"/>
      <sheetName val="Data"/>
    </sheetNames>
    <sheetDataSet>
      <sheetData sheetId="0"/>
      <sheetData sheetId="1">
        <row r="4">
          <cell r="C4" t="str">
            <v>Sun Pharma.Inds.</v>
          </cell>
          <cell r="D4">
            <v>1561.25</v>
          </cell>
          <cell r="E4">
            <v>239.93</v>
          </cell>
          <cell r="G4">
            <v>-3842.06</v>
          </cell>
          <cell r="K4">
            <v>47444.62</v>
          </cell>
          <cell r="L4">
            <v>8934.19</v>
          </cell>
          <cell r="M4">
            <v>13911.64</v>
          </cell>
        </row>
        <row r="5">
          <cell r="D5">
            <v>1466.4</v>
          </cell>
          <cell r="E5">
            <v>80.739999999999995</v>
          </cell>
          <cell r="G5">
            <v>-603.7299999999999</v>
          </cell>
        </row>
        <row r="6">
          <cell r="C6" t="str">
            <v>Dr Reddy's Labs</v>
          </cell>
          <cell r="D6">
            <v>6442.15</v>
          </cell>
          <cell r="E6">
            <v>16.68</v>
          </cell>
          <cell r="G6">
            <v>-407.20000000000005</v>
          </cell>
          <cell r="K6">
            <v>27212.5</v>
          </cell>
          <cell r="L6">
            <v>5228.2</v>
          </cell>
          <cell r="M6">
            <v>8489.9</v>
          </cell>
        </row>
        <row r="7">
          <cell r="C7" t="str">
            <v>Zydus Lifesci.</v>
          </cell>
          <cell r="D7">
            <v>923.25</v>
          </cell>
          <cell r="E7">
            <v>101.22</v>
          </cell>
          <cell r="G7">
            <v>-381.20000000000005</v>
          </cell>
          <cell r="K7">
            <v>19024.2</v>
          </cell>
          <cell r="L7">
            <v>3084.9</v>
          </cell>
          <cell r="M7">
            <v>5174.8999999999996</v>
          </cell>
        </row>
        <row r="8">
          <cell r="C8" t="str">
            <v>Mankind Pharma</v>
          </cell>
          <cell r="D8">
            <v>2154.0500000000002</v>
          </cell>
          <cell r="E8">
            <v>40.06</v>
          </cell>
          <cell r="G8">
            <v>-145.41</v>
          </cell>
          <cell r="K8">
            <v>8984.25</v>
          </cell>
          <cell r="L8">
            <v>1650.22</v>
          </cell>
          <cell r="M8">
            <v>2384.17</v>
          </cell>
        </row>
        <row r="9">
          <cell r="C9" t="str">
            <v>Lupin</v>
          </cell>
          <cell r="D9">
            <v>1614.95</v>
          </cell>
          <cell r="E9">
            <v>45.55</v>
          </cell>
          <cell r="G9">
            <v>2491.48</v>
          </cell>
          <cell r="K9">
            <v>19480.11</v>
          </cell>
          <cell r="L9">
            <v>1809.74</v>
          </cell>
          <cell r="M9">
            <v>3519.63</v>
          </cell>
        </row>
        <row r="10">
          <cell r="C10" t="str">
            <v>Alkem Lab</v>
          </cell>
          <cell r="D10">
            <v>5421.15</v>
          </cell>
          <cell r="E10">
            <v>11.96</v>
          </cell>
          <cell r="G10">
            <v>-1175.56</v>
          </cell>
          <cell r="K10">
            <v>12634.36</v>
          </cell>
          <cell r="L10">
            <v>1574.66</v>
          </cell>
          <cell r="M10">
            <v>2488.1</v>
          </cell>
        </row>
        <row r="11">
          <cell r="C11" t="str">
            <v>Aurobindo Pharma</v>
          </cell>
          <cell r="D11">
            <v>1043.8</v>
          </cell>
          <cell r="E11">
            <v>58.59</v>
          </cell>
          <cell r="G11">
            <v>564.43000000000029</v>
          </cell>
          <cell r="K11">
            <v>27894.68</v>
          </cell>
          <cell r="L11">
            <v>2767.53</v>
          </cell>
          <cell r="M11">
            <v>5718.68</v>
          </cell>
        </row>
        <row r="12">
          <cell r="C12" t="str">
            <v>Biocon</v>
          </cell>
          <cell r="D12">
            <v>273.05</v>
          </cell>
          <cell r="E12">
            <v>120.06</v>
          </cell>
          <cell r="G12">
            <v>15852.199999999999</v>
          </cell>
          <cell r="K12">
            <v>14612.5</v>
          </cell>
          <cell r="L12">
            <v>1489.4</v>
          </cell>
          <cell r="M12">
            <v>4230.3</v>
          </cell>
        </row>
        <row r="13">
          <cell r="C13" t="str">
            <v>Ipca Labs.</v>
          </cell>
          <cell r="D13">
            <v>1217.7</v>
          </cell>
          <cell r="E13">
            <v>25.37</v>
          </cell>
          <cell r="G13">
            <v>134.22000000000003</v>
          </cell>
          <cell r="K13">
            <v>7183.66</v>
          </cell>
          <cell r="L13">
            <v>599.73</v>
          </cell>
          <cell r="M13">
            <v>1283.5</v>
          </cell>
        </row>
      </sheetData>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reener.in/exce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3"/>
  <sheetViews>
    <sheetView tabSelected="1" zoomScale="120" zoomScaleNormal="120" zoomScalePageLayoutView="120" workbookViewId="0">
      <pane xSplit="1" ySplit="1" topLeftCell="J7" activePane="bottomRight" state="frozen"/>
      <selection activeCell="S92" sqref="S92"/>
      <selection pane="topRight" activeCell="S92" sqref="S92"/>
      <selection pane="bottomLeft" activeCell="S92" sqref="S92"/>
      <selection pane="bottomRight" activeCell="M13" sqref="M13"/>
    </sheetView>
  </sheetViews>
  <sheetFormatPr defaultColWidth="8.77734375" defaultRowHeight="14.4" x14ac:dyDescent="0.3"/>
  <cols>
    <col min="1" max="1" width="27.6640625" style="3" bestFit="1" customWidth="1"/>
    <col min="2" max="10" width="13.44140625" style="3" bestFit="1" customWidth="1"/>
    <col min="11" max="11" width="11" style="3" bestFit="1" customWidth="1"/>
    <col min="12" max="16384" width="8.77734375" style="3"/>
  </cols>
  <sheetData>
    <row r="1" spans="1:11" s="1" customFormat="1" x14ac:dyDescent="0.3">
      <c r="A1" s="1" t="s">
        <v>0</v>
      </c>
      <c r="B1" s="1" t="s">
        <v>33</v>
      </c>
      <c r="E1" s="266" t="str">
        <f>IF(B2&lt;&gt;B3, "A NEW VERSION OF THE WORKSHEET IS AVAILABLE", "")</f>
        <v/>
      </c>
      <c r="F1" s="266"/>
      <c r="G1" s="266"/>
      <c r="H1" s="266"/>
      <c r="I1" s="266"/>
      <c r="J1" s="266"/>
    </row>
    <row r="2" spans="1:11" x14ac:dyDescent="0.3">
      <c r="A2" s="1" t="s">
        <v>31</v>
      </c>
      <c r="B2" s="3">
        <v>2.1</v>
      </c>
      <c r="E2" s="267" t="s">
        <v>22</v>
      </c>
      <c r="F2" s="267"/>
      <c r="G2" s="267"/>
      <c r="H2" s="267"/>
      <c r="I2" s="267"/>
      <c r="J2" s="267"/>
    </row>
    <row r="3" spans="1:11" x14ac:dyDescent="0.3">
      <c r="A3" s="1" t="s">
        <v>32</v>
      </c>
      <c r="B3" s="3">
        <v>2.1</v>
      </c>
    </row>
    <row r="4" spans="1:11" x14ac:dyDescent="0.3">
      <c r="A4" s="1"/>
    </row>
    <row r="5" spans="1:11" x14ac:dyDescent="0.3">
      <c r="A5" s="1" t="s">
        <v>34</v>
      </c>
    </row>
    <row r="6" spans="1:11" x14ac:dyDescent="0.3">
      <c r="A6" s="3" t="s">
        <v>28</v>
      </c>
      <c r="B6" s="3">
        <f>IF(B9&gt;0, B9/B8, 0)</f>
        <v>80.746967377623562</v>
      </c>
    </row>
    <row r="7" spans="1:11" x14ac:dyDescent="0.3">
      <c r="A7" s="3" t="s">
        <v>17</v>
      </c>
      <c r="B7">
        <v>2</v>
      </c>
    </row>
    <row r="8" spans="1:11" x14ac:dyDescent="0.3">
      <c r="A8" s="3" t="s">
        <v>29</v>
      </c>
      <c r="B8">
        <v>1469.85</v>
      </c>
    </row>
    <row r="9" spans="1:11" x14ac:dyDescent="0.3">
      <c r="A9" s="3" t="s">
        <v>44</v>
      </c>
      <c r="B9">
        <v>118685.93</v>
      </c>
    </row>
    <row r="13" spans="1:11" x14ac:dyDescent="0.3">
      <c r="D13" s="3">
        <f>B18/B17</f>
        <v>0.38719443567974887</v>
      </c>
    </row>
    <row r="15" spans="1:11" x14ac:dyDescent="0.3">
      <c r="A15" s="1" t="s">
        <v>23</v>
      </c>
    </row>
    <row r="16" spans="1:11" s="7" customFormat="1" x14ac:dyDescent="0.3">
      <c r="A16" s="6" t="s">
        <v>24</v>
      </c>
      <c r="B16" s="5">
        <v>41729</v>
      </c>
      <c r="C16" s="5">
        <v>42094</v>
      </c>
      <c r="D16" s="5">
        <v>42460</v>
      </c>
      <c r="E16" s="5">
        <v>42825</v>
      </c>
      <c r="F16" s="5">
        <v>43190</v>
      </c>
      <c r="G16" s="5">
        <v>43555</v>
      </c>
      <c r="H16" s="5">
        <v>43921</v>
      </c>
      <c r="I16" s="5">
        <v>44286</v>
      </c>
      <c r="J16" s="5">
        <v>44651</v>
      </c>
      <c r="K16" s="5">
        <v>45016</v>
      </c>
    </row>
    <row r="17" spans="1:11" s="4" customFormat="1" x14ac:dyDescent="0.3">
      <c r="A17" s="4" t="s">
        <v>1</v>
      </c>
      <c r="B17">
        <v>10173.39</v>
      </c>
      <c r="C17">
        <v>11345.44</v>
      </c>
      <c r="D17">
        <v>13790.1</v>
      </c>
      <c r="E17">
        <v>14394.29</v>
      </c>
      <c r="F17">
        <v>15155.71</v>
      </c>
      <c r="G17">
        <v>16362.41</v>
      </c>
      <c r="H17">
        <v>17131.990000000002</v>
      </c>
      <c r="I17">
        <v>19159.59</v>
      </c>
      <c r="J17">
        <v>21763.34</v>
      </c>
      <c r="K17">
        <v>22753.119999999999</v>
      </c>
    </row>
    <row r="18" spans="1:11" s="4" customFormat="1" x14ac:dyDescent="0.3">
      <c r="A18" s="3" t="s">
        <v>45</v>
      </c>
      <c r="B18">
        <v>3939.08</v>
      </c>
      <c r="C18">
        <v>4533.92</v>
      </c>
      <c r="D18">
        <v>5026.3100000000004</v>
      </c>
      <c r="E18">
        <v>5206.16</v>
      </c>
      <c r="F18">
        <v>5671.36</v>
      </c>
      <c r="G18">
        <v>5737.45</v>
      </c>
      <c r="H18">
        <v>6236.18</v>
      </c>
      <c r="I18">
        <v>7544.6</v>
      </c>
      <c r="J18">
        <v>9220.2900000000009</v>
      </c>
      <c r="K18">
        <v>8348.2800000000007</v>
      </c>
    </row>
    <row r="19" spans="1:11" s="4" customFormat="1" x14ac:dyDescent="0.3">
      <c r="A19" s="3" t="s">
        <v>46</v>
      </c>
      <c r="B19">
        <v>64.25</v>
      </c>
      <c r="C19">
        <v>344.22</v>
      </c>
      <c r="D19">
        <v>-63.55</v>
      </c>
      <c r="E19">
        <v>-110.96</v>
      </c>
      <c r="F19">
        <v>232.94</v>
      </c>
      <c r="G19">
        <v>-47.04</v>
      </c>
      <c r="H19">
        <v>244.76</v>
      </c>
      <c r="I19">
        <v>192.71</v>
      </c>
      <c r="J19">
        <v>724.69</v>
      </c>
      <c r="K19">
        <v>96</v>
      </c>
    </row>
    <row r="20" spans="1:11" s="4" customFormat="1" x14ac:dyDescent="0.3">
      <c r="A20" s="3" t="s">
        <v>47</v>
      </c>
      <c r="B20">
        <v>218.63</v>
      </c>
      <c r="C20">
        <v>228.28</v>
      </c>
      <c r="D20">
        <v>245.92</v>
      </c>
      <c r="E20">
        <v>251.73</v>
      </c>
      <c r="F20">
        <v>298.82</v>
      </c>
      <c r="G20">
        <v>335.11</v>
      </c>
      <c r="H20">
        <v>327.43</v>
      </c>
      <c r="I20">
        <v>308.26</v>
      </c>
      <c r="J20">
        <v>331.03</v>
      </c>
      <c r="K20">
        <v>353.61</v>
      </c>
    </row>
    <row r="21" spans="1:11" s="4" customFormat="1" x14ac:dyDescent="0.3">
      <c r="A21" s="3" t="s">
        <v>48</v>
      </c>
      <c r="B21">
        <v>538.58000000000004</v>
      </c>
      <c r="C21">
        <v>706.06</v>
      </c>
      <c r="D21">
        <v>1000.01</v>
      </c>
      <c r="E21">
        <v>912.5</v>
      </c>
      <c r="F21">
        <v>952.02</v>
      </c>
      <c r="G21">
        <v>928.08</v>
      </c>
      <c r="H21">
        <v>1017.51</v>
      </c>
      <c r="I21">
        <v>1073.5999999999999</v>
      </c>
      <c r="J21">
        <v>1187.54</v>
      </c>
      <c r="K21">
        <v>1204.51</v>
      </c>
    </row>
    <row r="22" spans="1:11" s="4" customFormat="1" x14ac:dyDescent="0.3">
      <c r="A22" s="3" t="s">
        <v>49</v>
      </c>
      <c r="B22">
        <v>1543.09</v>
      </c>
      <c r="C22">
        <v>1973.86</v>
      </c>
      <c r="D22">
        <v>2436.4299999999998</v>
      </c>
      <c r="E22">
        <v>2640.82</v>
      </c>
      <c r="F22">
        <v>2699.32</v>
      </c>
      <c r="G22">
        <v>2866.09</v>
      </c>
      <c r="H22">
        <v>3036.41</v>
      </c>
      <c r="I22">
        <v>3261.85</v>
      </c>
      <c r="J22">
        <v>3542.24</v>
      </c>
      <c r="K22">
        <v>3842.73</v>
      </c>
    </row>
    <row r="23" spans="1:11" s="4" customFormat="1" x14ac:dyDescent="0.3">
      <c r="A23" s="3" t="s">
        <v>50</v>
      </c>
      <c r="B23">
        <v>1434.09</v>
      </c>
      <c r="C23">
        <v>1600.96</v>
      </c>
      <c r="D23">
        <v>1901.58</v>
      </c>
      <c r="E23">
        <v>2150.79</v>
      </c>
      <c r="F23">
        <v>2344.7600000000002</v>
      </c>
      <c r="G23">
        <v>2725.09</v>
      </c>
      <c r="H23">
        <v>2886.29</v>
      </c>
      <c r="I23">
        <v>2407.34</v>
      </c>
      <c r="J23">
        <v>3129.42</v>
      </c>
      <c r="K23">
        <v>3490.27</v>
      </c>
    </row>
    <row r="24" spans="1:11" s="4" customFormat="1" x14ac:dyDescent="0.3">
      <c r="A24" s="3" t="s">
        <v>51</v>
      </c>
      <c r="B24">
        <v>417.23</v>
      </c>
      <c r="C24">
        <v>483.71</v>
      </c>
      <c r="D24">
        <v>636.63</v>
      </c>
      <c r="E24">
        <v>625.02</v>
      </c>
      <c r="F24">
        <v>595.99</v>
      </c>
      <c r="G24">
        <v>626.24</v>
      </c>
      <c r="H24">
        <v>666.94</v>
      </c>
      <c r="I24">
        <v>504.22</v>
      </c>
      <c r="J24">
        <v>524.73</v>
      </c>
      <c r="K24">
        <v>582.75</v>
      </c>
    </row>
    <row r="25" spans="1:11" s="4" customFormat="1" x14ac:dyDescent="0.3">
      <c r="A25" s="4" t="s">
        <v>4</v>
      </c>
      <c r="B25">
        <v>251.48</v>
      </c>
      <c r="C25">
        <v>164.38</v>
      </c>
      <c r="D25">
        <v>208.21</v>
      </c>
      <c r="E25">
        <v>208.17</v>
      </c>
      <c r="F25">
        <v>280.13</v>
      </c>
      <c r="G25">
        <v>476.57</v>
      </c>
      <c r="H25">
        <v>344.2</v>
      </c>
      <c r="I25">
        <v>265.99</v>
      </c>
      <c r="J25">
        <v>98.79</v>
      </c>
      <c r="K25">
        <v>293.02999999999997</v>
      </c>
    </row>
    <row r="26" spans="1:11" s="4" customFormat="1" x14ac:dyDescent="0.3">
      <c r="A26" s="4" t="s">
        <v>5</v>
      </c>
      <c r="B26">
        <v>372.64</v>
      </c>
      <c r="C26">
        <v>504.71</v>
      </c>
      <c r="D26">
        <v>754.22</v>
      </c>
      <c r="E26">
        <v>1322.93</v>
      </c>
      <c r="F26">
        <v>1322.82</v>
      </c>
      <c r="G26">
        <v>1326.31</v>
      </c>
      <c r="H26">
        <v>1174.6500000000001</v>
      </c>
      <c r="I26">
        <v>1067.6600000000001</v>
      </c>
      <c r="J26">
        <v>1051.95</v>
      </c>
      <c r="K26">
        <v>1172.1099999999999</v>
      </c>
    </row>
    <row r="27" spans="1:11" s="4" customFormat="1" x14ac:dyDescent="0.3">
      <c r="A27" s="4" t="s">
        <v>6</v>
      </c>
      <c r="B27">
        <v>145.74</v>
      </c>
      <c r="C27">
        <v>168.29</v>
      </c>
      <c r="D27">
        <v>206.63</v>
      </c>
      <c r="E27">
        <v>159.38</v>
      </c>
      <c r="F27">
        <v>114.23</v>
      </c>
      <c r="G27">
        <v>168.43</v>
      </c>
      <c r="H27">
        <v>197.36</v>
      </c>
      <c r="I27">
        <v>160.69999999999999</v>
      </c>
      <c r="J27">
        <v>106.35</v>
      </c>
      <c r="K27">
        <v>109.54</v>
      </c>
    </row>
    <row r="28" spans="1:11" s="4" customFormat="1" x14ac:dyDescent="0.3">
      <c r="A28" s="4" t="s">
        <v>7</v>
      </c>
      <c r="B28">
        <v>1880.04</v>
      </c>
      <c r="C28">
        <v>1654.25</v>
      </c>
      <c r="D28">
        <v>1727.03</v>
      </c>
      <c r="E28">
        <v>1222.17</v>
      </c>
      <c r="F28">
        <v>1669.46</v>
      </c>
      <c r="G28">
        <v>2079.14</v>
      </c>
      <c r="H28">
        <v>2178.1799999999998</v>
      </c>
      <c r="I28">
        <v>3290.06</v>
      </c>
      <c r="J28">
        <v>3493.27</v>
      </c>
      <c r="K28">
        <v>4038.35</v>
      </c>
    </row>
    <row r="29" spans="1:11" s="4" customFormat="1" x14ac:dyDescent="0.3">
      <c r="A29" s="4" t="s">
        <v>8</v>
      </c>
      <c r="B29">
        <v>463.38</v>
      </c>
      <c r="C29">
        <v>400.03</v>
      </c>
      <c r="D29">
        <v>331.59</v>
      </c>
      <c r="E29">
        <v>179.76</v>
      </c>
      <c r="F29">
        <v>250.11</v>
      </c>
      <c r="G29">
        <v>569.53</v>
      </c>
      <c r="H29">
        <v>631.20000000000005</v>
      </c>
      <c r="I29">
        <v>888.76</v>
      </c>
      <c r="J29">
        <v>933.8</v>
      </c>
      <c r="K29">
        <v>1202.8599999999999</v>
      </c>
    </row>
    <row r="30" spans="1:11" s="4" customFormat="1" x14ac:dyDescent="0.3">
      <c r="A30" s="4" t="s">
        <v>9</v>
      </c>
      <c r="B30">
        <v>1388.41</v>
      </c>
      <c r="C30">
        <v>1180.77</v>
      </c>
      <c r="D30">
        <v>1359.99</v>
      </c>
      <c r="E30">
        <v>1006.39</v>
      </c>
      <c r="F30">
        <v>1410.53</v>
      </c>
      <c r="G30">
        <v>1527.7</v>
      </c>
      <c r="H30">
        <v>1546.52</v>
      </c>
      <c r="I30">
        <v>2404.87</v>
      </c>
      <c r="J30">
        <v>2516.75</v>
      </c>
      <c r="K30">
        <v>2801.91</v>
      </c>
    </row>
    <row r="31" spans="1:11" s="4" customFormat="1" x14ac:dyDescent="0.3">
      <c r="A31" s="4" t="s">
        <v>35</v>
      </c>
      <c r="B31">
        <v>160.58000000000001</v>
      </c>
      <c r="C31">
        <v>160.59</v>
      </c>
      <c r="D31">
        <v>160.68</v>
      </c>
      <c r="E31">
        <v>160.9</v>
      </c>
      <c r="F31">
        <v>241.53</v>
      </c>
      <c r="G31">
        <v>241.71</v>
      </c>
      <c r="H31">
        <v>322.5</v>
      </c>
      <c r="I31">
        <v>403.22</v>
      </c>
      <c r="J31">
        <v>403.4</v>
      </c>
      <c r="K31">
        <v>686.08</v>
      </c>
    </row>
    <row r="32" spans="1:11" s="4" customFormat="1" x14ac:dyDescent="0.3"/>
    <row r="33" spans="1:11" x14ac:dyDescent="0.3">
      <c r="A33" s="4" t="s">
        <v>63</v>
      </c>
      <c r="B33" s="3">
        <f>B30+B29+B27+B26</f>
        <v>2370.17</v>
      </c>
      <c r="C33" s="3">
        <f t="shared" ref="C33:K33" si="0">C30+C29+C27+C26</f>
        <v>2253.7999999999997</v>
      </c>
      <c r="D33" s="3">
        <f t="shared" si="0"/>
        <v>2652.4300000000003</v>
      </c>
      <c r="E33" s="3">
        <f t="shared" si="0"/>
        <v>2668.46</v>
      </c>
      <c r="F33" s="3">
        <f t="shared" si="0"/>
        <v>3097.6899999999996</v>
      </c>
      <c r="G33" s="3">
        <f t="shared" si="0"/>
        <v>3591.97</v>
      </c>
      <c r="H33" s="3">
        <f t="shared" si="0"/>
        <v>3549.7300000000005</v>
      </c>
      <c r="I33" s="3">
        <f t="shared" si="0"/>
        <v>4521.99</v>
      </c>
      <c r="J33" s="3">
        <f t="shared" si="0"/>
        <v>4608.8500000000004</v>
      </c>
      <c r="K33" s="3">
        <f t="shared" si="0"/>
        <v>5286.4199999999992</v>
      </c>
    </row>
    <row r="34" spans="1:11" x14ac:dyDescent="0.3">
      <c r="A34" s="3" t="s">
        <v>186</v>
      </c>
      <c r="B34" s="3">
        <f>B33-B26</f>
        <v>1997.5300000000002</v>
      </c>
      <c r="C34" s="3">
        <f t="shared" ref="C34:K34" si="1">C33-C26</f>
        <v>1749.0899999999997</v>
      </c>
      <c r="D34" s="3">
        <f t="shared" si="1"/>
        <v>1898.2100000000003</v>
      </c>
      <c r="E34" s="3">
        <f t="shared" si="1"/>
        <v>1345.53</v>
      </c>
      <c r="F34" s="3">
        <f t="shared" si="1"/>
        <v>1774.8699999999997</v>
      </c>
      <c r="G34" s="3">
        <f t="shared" si="1"/>
        <v>2265.66</v>
      </c>
      <c r="H34" s="3">
        <f t="shared" si="1"/>
        <v>2375.0800000000004</v>
      </c>
      <c r="I34" s="3">
        <f t="shared" si="1"/>
        <v>3454.33</v>
      </c>
      <c r="J34" s="3">
        <f t="shared" si="1"/>
        <v>3556.9000000000005</v>
      </c>
      <c r="K34" s="3">
        <f t="shared" si="1"/>
        <v>4114.3099999999995</v>
      </c>
    </row>
    <row r="35" spans="1:11" x14ac:dyDescent="0.3">
      <c r="A35" s="4"/>
    </row>
    <row r="36" spans="1:11" x14ac:dyDescent="0.3">
      <c r="A36" s="4"/>
    </row>
    <row r="37" spans="1:11" x14ac:dyDescent="0.3">
      <c r="A37" s="4"/>
    </row>
    <row r="38" spans="1:11" x14ac:dyDescent="0.3">
      <c r="A38" s="4"/>
    </row>
    <row r="39" spans="1:11" x14ac:dyDescent="0.3">
      <c r="A39" s="4"/>
    </row>
    <row r="40" spans="1:11" x14ac:dyDescent="0.3">
      <c r="A40" s="1" t="s">
        <v>25</v>
      </c>
    </row>
    <row r="41" spans="1:11" s="7" customFormat="1" x14ac:dyDescent="0.3">
      <c r="A41" s="6" t="s">
        <v>24</v>
      </c>
      <c r="B41" s="5">
        <v>44469</v>
      </c>
      <c r="C41" s="5">
        <v>44561</v>
      </c>
      <c r="D41" s="5">
        <v>44651</v>
      </c>
      <c r="E41" s="5">
        <v>44742</v>
      </c>
      <c r="F41" s="5">
        <v>44834</v>
      </c>
      <c r="G41" s="5">
        <v>44926</v>
      </c>
      <c r="H41" s="5">
        <v>45016</v>
      </c>
      <c r="I41" s="5">
        <v>45107</v>
      </c>
      <c r="J41" s="5">
        <v>45199</v>
      </c>
      <c r="K41" s="5">
        <v>45291</v>
      </c>
    </row>
    <row r="42" spans="1:11" s="4" customFormat="1" x14ac:dyDescent="0.3">
      <c r="A42" s="4" t="s">
        <v>1</v>
      </c>
      <c r="B42">
        <v>5519.8</v>
      </c>
      <c r="C42">
        <v>5478.86</v>
      </c>
      <c r="D42">
        <v>5260.33</v>
      </c>
      <c r="E42">
        <v>5375.19</v>
      </c>
      <c r="F42">
        <v>5828.54</v>
      </c>
      <c r="G42">
        <v>5810.09</v>
      </c>
      <c r="H42">
        <v>5739.3</v>
      </c>
      <c r="I42">
        <v>6328.89</v>
      </c>
      <c r="J42">
        <v>6678.15</v>
      </c>
      <c r="K42">
        <v>6603.81</v>
      </c>
    </row>
    <row r="43" spans="1:11" s="4" customFormat="1" x14ac:dyDescent="0.3">
      <c r="A43" s="4" t="s">
        <v>2</v>
      </c>
      <c r="B43">
        <v>4293.6000000000004</v>
      </c>
      <c r="C43">
        <v>4247.8900000000003</v>
      </c>
      <c r="D43">
        <v>4510.6099999999997</v>
      </c>
      <c r="E43">
        <v>4231.84</v>
      </c>
      <c r="F43">
        <v>4526.21</v>
      </c>
      <c r="G43">
        <v>4402.54</v>
      </c>
      <c r="H43">
        <v>4565.5600000000004</v>
      </c>
      <c r="I43">
        <v>4834.9799999999996</v>
      </c>
      <c r="J43">
        <v>4944.3999999999996</v>
      </c>
      <c r="K43">
        <v>4856.28</v>
      </c>
    </row>
    <row r="44" spans="1:11" s="4" customFormat="1" x14ac:dyDescent="0.3">
      <c r="A44" s="4" t="s">
        <v>4</v>
      </c>
      <c r="B44">
        <v>60.67</v>
      </c>
      <c r="C44">
        <v>91.29</v>
      </c>
      <c r="D44">
        <v>6.52</v>
      </c>
      <c r="E44">
        <v>103.43</v>
      </c>
      <c r="F44">
        <v>122.95</v>
      </c>
      <c r="G44">
        <v>114.44</v>
      </c>
      <c r="H44">
        <v>-47.79</v>
      </c>
      <c r="I44">
        <v>136.29</v>
      </c>
      <c r="J44">
        <v>176.32</v>
      </c>
      <c r="K44">
        <v>-10.19</v>
      </c>
    </row>
    <row r="45" spans="1:11" s="4" customFormat="1" x14ac:dyDescent="0.3">
      <c r="A45" s="4" t="s">
        <v>5</v>
      </c>
      <c r="B45">
        <v>253.06</v>
      </c>
      <c r="C45">
        <v>247.47</v>
      </c>
      <c r="D45">
        <v>290.31</v>
      </c>
      <c r="E45">
        <v>254.41</v>
      </c>
      <c r="F45">
        <v>299.37</v>
      </c>
      <c r="G45">
        <v>272.11</v>
      </c>
      <c r="H45">
        <v>346.22</v>
      </c>
      <c r="I45">
        <v>239.21</v>
      </c>
      <c r="J45">
        <v>290.04000000000002</v>
      </c>
      <c r="K45">
        <v>233.43</v>
      </c>
    </row>
    <row r="46" spans="1:11" s="4" customFormat="1" x14ac:dyDescent="0.3">
      <c r="A46" s="4" t="s">
        <v>6</v>
      </c>
      <c r="B46">
        <v>38</v>
      </c>
      <c r="C46">
        <v>20.68</v>
      </c>
      <c r="D46">
        <v>18.100000000000001</v>
      </c>
      <c r="E46">
        <v>17.809999999999999</v>
      </c>
      <c r="F46">
        <v>25.55</v>
      </c>
      <c r="G46">
        <v>31.82</v>
      </c>
      <c r="H46">
        <v>34.36</v>
      </c>
      <c r="I46">
        <v>16.39</v>
      </c>
      <c r="J46">
        <v>25.8</v>
      </c>
      <c r="K46">
        <v>30.1</v>
      </c>
    </row>
    <row r="47" spans="1:11" s="4" customFormat="1" x14ac:dyDescent="0.3">
      <c r="A47" s="4" t="s">
        <v>7</v>
      </c>
      <c r="B47">
        <v>995.81</v>
      </c>
      <c r="C47">
        <v>1054.1099999999999</v>
      </c>
      <c r="D47">
        <v>447.83</v>
      </c>
      <c r="E47">
        <v>974.56</v>
      </c>
      <c r="F47">
        <v>1100.3599999999999</v>
      </c>
      <c r="G47">
        <v>1218.06</v>
      </c>
      <c r="H47">
        <v>745.37</v>
      </c>
      <c r="I47">
        <v>1374.6</v>
      </c>
      <c r="J47">
        <v>1594.23</v>
      </c>
      <c r="K47">
        <v>1473.81</v>
      </c>
    </row>
    <row r="48" spans="1:11" s="4" customFormat="1" x14ac:dyDescent="0.3">
      <c r="A48" s="4" t="s">
        <v>8</v>
      </c>
      <c r="B48">
        <v>283.81</v>
      </c>
      <c r="C48">
        <v>295.16000000000003</v>
      </c>
      <c r="D48">
        <v>71.11</v>
      </c>
      <c r="E48">
        <v>268</v>
      </c>
      <c r="F48">
        <v>302.60000000000002</v>
      </c>
      <c r="G48">
        <v>410.01</v>
      </c>
      <c r="H48">
        <v>222.25</v>
      </c>
      <c r="I48">
        <v>378.02</v>
      </c>
      <c r="J48">
        <v>438.41</v>
      </c>
      <c r="K48">
        <v>405.3</v>
      </c>
    </row>
    <row r="49" spans="1:11" s="4" customFormat="1" x14ac:dyDescent="0.3">
      <c r="A49" s="4" t="s">
        <v>9</v>
      </c>
      <c r="B49">
        <v>711.36</v>
      </c>
      <c r="C49">
        <v>728.6</v>
      </c>
      <c r="D49">
        <v>362.07</v>
      </c>
      <c r="E49">
        <v>686.4</v>
      </c>
      <c r="F49">
        <v>788.9</v>
      </c>
      <c r="G49">
        <v>800.96</v>
      </c>
      <c r="H49">
        <v>525.65</v>
      </c>
      <c r="I49">
        <v>995.7</v>
      </c>
      <c r="J49">
        <v>1130.9100000000001</v>
      </c>
      <c r="K49">
        <v>1055.9000000000001</v>
      </c>
    </row>
    <row r="50" spans="1:11" x14ac:dyDescent="0.3">
      <c r="A50" s="4" t="s">
        <v>3</v>
      </c>
      <c r="B50">
        <v>1226.2</v>
      </c>
      <c r="C50">
        <v>1230.97</v>
      </c>
      <c r="D50">
        <v>749.72</v>
      </c>
      <c r="E50">
        <v>1143.3499999999999</v>
      </c>
      <c r="F50">
        <v>1302.33</v>
      </c>
      <c r="G50">
        <v>1407.55</v>
      </c>
      <c r="H50">
        <v>1173.74</v>
      </c>
      <c r="I50">
        <v>1493.91</v>
      </c>
      <c r="J50">
        <v>1733.75</v>
      </c>
      <c r="K50">
        <v>1747.53</v>
      </c>
    </row>
    <row r="51" spans="1:11" x14ac:dyDescent="0.3">
      <c r="A51" s="4"/>
    </row>
    <row r="52" spans="1:11" x14ac:dyDescent="0.3">
      <c r="A52" s="4"/>
    </row>
    <row r="53" spans="1:11" x14ac:dyDescent="0.3">
      <c r="A53" s="4"/>
    </row>
    <row r="54" spans="1:11" x14ac:dyDescent="0.3">
      <c r="A54" s="4"/>
    </row>
    <row r="55" spans="1:11" x14ac:dyDescent="0.3">
      <c r="A55" s="1" t="s">
        <v>26</v>
      </c>
    </row>
    <row r="56" spans="1:11" s="7" customFormat="1" x14ac:dyDescent="0.3">
      <c r="A56" s="6" t="s">
        <v>24</v>
      </c>
      <c r="B56" s="5">
        <v>41729</v>
      </c>
      <c r="C56" s="5">
        <v>42094</v>
      </c>
      <c r="D56" s="5">
        <v>42460</v>
      </c>
      <c r="E56" s="5">
        <v>42825</v>
      </c>
      <c r="F56" s="5">
        <v>43190</v>
      </c>
      <c r="G56" s="5">
        <v>43555</v>
      </c>
      <c r="H56" s="5">
        <v>43921</v>
      </c>
      <c r="I56" s="5">
        <v>44286</v>
      </c>
      <c r="J56" s="5">
        <v>44651</v>
      </c>
      <c r="K56" s="5">
        <v>45016</v>
      </c>
    </row>
    <row r="57" spans="1:11" x14ac:dyDescent="0.3">
      <c r="A57" s="4" t="s">
        <v>11</v>
      </c>
      <c r="B57">
        <v>160.58000000000001</v>
      </c>
      <c r="C57">
        <v>160.59</v>
      </c>
      <c r="D57">
        <v>160.68</v>
      </c>
      <c r="E57">
        <v>160.9</v>
      </c>
      <c r="F57">
        <v>161.02000000000001</v>
      </c>
      <c r="G57">
        <v>161.13999999999999</v>
      </c>
      <c r="H57">
        <v>161.25</v>
      </c>
      <c r="I57">
        <v>161.29</v>
      </c>
      <c r="J57">
        <v>161.36000000000001</v>
      </c>
      <c r="K57">
        <v>161.43</v>
      </c>
    </row>
    <row r="58" spans="1:11" x14ac:dyDescent="0.3">
      <c r="A58" s="4" t="s">
        <v>12</v>
      </c>
      <c r="B58">
        <v>9889.77</v>
      </c>
      <c r="C58">
        <v>10640.9</v>
      </c>
      <c r="D58">
        <v>11355.54</v>
      </c>
      <c r="E58">
        <v>12382.76</v>
      </c>
      <c r="F58">
        <v>14068.17</v>
      </c>
      <c r="G58">
        <v>14851.14</v>
      </c>
      <c r="H58">
        <v>15601.75</v>
      </c>
      <c r="I58">
        <v>18165.240000000002</v>
      </c>
      <c r="J58">
        <v>20680.330000000002</v>
      </c>
      <c r="K58">
        <v>23246.35</v>
      </c>
    </row>
    <row r="59" spans="1:11" x14ac:dyDescent="0.3">
      <c r="A59" s="4" t="s">
        <v>36</v>
      </c>
      <c r="B59">
        <v>1247.9100000000001</v>
      </c>
      <c r="C59">
        <v>1703.33</v>
      </c>
      <c r="D59">
        <v>5201.92</v>
      </c>
      <c r="E59">
        <v>4112.66</v>
      </c>
      <c r="F59">
        <v>4098.05</v>
      </c>
      <c r="G59">
        <v>4316.2299999999996</v>
      </c>
      <c r="H59">
        <v>2816.43</v>
      </c>
      <c r="I59">
        <v>2014.41</v>
      </c>
      <c r="J59">
        <v>1055.78</v>
      </c>
      <c r="K59">
        <v>803.12</v>
      </c>
    </row>
    <row r="60" spans="1:11" x14ac:dyDescent="0.3">
      <c r="A60" s="4" t="s">
        <v>37</v>
      </c>
      <c r="B60">
        <v>2102.1</v>
      </c>
      <c r="C60">
        <v>3165.6</v>
      </c>
      <c r="D60">
        <v>4331.3500000000004</v>
      </c>
      <c r="E60">
        <v>4212.62</v>
      </c>
      <c r="F60">
        <v>4345.66</v>
      </c>
      <c r="G60">
        <v>4433.3999999999996</v>
      </c>
      <c r="H60">
        <v>4843.3599999999997</v>
      </c>
      <c r="I60">
        <v>4514.34</v>
      </c>
      <c r="J60">
        <v>4959.6899999999996</v>
      </c>
      <c r="K60">
        <v>5089.1000000000004</v>
      </c>
    </row>
    <row r="61" spans="1:11" s="1" customFormat="1" x14ac:dyDescent="0.3">
      <c r="A61" s="1" t="s">
        <v>13</v>
      </c>
      <c r="B61">
        <v>13400.36</v>
      </c>
      <c r="C61">
        <v>15670.42</v>
      </c>
      <c r="D61">
        <v>21049.49</v>
      </c>
      <c r="E61">
        <v>20868.939999999999</v>
      </c>
      <c r="F61">
        <v>22672.9</v>
      </c>
      <c r="G61">
        <v>23761.91</v>
      </c>
      <c r="H61">
        <v>23422.79</v>
      </c>
      <c r="I61">
        <v>24855.279999999999</v>
      </c>
      <c r="J61">
        <v>26857.16</v>
      </c>
      <c r="K61">
        <v>29300</v>
      </c>
    </row>
    <row r="62" spans="1:11" x14ac:dyDescent="0.3">
      <c r="A62" s="4" t="s">
        <v>14</v>
      </c>
      <c r="B62">
        <v>6496.47</v>
      </c>
      <c r="C62">
        <v>6829.64</v>
      </c>
      <c r="D62">
        <v>9368.32</v>
      </c>
      <c r="E62">
        <v>9491.98</v>
      </c>
      <c r="F62">
        <v>9950.17</v>
      </c>
      <c r="G62">
        <v>9608.36</v>
      </c>
      <c r="H62">
        <v>9682.89</v>
      </c>
      <c r="I62">
        <v>9515.52</v>
      </c>
      <c r="J62">
        <v>9683.33</v>
      </c>
      <c r="K62">
        <v>9160.48</v>
      </c>
    </row>
    <row r="63" spans="1:11" x14ac:dyDescent="0.3">
      <c r="A63" s="4" t="s">
        <v>15</v>
      </c>
      <c r="B63">
        <v>441.84</v>
      </c>
      <c r="C63">
        <v>580.9</v>
      </c>
      <c r="D63">
        <v>2060.87</v>
      </c>
      <c r="E63">
        <v>1682.98</v>
      </c>
      <c r="F63">
        <v>981.33</v>
      </c>
      <c r="G63">
        <v>676.18</v>
      </c>
      <c r="H63">
        <v>824.53</v>
      </c>
      <c r="I63">
        <v>968.89</v>
      </c>
      <c r="J63">
        <v>766.18</v>
      </c>
      <c r="K63">
        <v>1093.3</v>
      </c>
    </row>
    <row r="64" spans="1:11" x14ac:dyDescent="0.3">
      <c r="A64" s="4" t="s">
        <v>16</v>
      </c>
      <c r="B64">
        <v>708.57</v>
      </c>
      <c r="C64">
        <v>639.78</v>
      </c>
      <c r="D64">
        <v>758.69</v>
      </c>
      <c r="E64">
        <v>973.01</v>
      </c>
      <c r="F64">
        <v>1258.8399999999999</v>
      </c>
      <c r="G64">
        <v>2554.14</v>
      </c>
      <c r="H64">
        <v>1471.02</v>
      </c>
      <c r="I64">
        <v>2710.05</v>
      </c>
      <c r="J64">
        <v>2550.6</v>
      </c>
      <c r="K64">
        <v>3662.38</v>
      </c>
    </row>
    <row r="65" spans="1:11" x14ac:dyDescent="0.3">
      <c r="A65" s="4" t="s">
        <v>38</v>
      </c>
      <c r="B65">
        <v>5753.48</v>
      </c>
      <c r="C65">
        <v>7620.1</v>
      </c>
      <c r="D65">
        <v>8861.61</v>
      </c>
      <c r="E65">
        <v>8720.9699999999993</v>
      </c>
      <c r="F65">
        <v>10482.56</v>
      </c>
      <c r="G65">
        <v>10923.23</v>
      </c>
      <c r="H65">
        <v>11444.35</v>
      </c>
      <c r="I65">
        <v>11660.82</v>
      </c>
      <c r="J65">
        <v>13857.05</v>
      </c>
      <c r="K65">
        <v>15383.84</v>
      </c>
    </row>
    <row r="66" spans="1:11" s="1" customFormat="1" x14ac:dyDescent="0.3">
      <c r="A66" s="1" t="s">
        <v>13</v>
      </c>
      <c r="B66">
        <v>13400.36</v>
      </c>
      <c r="C66">
        <v>15670.42</v>
      </c>
      <c r="D66">
        <v>21049.49</v>
      </c>
      <c r="E66">
        <v>20868.939999999999</v>
      </c>
      <c r="F66">
        <v>22672.9</v>
      </c>
      <c r="G66">
        <v>23761.91</v>
      </c>
      <c r="H66">
        <v>23422.79</v>
      </c>
      <c r="I66">
        <v>24855.279999999999</v>
      </c>
      <c r="J66">
        <v>26857.16</v>
      </c>
      <c r="K66">
        <v>29300</v>
      </c>
    </row>
    <row r="67" spans="1:11" s="4" customFormat="1" x14ac:dyDescent="0.3">
      <c r="A67" s="4" t="s">
        <v>43</v>
      </c>
      <c r="B67">
        <v>1638.89</v>
      </c>
      <c r="C67">
        <v>1997.72</v>
      </c>
      <c r="D67">
        <v>2356.27</v>
      </c>
      <c r="E67">
        <v>2563.0500000000002</v>
      </c>
      <c r="F67">
        <v>3102.45</v>
      </c>
      <c r="G67">
        <v>4150.72</v>
      </c>
      <c r="H67">
        <v>3891.31</v>
      </c>
      <c r="I67">
        <v>3445.68</v>
      </c>
      <c r="J67">
        <v>3424.44</v>
      </c>
      <c r="K67">
        <v>4057</v>
      </c>
    </row>
    <row r="68" spans="1:11" x14ac:dyDescent="0.3">
      <c r="A68" s="4" t="s">
        <v>30</v>
      </c>
      <c r="B68">
        <v>2895.26</v>
      </c>
      <c r="C68">
        <v>3780.62</v>
      </c>
      <c r="D68">
        <v>3808.05</v>
      </c>
      <c r="E68">
        <v>3485.28</v>
      </c>
      <c r="F68">
        <v>4044.7</v>
      </c>
      <c r="G68">
        <v>3964.83</v>
      </c>
      <c r="H68">
        <v>4377.6000000000004</v>
      </c>
      <c r="I68">
        <v>4669.18</v>
      </c>
      <c r="J68">
        <v>5350.24</v>
      </c>
      <c r="K68">
        <v>5156.43</v>
      </c>
    </row>
    <row r="69" spans="1:11" x14ac:dyDescent="0.3">
      <c r="A69" s="3" t="s">
        <v>52</v>
      </c>
      <c r="B69">
        <v>175.76</v>
      </c>
      <c r="C69">
        <v>564.26</v>
      </c>
      <c r="D69">
        <v>871.4</v>
      </c>
      <c r="E69">
        <v>624.21</v>
      </c>
      <c r="F69">
        <v>965.61</v>
      </c>
      <c r="G69">
        <v>618.80999999999995</v>
      </c>
      <c r="H69">
        <v>1003.91</v>
      </c>
      <c r="I69">
        <v>1401.23</v>
      </c>
      <c r="J69">
        <v>1928.48</v>
      </c>
      <c r="K69">
        <v>1564.62</v>
      </c>
    </row>
    <row r="70" spans="1:11" x14ac:dyDescent="0.3">
      <c r="A70" s="3" t="s">
        <v>39</v>
      </c>
      <c r="B70">
        <v>802921400</v>
      </c>
      <c r="C70">
        <v>802960440</v>
      </c>
      <c r="D70">
        <v>803384282</v>
      </c>
      <c r="E70">
        <v>804510074</v>
      </c>
      <c r="F70">
        <v>805119164</v>
      </c>
      <c r="G70">
        <v>805701266</v>
      </c>
      <c r="H70">
        <v>806235329</v>
      </c>
      <c r="I70">
        <v>806463279</v>
      </c>
      <c r="J70">
        <v>806814036</v>
      </c>
      <c r="K70">
        <v>807150593</v>
      </c>
    </row>
    <row r="71" spans="1:11" x14ac:dyDescent="0.3">
      <c r="A71" s="3" t="s">
        <v>40</v>
      </c>
    </row>
    <row r="72" spans="1:11" x14ac:dyDescent="0.3">
      <c r="A72" s="3" t="s">
        <v>53</v>
      </c>
      <c r="B72">
        <v>2</v>
      </c>
      <c r="C72">
        <v>2</v>
      </c>
      <c r="D72">
        <v>2</v>
      </c>
      <c r="E72">
        <v>2</v>
      </c>
      <c r="F72">
        <v>2</v>
      </c>
      <c r="G72">
        <v>2</v>
      </c>
      <c r="H72">
        <v>2</v>
      </c>
      <c r="I72">
        <v>2</v>
      </c>
      <c r="J72">
        <v>2</v>
      </c>
      <c r="K72">
        <v>2</v>
      </c>
    </row>
    <row r="74" spans="1:11" x14ac:dyDescent="0.3">
      <c r="A74" s="4" t="s">
        <v>38</v>
      </c>
      <c r="B74" s="3">
        <f>B65-SUM(B67:B69)</f>
        <v>1043.5699999999988</v>
      </c>
      <c r="C74" s="3">
        <f t="shared" ref="C74:K74" si="2">C65-SUM(C67:C69)</f>
        <v>1277.5</v>
      </c>
      <c r="D74" s="3">
        <f t="shared" si="2"/>
        <v>1825.8900000000012</v>
      </c>
      <c r="E74" s="3">
        <f t="shared" si="2"/>
        <v>2048.4299999999994</v>
      </c>
      <c r="F74" s="3">
        <f t="shared" si="2"/>
        <v>2369.8000000000002</v>
      </c>
      <c r="G74" s="3">
        <f t="shared" si="2"/>
        <v>2188.869999999999</v>
      </c>
      <c r="H74" s="3">
        <f t="shared" si="2"/>
        <v>2171.5300000000007</v>
      </c>
      <c r="I74" s="3">
        <f t="shared" si="2"/>
        <v>2144.7299999999996</v>
      </c>
      <c r="J74" s="3">
        <f t="shared" si="2"/>
        <v>3153.8899999999994</v>
      </c>
      <c r="K74" s="3">
        <f t="shared" si="2"/>
        <v>4605.7900000000009</v>
      </c>
    </row>
    <row r="75" spans="1:11" x14ac:dyDescent="0.3">
      <c r="A75" s="4" t="s">
        <v>83</v>
      </c>
      <c r="B75" s="3">
        <f>B61</f>
        <v>13400.36</v>
      </c>
      <c r="C75" s="3">
        <f t="shared" ref="C75:J75" si="3">C61</f>
        <v>15670.42</v>
      </c>
      <c r="D75" s="3">
        <f t="shared" si="3"/>
        <v>21049.49</v>
      </c>
      <c r="E75" s="3">
        <f t="shared" si="3"/>
        <v>20868.939999999999</v>
      </c>
      <c r="F75" s="3">
        <f t="shared" si="3"/>
        <v>22672.9</v>
      </c>
      <c r="G75" s="3">
        <f t="shared" si="3"/>
        <v>23761.91</v>
      </c>
      <c r="H75" s="3">
        <f t="shared" si="3"/>
        <v>23422.79</v>
      </c>
      <c r="I75" s="3">
        <f t="shared" si="3"/>
        <v>24855.279999999999</v>
      </c>
      <c r="J75" s="3">
        <f t="shared" si="3"/>
        <v>26857.16</v>
      </c>
      <c r="K75" s="3">
        <f>K61</f>
        <v>29300</v>
      </c>
    </row>
    <row r="76" spans="1:11" x14ac:dyDescent="0.3">
      <c r="A76" s="4"/>
    </row>
    <row r="77" spans="1:11" x14ac:dyDescent="0.3">
      <c r="A77" s="4"/>
    </row>
    <row r="78" spans="1:11" x14ac:dyDescent="0.3">
      <c r="A78" s="4"/>
    </row>
    <row r="79" spans="1:11" x14ac:dyDescent="0.3">
      <c r="A79" s="4"/>
    </row>
    <row r="80" spans="1:11" x14ac:dyDescent="0.3">
      <c r="A80" s="1" t="s">
        <v>27</v>
      </c>
    </row>
    <row r="81" spans="1:11" s="7" customFormat="1" x14ac:dyDescent="0.3">
      <c r="A81" s="6" t="s">
        <v>24</v>
      </c>
      <c r="B81" s="5">
        <v>41729</v>
      </c>
      <c r="C81" s="5">
        <v>42094</v>
      </c>
      <c r="D81" s="5">
        <v>42460</v>
      </c>
      <c r="E81" s="5">
        <v>42825</v>
      </c>
      <c r="F81" s="5">
        <v>43190</v>
      </c>
      <c r="G81" s="5">
        <v>43555</v>
      </c>
      <c r="H81" s="5">
        <v>43921</v>
      </c>
      <c r="I81" s="5">
        <v>44286</v>
      </c>
      <c r="J81" s="5">
        <v>44651</v>
      </c>
      <c r="K81" s="5">
        <v>45016</v>
      </c>
    </row>
    <row r="82" spans="1:11" s="1" customFormat="1" x14ac:dyDescent="0.3">
      <c r="A82" s="4" t="s">
        <v>18</v>
      </c>
      <c r="B82">
        <v>1563.31</v>
      </c>
      <c r="C82">
        <v>1173.43</v>
      </c>
      <c r="D82">
        <v>1740.81</v>
      </c>
      <c r="E82">
        <v>2381.7600000000002</v>
      </c>
      <c r="F82">
        <v>1462.76</v>
      </c>
      <c r="G82">
        <v>1691.15</v>
      </c>
      <c r="H82">
        <v>3068.45</v>
      </c>
      <c r="I82">
        <v>3755.2</v>
      </c>
      <c r="J82">
        <v>3325.9</v>
      </c>
      <c r="K82">
        <v>3237.65</v>
      </c>
    </row>
    <row r="83" spans="1:11" s="4" customFormat="1" x14ac:dyDescent="0.3">
      <c r="A83" s="4" t="s">
        <v>19</v>
      </c>
      <c r="B83">
        <v>-1264.93</v>
      </c>
      <c r="C83">
        <v>-949.71</v>
      </c>
      <c r="D83">
        <v>-4532.5600000000004</v>
      </c>
      <c r="E83">
        <v>-1303.8800000000001</v>
      </c>
      <c r="F83">
        <v>-834.17</v>
      </c>
      <c r="G83">
        <v>-1687.53</v>
      </c>
      <c r="H83">
        <v>114.39</v>
      </c>
      <c r="I83">
        <v>-2374.39</v>
      </c>
      <c r="J83">
        <v>-1858.43</v>
      </c>
      <c r="K83">
        <v>-2376.14</v>
      </c>
    </row>
    <row r="84" spans="1:11" s="4" customFormat="1" x14ac:dyDescent="0.3">
      <c r="A84" s="4" t="s">
        <v>20</v>
      </c>
      <c r="B84">
        <v>-265.63</v>
      </c>
      <c r="C84">
        <v>164.78</v>
      </c>
      <c r="D84">
        <v>3104.06</v>
      </c>
      <c r="E84">
        <v>-1325.68</v>
      </c>
      <c r="F84">
        <v>-385.48</v>
      </c>
      <c r="G84">
        <v>-348.72</v>
      </c>
      <c r="H84">
        <v>-2948.82</v>
      </c>
      <c r="I84">
        <v>-1239.51</v>
      </c>
      <c r="J84">
        <v>-1599.79</v>
      </c>
      <c r="K84">
        <v>-958.29</v>
      </c>
    </row>
    <row r="85" spans="1:11" s="1" customFormat="1" x14ac:dyDescent="0.3">
      <c r="A85" s="4" t="s">
        <v>21</v>
      </c>
      <c r="B85">
        <v>32.75</v>
      </c>
      <c r="C85">
        <v>388.5</v>
      </c>
      <c r="D85">
        <v>312.31</v>
      </c>
      <c r="E85">
        <v>-247.8</v>
      </c>
      <c r="F85">
        <v>243.11</v>
      </c>
      <c r="G85">
        <v>-345.1</v>
      </c>
      <c r="H85">
        <v>234.02</v>
      </c>
      <c r="I85">
        <v>141.30000000000001</v>
      </c>
      <c r="J85">
        <v>-132.32</v>
      </c>
      <c r="K85">
        <v>-96.78</v>
      </c>
    </row>
    <row r="86" spans="1:11" x14ac:dyDescent="0.3">
      <c r="A86" s="4"/>
    </row>
    <row r="87" spans="1:11" x14ac:dyDescent="0.3">
      <c r="A87" s="4"/>
    </row>
    <row r="88" spans="1:11" x14ac:dyDescent="0.3">
      <c r="A88" s="4"/>
    </row>
    <row r="89" spans="1:11" x14ac:dyDescent="0.3">
      <c r="A89" s="4"/>
    </row>
    <row r="90" spans="1:11" s="1" customFormat="1" x14ac:dyDescent="0.3">
      <c r="A90" s="1" t="s">
        <v>42</v>
      </c>
      <c r="B90">
        <v>382.8</v>
      </c>
      <c r="C90">
        <v>712.45</v>
      </c>
      <c r="D90">
        <v>511.95</v>
      </c>
      <c r="E90">
        <v>592.95000000000005</v>
      </c>
      <c r="F90">
        <v>545.45000000000005</v>
      </c>
      <c r="G90">
        <v>528.9</v>
      </c>
      <c r="H90">
        <v>422.85</v>
      </c>
      <c r="I90">
        <v>815.1</v>
      </c>
      <c r="J90">
        <v>1018.05</v>
      </c>
      <c r="K90">
        <v>900.5</v>
      </c>
    </row>
    <row r="92" spans="1:11" s="1" customFormat="1" x14ac:dyDescent="0.3">
      <c r="A92" s="1" t="s">
        <v>41</v>
      </c>
    </row>
    <row r="93" spans="1:11" x14ac:dyDescent="0.3">
      <c r="A93" s="3" t="s">
        <v>54</v>
      </c>
      <c r="B93" s="8">
        <v>80.290000000000006</v>
      </c>
      <c r="C93" s="8">
        <v>80.3</v>
      </c>
      <c r="D93" s="8">
        <v>80.34</v>
      </c>
      <c r="E93" s="8">
        <v>80.45</v>
      </c>
      <c r="F93" s="8">
        <v>80.510000000000005</v>
      </c>
      <c r="G93" s="8">
        <v>80.569999999999993</v>
      </c>
      <c r="H93" s="8">
        <v>80.62</v>
      </c>
      <c r="I93" s="8">
        <v>80.650000000000006</v>
      </c>
      <c r="J93" s="8">
        <v>80.680000000000007</v>
      </c>
      <c r="K93" s="8">
        <v>80.72</v>
      </c>
    </row>
  </sheetData>
  <mergeCells count="2">
    <mergeCell ref="E1:J1"/>
    <mergeCell ref="E2:J2"/>
  </mergeCells>
  <conditionalFormatting sqref="E1:J1">
    <cfRule type="cellIs" dxfId="0" priority="1" operator="notEqual">
      <formula>""</formula>
    </cfRule>
  </conditionalFormatting>
  <hyperlinks>
    <hyperlink ref="E1:J1" r:id="rId1" display="https://www.screener.in/excel/" xr:uid="{00000000-0004-0000-05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76685-DA8D-42B1-9E6A-1A418498C679}">
  <sheetPr>
    <pageSetUpPr fitToPage="1"/>
  </sheetPr>
  <dimension ref="B2:P115"/>
  <sheetViews>
    <sheetView showGridLines="0" workbookViewId="0">
      <pane ySplit="3" topLeftCell="A93" activePane="bottomLeft" state="frozen"/>
      <selection activeCell="B75" sqref="B75"/>
      <selection pane="bottomLeft" activeCell="L113" sqref="L113"/>
    </sheetView>
  </sheetViews>
  <sheetFormatPr defaultRowHeight="14.4" x14ac:dyDescent="0.3"/>
  <cols>
    <col min="1" max="1" width="2.44140625" customWidth="1"/>
    <col min="2" max="2" width="29.33203125" customWidth="1"/>
    <col min="3" max="3" width="14.6640625" bestFit="1" customWidth="1"/>
    <col min="4" max="12" width="11.44140625" bestFit="1" customWidth="1"/>
  </cols>
  <sheetData>
    <row r="2" spans="2:12" x14ac:dyDescent="0.3">
      <c r="B2" s="270" t="str">
        <f>"Historical Financial Statement - "&amp;'Data Sheet'!B1</f>
        <v>Historical Financial Statement - CIPLA LTD</v>
      </c>
      <c r="C2" s="270"/>
      <c r="D2" s="270"/>
      <c r="E2" s="270"/>
      <c r="F2" s="270"/>
      <c r="G2" s="270"/>
      <c r="H2" s="270"/>
      <c r="I2" s="270"/>
      <c r="J2" s="270"/>
      <c r="K2" s="270"/>
      <c r="L2" s="270"/>
    </row>
    <row r="3" spans="2:12" x14ac:dyDescent="0.3">
      <c r="B3" s="68" t="s">
        <v>55</v>
      </c>
      <c r="C3" s="69">
        <f>'Data Sheet'!B16</f>
        <v>41729</v>
      </c>
      <c r="D3" s="69">
        <f>'Data Sheet'!C16</f>
        <v>42094</v>
      </c>
      <c r="E3" s="69">
        <f>'Data Sheet'!D16</f>
        <v>42460</v>
      </c>
      <c r="F3" s="69">
        <f>'Data Sheet'!E16</f>
        <v>42825</v>
      </c>
      <c r="G3" s="69">
        <f>'Data Sheet'!F16</f>
        <v>43190</v>
      </c>
      <c r="H3" s="69">
        <f>'Data Sheet'!G16</f>
        <v>43555</v>
      </c>
      <c r="I3" s="69">
        <f>'Data Sheet'!H16</f>
        <v>43921</v>
      </c>
      <c r="J3" s="69">
        <f>'Data Sheet'!I16</f>
        <v>44286</v>
      </c>
      <c r="K3" s="69">
        <f>'Data Sheet'!J16</f>
        <v>44651</v>
      </c>
      <c r="L3" s="69">
        <f>'Data Sheet'!K16</f>
        <v>45016</v>
      </c>
    </row>
    <row r="4" spans="2:12" x14ac:dyDescent="0.3">
      <c r="B4" s="12"/>
      <c r="C4" s="13"/>
      <c r="D4" s="13"/>
      <c r="E4" s="13"/>
      <c r="F4" s="13"/>
      <c r="G4" s="13"/>
      <c r="H4" s="13"/>
      <c r="I4" s="13"/>
      <c r="J4" s="13"/>
      <c r="K4" s="13"/>
      <c r="L4" s="13"/>
    </row>
    <row r="5" spans="2:12" x14ac:dyDescent="0.3">
      <c r="B5" s="18" t="s">
        <v>56</v>
      </c>
      <c r="C5" s="14"/>
      <c r="D5" s="14"/>
      <c r="E5" s="14"/>
      <c r="F5" s="14"/>
      <c r="G5" s="14"/>
      <c r="H5" s="14"/>
      <c r="I5" s="14"/>
      <c r="J5" s="14"/>
      <c r="K5" s="14"/>
      <c r="L5" s="14"/>
    </row>
    <row r="6" spans="2:12" ht="7.2" customHeight="1" x14ac:dyDescent="0.3">
      <c r="B6" s="2"/>
    </row>
    <row r="7" spans="2:12" x14ac:dyDescent="0.3">
      <c r="B7" t="s">
        <v>1</v>
      </c>
      <c r="C7" s="9">
        <f>IFERROR('Data Sheet'!B17,0)</f>
        <v>10173.39</v>
      </c>
      <c r="D7" s="9">
        <f>IFERROR('Data Sheet'!C17,0)</f>
        <v>11345.44</v>
      </c>
      <c r="E7" s="9">
        <f>IFERROR('Data Sheet'!D17,0)</f>
        <v>13790.1</v>
      </c>
      <c r="F7" s="9">
        <f>IFERROR('Data Sheet'!E17,0)</f>
        <v>14394.29</v>
      </c>
      <c r="G7" s="9">
        <f>IFERROR('Data Sheet'!F17,0)</f>
        <v>15155.71</v>
      </c>
      <c r="H7" s="9">
        <f>IFERROR('Data Sheet'!G17,0)</f>
        <v>16362.41</v>
      </c>
      <c r="I7" s="9">
        <f>IFERROR('Data Sheet'!H17,0)</f>
        <v>17131.990000000002</v>
      </c>
      <c r="J7" s="9">
        <f>IFERROR('Data Sheet'!I17,0)</f>
        <v>19159.59</v>
      </c>
      <c r="K7" s="9">
        <f>IFERROR('Data Sheet'!J17,0)</f>
        <v>21763.34</v>
      </c>
      <c r="L7" s="9">
        <f>IFERROR('Data Sheet'!K17,0)</f>
        <v>22753.119999999999</v>
      </c>
    </row>
    <row r="8" spans="2:12" x14ac:dyDescent="0.3">
      <c r="B8" s="10" t="s">
        <v>10</v>
      </c>
      <c r="C8" s="10" t="s">
        <v>57</v>
      </c>
      <c r="D8" s="11">
        <f>IFERROR(D7/C7-1,0)</f>
        <v>0.11520741856942496</v>
      </c>
      <c r="E8" s="11">
        <f t="shared" ref="E8:L8" si="0">IFERROR(E7/D7-1,0)</f>
        <v>0.21547511599373848</v>
      </c>
      <c r="F8" s="11">
        <f t="shared" si="0"/>
        <v>4.3813315349417348E-2</v>
      </c>
      <c r="G8" s="11">
        <f t="shared" si="0"/>
        <v>5.2897364163150717E-2</v>
      </c>
      <c r="H8" s="11">
        <f t="shared" si="0"/>
        <v>7.9620156363509276E-2</v>
      </c>
      <c r="I8" s="11">
        <f t="shared" si="0"/>
        <v>4.7033413781955247E-2</v>
      </c>
      <c r="J8" s="11">
        <f t="shared" si="0"/>
        <v>0.11835169177661187</v>
      </c>
      <c r="K8" s="11">
        <f t="shared" si="0"/>
        <v>0.13589800199273583</v>
      </c>
      <c r="L8" s="11">
        <f t="shared" si="0"/>
        <v>4.5479232507510181E-2</v>
      </c>
    </row>
    <row r="10" spans="2:12" x14ac:dyDescent="0.3">
      <c r="B10" t="s">
        <v>58</v>
      </c>
      <c r="C10" s="9">
        <f>IFERROR(SUM('Data Sheet'!B18,'Data Sheet'!B20:B22)-1*'Data Sheet'!B19,0)</f>
        <v>6175.13</v>
      </c>
      <c r="D10" s="9">
        <f>IFERROR(SUM('Data Sheet'!C18,'Data Sheet'!C20:C22)-1*'Data Sheet'!C19,0)</f>
        <v>7097.9</v>
      </c>
      <c r="E10" s="9">
        <f>IFERROR(SUM('Data Sheet'!D18,'Data Sheet'!D20:D22)-1*'Data Sheet'!D19,0)</f>
        <v>8772.2199999999993</v>
      </c>
      <c r="F10" s="9">
        <f>IFERROR(SUM('Data Sheet'!E18,'Data Sheet'!E20:E22)-1*'Data Sheet'!E19,0)</f>
        <v>9122.1699999999983</v>
      </c>
      <c r="G10" s="9">
        <f>IFERROR(SUM('Data Sheet'!F18,'Data Sheet'!F20:F22)-1*'Data Sheet'!F19,0)</f>
        <v>9388.5799999999981</v>
      </c>
      <c r="H10" s="9">
        <f>IFERROR(SUM('Data Sheet'!G18,'Data Sheet'!G20:G22)-1*'Data Sheet'!G19,0)</f>
        <v>9913.77</v>
      </c>
      <c r="I10" s="9">
        <f>IFERROR(SUM('Data Sheet'!H18,'Data Sheet'!H20:H22)-1*'Data Sheet'!H19,0)</f>
        <v>10372.77</v>
      </c>
      <c r="J10" s="9">
        <f>IFERROR(SUM('Data Sheet'!I18,'Data Sheet'!I20:I22)-1*'Data Sheet'!I19,0)</f>
        <v>11995.600000000002</v>
      </c>
      <c r="K10" s="9">
        <f>IFERROR(SUM('Data Sheet'!J18,'Data Sheet'!J20:J22)-1*'Data Sheet'!J19,0)</f>
        <v>13556.41</v>
      </c>
      <c r="L10" s="9">
        <f>IFERROR(SUM('Data Sheet'!K18,'Data Sheet'!K20:K22)-1*'Data Sheet'!K19,0)</f>
        <v>13653.130000000001</v>
      </c>
    </row>
    <row r="11" spans="2:12" x14ac:dyDescent="0.3">
      <c r="B11" s="10" t="s">
        <v>59</v>
      </c>
      <c r="C11" s="11">
        <f>IFERROR(C10/C7,0)</f>
        <v>0.60698842765292593</v>
      </c>
      <c r="D11" s="11">
        <f t="shared" ref="D11:L11" si="1">IFERROR(D10/D7,0)</f>
        <v>0.62561698797049736</v>
      </c>
      <c r="E11" s="11">
        <f t="shared" si="1"/>
        <v>0.63612446610249374</v>
      </c>
      <c r="F11" s="11">
        <f t="shared" si="1"/>
        <v>0.63373532143648614</v>
      </c>
      <c r="G11" s="11">
        <f t="shared" si="1"/>
        <v>0.6194747722145646</v>
      </c>
      <c r="H11" s="11">
        <f t="shared" si="1"/>
        <v>0.6058869078577056</v>
      </c>
      <c r="I11" s="11">
        <f t="shared" si="1"/>
        <v>0.60546206249244827</v>
      </c>
      <c r="J11" s="11">
        <f t="shared" si="1"/>
        <v>0.62608855408701347</v>
      </c>
      <c r="K11" s="11">
        <f t="shared" si="1"/>
        <v>0.622901172338437</v>
      </c>
      <c r="L11" s="11">
        <f t="shared" si="1"/>
        <v>0.60005528912078876</v>
      </c>
    </row>
    <row r="13" spans="2:12" x14ac:dyDescent="0.3">
      <c r="B13" s="36" t="s">
        <v>60</v>
      </c>
      <c r="C13" s="37">
        <f>C7-C10</f>
        <v>3998.2599999999993</v>
      </c>
      <c r="D13" s="37">
        <f t="shared" ref="D13:L13" si="2">D7-D10</f>
        <v>4247.5400000000009</v>
      </c>
      <c r="E13" s="37">
        <f t="shared" si="2"/>
        <v>5017.880000000001</v>
      </c>
      <c r="F13" s="37">
        <f t="shared" si="2"/>
        <v>5272.1200000000026</v>
      </c>
      <c r="G13" s="37">
        <f t="shared" si="2"/>
        <v>5767.130000000001</v>
      </c>
      <c r="H13" s="37">
        <f t="shared" si="2"/>
        <v>6448.6399999999994</v>
      </c>
      <c r="I13" s="37">
        <f t="shared" si="2"/>
        <v>6759.2200000000012</v>
      </c>
      <c r="J13" s="37">
        <f t="shared" si="2"/>
        <v>7163.989999999998</v>
      </c>
      <c r="K13" s="37">
        <f t="shared" si="2"/>
        <v>8206.93</v>
      </c>
      <c r="L13" s="37">
        <f t="shared" si="2"/>
        <v>9099.989999999998</v>
      </c>
    </row>
    <row r="14" spans="2:12" x14ac:dyDescent="0.3">
      <c r="B14" s="10" t="s">
        <v>68</v>
      </c>
      <c r="C14" s="11">
        <f>IFERROR(C13/C7,0)</f>
        <v>0.39301157234707401</v>
      </c>
      <c r="D14" s="11">
        <f t="shared" ref="D14:L14" si="3">IFERROR(D13/D7,0)</f>
        <v>0.37438301202950264</v>
      </c>
      <c r="E14" s="11">
        <f t="shared" si="3"/>
        <v>0.36387553389750626</v>
      </c>
      <c r="F14" s="11">
        <f t="shared" si="3"/>
        <v>0.36626467856351391</v>
      </c>
      <c r="G14" s="11">
        <f t="shared" si="3"/>
        <v>0.3805252277854354</v>
      </c>
      <c r="H14" s="11">
        <f t="shared" si="3"/>
        <v>0.3941130921422944</v>
      </c>
      <c r="I14" s="11">
        <f t="shared" si="3"/>
        <v>0.39453793750755167</v>
      </c>
      <c r="J14" s="11">
        <f t="shared" si="3"/>
        <v>0.37391144591298653</v>
      </c>
      <c r="K14" s="11">
        <f t="shared" si="3"/>
        <v>0.377098827661563</v>
      </c>
      <c r="L14" s="11">
        <f t="shared" si="3"/>
        <v>0.39994471087921124</v>
      </c>
    </row>
    <row r="16" spans="2:12" x14ac:dyDescent="0.3">
      <c r="B16" t="s">
        <v>61</v>
      </c>
      <c r="C16" s="9">
        <f>IFERROR(SUM('Data Sheet'!B23:B24),0)</f>
        <v>1851.32</v>
      </c>
      <c r="D16" s="9">
        <f>IFERROR(SUM('Data Sheet'!C23:C24),0)</f>
        <v>2084.67</v>
      </c>
      <c r="E16" s="9">
        <f>IFERROR(SUM('Data Sheet'!D23:D24),0)</f>
        <v>2538.21</v>
      </c>
      <c r="F16" s="9">
        <f>IFERROR(SUM('Data Sheet'!E23:E24),0)</f>
        <v>2775.81</v>
      </c>
      <c r="G16" s="9">
        <f>IFERROR(SUM('Data Sheet'!F23:F24),0)</f>
        <v>2940.75</v>
      </c>
      <c r="H16" s="9">
        <f>IFERROR(SUM('Data Sheet'!G23:G24),0)</f>
        <v>3351.33</v>
      </c>
      <c r="I16" s="9">
        <f>IFERROR(SUM('Data Sheet'!H23:H24),0)</f>
        <v>3553.23</v>
      </c>
      <c r="J16" s="9">
        <f>IFERROR(SUM('Data Sheet'!I23:I24),0)</f>
        <v>2911.5600000000004</v>
      </c>
      <c r="K16" s="9">
        <f>IFERROR(SUM('Data Sheet'!J23:J24),0)</f>
        <v>3654.15</v>
      </c>
      <c r="L16" s="9">
        <f>IFERROR(SUM('Data Sheet'!K23:K24),0)</f>
        <v>4073.02</v>
      </c>
    </row>
    <row r="17" spans="2:16" x14ac:dyDescent="0.3">
      <c r="B17" s="10" t="s">
        <v>62</v>
      </c>
      <c r="C17" s="11">
        <f>IFERROR(C16/C7,0)</f>
        <v>0.18197670589646125</v>
      </c>
      <c r="D17" s="11">
        <f t="shared" ref="D17:L17" si="4">IFERROR(D16/D7,0)</f>
        <v>0.18374518749383012</v>
      </c>
      <c r="E17" s="11">
        <f t="shared" si="4"/>
        <v>0.18406030413122457</v>
      </c>
      <c r="F17" s="11">
        <f t="shared" si="4"/>
        <v>0.19284105016642014</v>
      </c>
      <c r="G17" s="11">
        <f t="shared" si="4"/>
        <v>0.19403577925415572</v>
      </c>
      <c r="H17" s="11">
        <f t="shared" si="4"/>
        <v>0.20481885003492761</v>
      </c>
      <c r="I17" s="11">
        <f t="shared" si="4"/>
        <v>0.20740322636191125</v>
      </c>
      <c r="J17" s="11">
        <f t="shared" si="4"/>
        <v>0.15196358585961392</v>
      </c>
      <c r="K17" s="11">
        <f t="shared" si="4"/>
        <v>0.1679039154835609</v>
      </c>
      <c r="L17" s="11">
        <f t="shared" si="4"/>
        <v>0.17900929630749543</v>
      </c>
    </row>
    <row r="19" spans="2:16" x14ac:dyDescent="0.3">
      <c r="B19" s="36" t="s">
        <v>63</v>
      </c>
      <c r="C19" s="37">
        <f>C13-C16</f>
        <v>2146.9399999999996</v>
      </c>
      <c r="D19" s="37">
        <f t="shared" ref="D19:K19" si="5">D13-D16</f>
        <v>2162.8700000000008</v>
      </c>
      <c r="E19" s="37">
        <f t="shared" si="5"/>
        <v>2479.670000000001</v>
      </c>
      <c r="F19" s="37">
        <f t="shared" si="5"/>
        <v>2496.3100000000027</v>
      </c>
      <c r="G19" s="37">
        <f t="shared" si="5"/>
        <v>2826.380000000001</v>
      </c>
      <c r="H19" s="37">
        <f t="shared" si="5"/>
        <v>3097.3099999999995</v>
      </c>
      <c r="I19" s="37">
        <f t="shared" si="5"/>
        <v>3205.9900000000011</v>
      </c>
      <c r="J19" s="37">
        <f t="shared" si="5"/>
        <v>4252.4299999999976</v>
      </c>
      <c r="K19" s="37">
        <f t="shared" si="5"/>
        <v>4552.7800000000007</v>
      </c>
      <c r="L19" s="37">
        <f>L13-L16</f>
        <v>5026.9699999999975</v>
      </c>
    </row>
    <row r="20" spans="2:16" x14ac:dyDescent="0.3">
      <c r="B20" s="10" t="s">
        <v>64</v>
      </c>
      <c r="C20" s="11">
        <f>IFERROR(C19/C7,0)</f>
        <v>0.21103486645061278</v>
      </c>
      <c r="D20" s="11">
        <f t="shared" ref="D20:L20" si="6">D19/D7</f>
        <v>0.19063782453567255</v>
      </c>
      <c r="E20" s="11">
        <f t="shared" si="6"/>
        <v>0.17981522976628167</v>
      </c>
      <c r="F20" s="11">
        <f t="shared" si="6"/>
        <v>0.17342362839709374</v>
      </c>
      <c r="G20" s="11">
        <f t="shared" si="6"/>
        <v>0.18648944853127972</v>
      </c>
      <c r="H20" s="11">
        <f t="shared" si="6"/>
        <v>0.18929424210736678</v>
      </c>
      <c r="I20" s="11">
        <f t="shared" si="6"/>
        <v>0.18713471114564045</v>
      </c>
      <c r="J20" s="11">
        <f t="shared" si="6"/>
        <v>0.22194786005337261</v>
      </c>
      <c r="K20" s="11">
        <f t="shared" si="6"/>
        <v>0.20919491217800212</v>
      </c>
      <c r="L20" s="11">
        <f t="shared" si="6"/>
        <v>0.22093541457171578</v>
      </c>
    </row>
    <row r="21" spans="2:16" x14ac:dyDescent="0.3">
      <c r="P21" t="s">
        <v>143</v>
      </c>
    </row>
    <row r="22" spans="2:16" x14ac:dyDescent="0.3">
      <c r="B22" t="s">
        <v>6</v>
      </c>
      <c r="C22" s="9">
        <f>IFERROR('Data Sheet'!B27,0)</f>
        <v>145.74</v>
      </c>
      <c r="D22" s="9">
        <f>IFERROR('Data Sheet'!C27,0)</f>
        <v>168.29</v>
      </c>
      <c r="E22" s="9">
        <f>IFERROR('Data Sheet'!D27,0)</f>
        <v>206.63</v>
      </c>
      <c r="F22" s="9">
        <f>IFERROR('Data Sheet'!E27,0)</f>
        <v>159.38</v>
      </c>
      <c r="G22" s="9">
        <f>IFERROR('Data Sheet'!F27,0)</f>
        <v>114.23</v>
      </c>
      <c r="H22" s="9">
        <f>IFERROR('Data Sheet'!G27,0)</f>
        <v>168.43</v>
      </c>
      <c r="I22" s="9">
        <f>IFERROR('Data Sheet'!H27,0)</f>
        <v>197.36</v>
      </c>
      <c r="J22" s="9">
        <f>IFERROR('Data Sheet'!I27,0)</f>
        <v>160.69999999999999</v>
      </c>
      <c r="K22" s="9">
        <f>IFERROR('Data Sheet'!J27,0)</f>
        <v>106.35</v>
      </c>
      <c r="L22" s="9">
        <f>IFERROR('Data Sheet'!K27,0)</f>
        <v>109.54</v>
      </c>
    </row>
    <row r="23" spans="2:16" x14ac:dyDescent="0.3">
      <c r="B23" s="10" t="s">
        <v>65</v>
      </c>
      <c r="C23" s="11">
        <f>IFERROR(C22/C7,0)</f>
        <v>1.4325608278066605E-2</v>
      </c>
      <c r="D23" s="11">
        <f t="shared" ref="D23:L23" si="7">IFERROR(D22/D7,0)</f>
        <v>1.4833272222143873E-2</v>
      </c>
      <c r="E23" s="11">
        <f t="shared" si="7"/>
        <v>1.4983937752445595E-2</v>
      </c>
      <c r="F23" s="11">
        <f t="shared" si="7"/>
        <v>1.1072446087997392E-2</v>
      </c>
      <c r="G23" s="11">
        <f t="shared" si="7"/>
        <v>7.5370932803544019E-3</v>
      </c>
      <c r="H23" s="11">
        <f t="shared" si="7"/>
        <v>1.0293715901263933E-2</v>
      </c>
      <c r="I23" s="11">
        <f t="shared" si="7"/>
        <v>1.1519969367248055E-2</v>
      </c>
      <c r="J23" s="11">
        <f t="shared" si="7"/>
        <v>8.3874446165079723E-3</v>
      </c>
      <c r="K23" s="11">
        <f t="shared" si="7"/>
        <v>4.8866580221602011E-3</v>
      </c>
      <c r="L23" s="11">
        <f t="shared" si="7"/>
        <v>4.8142848101710893E-3</v>
      </c>
    </row>
    <row r="25" spans="2:16" x14ac:dyDescent="0.3">
      <c r="B25" s="9" t="s">
        <v>66</v>
      </c>
      <c r="C25" s="9">
        <f>IFERROR('Data Sheet'!B26,0)</f>
        <v>372.64</v>
      </c>
      <c r="D25" s="9">
        <f>IFERROR('Data Sheet'!C26,0)</f>
        <v>504.71</v>
      </c>
      <c r="E25" s="9">
        <f>IFERROR('Data Sheet'!D26,0)</f>
        <v>754.22</v>
      </c>
      <c r="F25" s="9">
        <f>IFERROR('Data Sheet'!E26,0)</f>
        <v>1322.93</v>
      </c>
      <c r="G25" s="9">
        <f>IFERROR('Data Sheet'!F26,0)</f>
        <v>1322.82</v>
      </c>
      <c r="H25" s="9">
        <f>IFERROR('Data Sheet'!G26,0)</f>
        <v>1326.31</v>
      </c>
      <c r="I25" s="9">
        <f>IFERROR('Data Sheet'!H26,0)</f>
        <v>1174.6500000000001</v>
      </c>
      <c r="J25" s="9">
        <f>IFERROR('Data Sheet'!I26,0)</f>
        <v>1067.6600000000001</v>
      </c>
      <c r="K25" s="9">
        <f>IFERROR('Data Sheet'!J26,0)</f>
        <v>1051.95</v>
      </c>
      <c r="L25" s="9">
        <f>IFERROR('Data Sheet'!K26,0)</f>
        <v>1172.1099999999999</v>
      </c>
      <c r="M25" s="9"/>
      <c r="N25" t="s">
        <v>143</v>
      </c>
    </row>
    <row r="26" spans="2:16" x14ac:dyDescent="0.3">
      <c r="B26" s="10" t="s">
        <v>67</v>
      </c>
      <c r="C26" s="11">
        <f>IFERROR(C25/C7,0)</f>
        <v>3.662889164772018E-2</v>
      </c>
      <c r="D26" s="11">
        <f t="shared" ref="D26:L26" si="8">IFERROR(D25/D7,0)</f>
        <v>4.4485714084248819E-2</v>
      </c>
      <c r="E26" s="11">
        <f t="shared" si="8"/>
        <v>5.4692859370127848E-2</v>
      </c>
      <c r="F26" s="11">
        <f t="shared" si="8"/>
        <v>9.1906582401771811E-2</v>
      </c>
      <c r="G26" s="11">
        <f t="shared" si="8"/>
        <v>8.7281955117906054E-2</v>
      </c>
      <c r="H26" s="11">
        <f t="shared" si="8"/>
        <v>8.105835265098478E-2</v>
      </c>
      <c r="I26" s="11">
        <f t="shared" si="8"/>
        <v>6.8564714315149614E-2</v>
      </c>
      <c r="J26" s="11">
        <f t="shared" si="8"/>
        <v>5.5724574482021803E-2</v>
      </c>
      <c r="K26" s="11">
        <f t="shared" si="8"/>
        <v>4.8335871240351894E-2</v>
      </c>
      <c r="L26" s="11">
        <f t="shared" si="8"/>
        <v>5.1514253869359455E-2</v>
      </c>
    </row>
    <row r="28" spans="2:16" x14ac:dyDescent="0.3">
      <c r="B28" s="37" t="s">
        <v>69</v>
      </c>
      <c r="C28" s="37">
        <f>IFERROR(C19-SUM(C25,C22),0)</f>
        <v>1628.5599999999995</v>
      </c>
      <c r="D28" s="37">
        <f t="shared" ref="D28:L28" si="9">IFERROR(D19-SUM(D25,D22),0)</f>
        <v>1489.8700000000008</v>
      </c>
      <c r="E28" s="37">
        <f t="shared" si="9"/>
        <v>1518.8200000000011</v>
      </c>
      <c r="F28" s="37">
        <f t="shared" si="9"/>
        <v>1014.0000000000027</v>
      </c>
      <c r="G28" s="37">
        <f t="shared" si="9"/>
        <v>1389.3300000000011</v>
      </c>
      <c r="H28" s="37">
        <f t="shared" si="9"/>
        <v>1602.5699999999995</v>
      </c>
      <c r="I28" s="37">
        <f t="shared" si="9"/>
        <v>1833.9800000000009</v>
      </c>
      <c r="J28" s="37">
        <f t="shared" si="9"/>
        <v>3024.0699999999974</v>
      </c>
      <c r="K28" s="37">
        <f t="shared" si="9"/>
        <v>3394.4800000000005</v>
      </c>
      <c r="L28" s="37">
        <f t="shared" si="9"/>
        <v>3745.3199999999979</v>
      </c>
    </row>
    <row r="29" spans="2:16" x14ac:dyDescent="0.3">
      <c r="B29" s="10" t="s">
        <v>70</v>
      </c>
      <c r="C29" s="11">
        <f>IFERROR(C28/C7,0)</f>
        <v>0.16008036652482599</v>
      </c>
      <c r="D29" s="11">
        <f t="shared" ref="D29:L29" si="10">IFERROR(D28/D7,0)</f>
        <v>0.13131883822927984</v>
      </c>
      <c r="E29" s="11">
        <f t="shared" si="10"/>
        <v>0.11013843264370825</v>
      </c>
      <c r="F29" s="11">
        <f t="shared" si="10"/>
        <v>7.0444599907324545E-2</v>
      </c>
      <c r="G29" s="11">
        <f t="shared" si="10"/>
        <v>9.1670400133019248E-2</v>
      </c>
      <c r="H29" s="11">
        <f t="shared" si="10"/>
        <v>9.794217355511807E-2</v>
      </c>
      <c r="I29" s="11">
        <f t="shared" si="10"/>
        <v>0.10705002746324278</v>
      </c>
      <c r="J29" s="11">
        <f t="shared" si="10"/>
        <v>0.15783584095484285</v>
      </c>
      <c r="K29" s="11">
        <f t="shared" si="10"/>
        <v>0.15597238291549001</v>
      </c>
      <c r="L29" s="11">
        <f t="shared" si="10"/>
        <v>0.16460687589218526</v>
      </c>
    </row>
    <row r="31" spans="2:16" x14ac:dyDescent="0.3">
      <c r="B31" t="s">
        <v>8</v>
      </c>
      <c r="C31" s="9">
        <f>IFERROR('Data Sheet'!B29,0)</f>
        <v>463.38</v>
      </c>
      <c r="D31" s="9">
        <f>IFERROR('Data Sheet'!C29,0)</f>
        <v>400.03</v>
      </c>
      <c r="E31" s="9">
        <f>IFERROR('Data Sheet'!D29,0)</f>
        <v>331.59</v>
      </c>
      <c r="F31" s="9">
        <f>IFERROR('Data Sheet'!E29,0)</f>
        <v>179.76</v>
      </c>
      <c r="G31" s="9">
        <f>IFERROR('Data Sheet'!F29,0)</f>
        <v>250.11</v>
      </c>
      <c r="H31" s="9">
        <f>IFERROR('Data Sheet'!G29,0)</f>
        <v>569.53</v>
      </c>
      <c r="I31" s="9">
        <f>IFERROR('Data Sheet'!H29,0)</f>
        <v>631.20000000000005</v>
      </c>
      <c r="J31" s="9">
        <f>IFERROR('Data Sheet'!I29,0)</f>
        <v>888.76</v>
      </c>
      <c r="K31" s="9">
        <f>IFERROR('Data Sheet'!J29,0)</f>
        <v>933.8</v>
      </c>
      <c r="L31" s="9">
        <f>IFERROR('Data Sheet'!K29,0)</f>
        <v>1202.8599999999999</v>
      </c>
    </row>
    <row r="32" spans="2:16" x14ac:dyDescent="0.3">
      <c r="B32" s="10" t="s">
        <v>71</v>
      </c>
      <c r="C32" s="11">
        <f>IFERROR(C31/C28,0)</f>
        <v>0.28453357567421533</v>
      </c>
      <c r="D32" s="11">
        <f t="shared" ref="D32:L32" si="11">IFERROR(D31/D28,0)</f>
        <v>0.26849993623604729</v>
      </c>
      <c r="E32" s="11">
        <f t="shared" si="11"/>
        <v>0.21832080167498435</v>
      </c>
      <c r="F32" s="11">
        <f t="shared" si="11"/>
        <v>0.17727810650887527</v>
      </c>
      <c r="G32" s="11">
        <f t="shared" si="11"/>
        <v>0.18002202500485834</v>
      </c>
      <c r="H32" s="11">
        <f t="shared" si="11"/>
        <v>0.35538541218168329</v>
      </c>
      <c r="I32" s="11">
        <f t="shared" si="11"/>
        <v>0.34416951111789645</v>
      </c>
      <c r="J32" s="11">
        <f t="shared" si="11"/>
        <v>0.29389531326986501</v>
      </c>
      <c r="K32" s="11">
        <f t="shared" si="11"/>
        <v>0.2750936815064457</v>
      </c>
      <c r="L32" s="11">
        <f t="shared" si="11"/>
        <v>0.32116347868806955</v>
      </c>
    </row>
    <row r="33" spans="2:16" x14ac:dyDescent="0.3">
      <c r="C33" s="9"/>
    </row>
    <row r="34" spans="2:16" x14ac:dyDescent="0.3">
      <c r="B34" s="36" t="s">
        <v>72</v>
      </c>
      <c r="C34" s="37">
        <f>C28-C31</f>
        <v>1165.1799999999994</v>
      </c>
      <c r="D34" s="37">
        <f t="shared" ref="D34:L34" si="12">D28-D31</f>
        <v>1089.8400000000008</v>
      </c>
      <c r="E34" s="37">
        <f t="shared" si="12"/>
        <v>1187.2300000000012</v>
      </c>
      <c r="F34" s="37">
        <f t="shared" si="12"/>
        <v>834.24000000000274</v>
      </c>
      <c r="G34" s="37">
        <f t="shared" si="12"/>
        <v>1139.2200000000012</v>
      </c>
      <c r="H34" s="37">
        <f t="shared" si="12"/>
        <v>1033.0399999999995</v>
      </c>
      <c r="I34" s="37">
        <f t="shared" si="12"/>
        <v>1202.7800000000009</v>
      </c>
      <c r="J34" s="37">
        <f t="shared" si="12"/>
        <v>2135.3099999999977</v>
      </c>
      <c r="K34" s="37">
        <f t="shared" si="12"/>
        <v>2460.6800000000003</v>
      </c>
      <c r="L34" s="37">
        <f t="shared" si="12"/>
        <v>2542.4599999999982</v>
      </c>
      <c r="P34" s="15"/>
    </row>
    <row r="35" spans="2:16" x14ac:dyDescent="0.3">
      <c r="B35" s="10" t="s">
        <v>73</v>
      </c>
      <c r="C35" s="11">
        <f>IFERROR(C34/C7,0)</f>
        <v>0.11453212744227828</v>
      </c>
      <c r="D35" s="11">
        <f t="shared" ref="D35:L35" si="13">IFERROR(D34/D7,0)</f>
        <v>9.6059738538126396E-2</v>
      </c>
      <c r="E35" s="11">
        <f t="shared" si="13"/>
        <v>8.6092921733707597E-2</v>
      </c>
      <c r="F35" s="11">
        <f t="shared" si="13"/>
        <v>5.7956314621978762E-2</v>
      </c>
      <c r="G35" s="11">
        <f t="shared" si="13"/>
        <v>7.5167709068067495E-2</v>
      </c>
      <c r="H35" s="11">
        <f t="shared" si="13"/>
        <v>6.3134953836262483E-2</v>
      </c>
      <c r="I35" s="11">
        <f t="shared" si="13"/>
        <v>7.0206671846061122E-2</v>
      </c>
      <c r="J35" s="11">
        <f t="shared" si="13"/>
        <v>0.11144862703220673</v>
      </c>
      <c r="K35" s="11">
        <f t="shared" si="13"/>
        <v>0.1130653658859348</v>
      </c>
      <c r="L35" s="11">
        <f t="shared" si="13"/>
        <v>0.11174115901467571</v>
      </c>
    </row>
    <row r="37" spans="2:16" x14ac:dyDescent="0.3">
      <c r="B37" t="s">
        <v>74</v>
      </c>
      <c r="C37">
        <f>IFERROR('Data Sheet'!B93,0)</f>
        <v>80.290000000000006</v>
      </c>
      <c r="D37">
        <f>IFERROR('Data Sheet'!C93,0)</f>
        <v>80.3</v>
      </c>
      <c r="E37">
        <f>IFERROR('Data Sheet'!D93,0)</f>
        <v>80.34</v>
      </c>
      <c r="F37">
        <f>IFERROR('Data Sheet'!E93,0)</f>
        <v>80.45</v>
      </c>
      <c r="G37">
        <f>IFERROR('Data Sheet'!F93,0)</f>
        <v>80.510000000000005</v>
      </c>
      <c r="H37">
        <f>IFERROR('Data Sheet'!G93,0)</f>
        <v>80.569999999999993</v>
      </c>
      <c r="I37">
        <f>IFERROR('Data Sheet'!H93,0)</f>
        <v>80.62</v>
      </c>
      <c r="J37">
        <f>IFERROR('Data Sheet'!I93,0)</f>
        <v>80.650000000000006</v>
      </c>
      <c r="K37">
        <f>IFERROR('Data Sheet'!J93,0)</f>
        <v>80.680000000000007</v>
      </c>
      <c r="L37">
        <f>IFERROR('Data Sheet'!K93,0)</f>
        <v>80.72</v>
      </c>
    </row>
    <row r="39" spans="2:16" x14ac:dyDescent="0.3">
      <c r="B39" t="s">
        <v>75</v>
      </c>
      <c r="C39" s="9">
        <f>IFERROR(C34/C37,0)</f>
        <v>14.512143479885406</v>
      </c>
      <c r="D39" s="9">
        <f t="shared" ref="D39:L39" si="14">IFERROR(D34/D37,0)</f>
        <v>13.572104607721057</v>
      </c>
      <c r="E39" s="9">
        <f t="shared" si="14"/>
        <v>14.777570326114029</v>
      </c>
      <c r="F39" s="9">
        <f t="shared" si="14"/>
        <v>10.369670602858951</v>
      </c>
      <c r="G39" s="9">
        <f t="shared" si="14"/>
        <v>14.150043472860528</v>
      </c>
      <c r="H39" s="9">
        <f t="shared" si="14"/>
        <v>12.821645773861233</v>
      </c>
      <c r="I39" s="9">
        <f t="shared" si="14"/>
        <v>14.919126767551486</v>
      </c>
      <c r="J39" s="9">
        <f t="shared" si="14"/>
        <v>26.476255424674488</v>
      </c>
      <c r="K39" s="9">
        <f t="shared" si="14"/>
        <v>30.499256321269211</v>
      </c>
      <c r="L39" s="9">
        <f t="shared" si="14"/>
        <v>31.497274529236847</v>
      </c>
    </row>
    <row r="40" spans="2:16" x14ac:dyDescent="0.3">
      <c r="B40" s="10" t="s">
        <v>77</v>
      </c>
      <c r="C40" s="9"/>
      <c r="D40" s="11">
        <f>IFERROR(D39/C39-1,0)</f>
        <v>-6.4776018337145858E-2</v>
      </c>
      <c r="E40" s="11">
        <f t="shared" ref="E40:L40" si="15">IFERROR(E39/D39-1,0)</f>
        <v>8.8819365399467332E-2</v>
      </c>
      <c r="F40" s="11">
        <f t="shared" si="15"/>
        <v>-0.29828311596431412</v>
      </c>
      <c r="G40" s="11">
        <f t="shared" si="15"/>
        <v>0.36456055498612616</v>
      </c>
      <c r="H40" s="11">
        <f t="shared" si="15"/>
        <v>-9.3879407617872834E-2</v>
      </c>
      <c r="I40" s="11">
        <f t="shared" si="15"/>
        <v>0.16358906108342741</v>
      </c>
      <c r="J40" s="11">
        <f t="shared" si="15"/>
        <v>0.77465181690521612</v>
      </c>
      <c r="K40" s="11">
        <f t="shared" si="15"/>
        <v>0.15194750284987424</v>
      </c>
      <c r="L40" s="11">
        <f t="shared" si="15"/>
        <v>3.2722706332732665E-2</v>
      </c>
    </row>
    <row r="41" spans="2:16" x14ac:dyDescent="0.3">
      <c r="O41" t="s">
        <v>143</v>
      </c>
    </row>
    <row r="42" spans="2:16" x14ac:dyDescent="0.3">
      <c r="B42" t="s">
        <v>76</v>
      </c>
      <c r="C42" s="9">
        <f>IFERROR('Data Sheet'!B31/'Historical FS'!C37,0)</f>
        <v>2</v>
      </c>
      <c r="D42" s="9">
        <f>IFERROR('Data Sheet'!C31/'Historical FS'!D37,0)</f>
        <v>1.9998754669987548</v>
      </c>
      <c r="E42" s="9">
        <f>IFERROR('Data Sheet'!D31/'Historical FS'!E37,0)</f>
        <v>2</v>
      </c>
      <c r="F42" s="9">
        <f>IFERROR('Data Sheet'!E31/'Historical FS'!F37,0)</f>
        <v>2</v>
      </c>
      <c r="G42" s="9">
        <f>IFERROR('Data Sheet'!F31/'Historical FS'!G37,0)</f>
        <v>3</v>
      </c>
      <c r="H42" s="9">
        <f>IFERROR('Data Sheet'!G31/'Historical FS'!H37,0)</f>
        <v>3.0000000000000004</v>
      </c>
      <c r="I42" s="9">
        <f>IFERROR('Data Sheet'!H31/'Historical FS'!I37,0)</f>
        <v>4.0002480774001485</v>
      </c>
      <c r="J42" s="9">
        <f>IFERROR('Data Sheet'!I31/'Historical FS'!J37,0)</f>
        <v>4.9996280223186611</v>
      </c>
      <c r="K42" s="9">
        <f>IFERROR('Data Sheet'!J31/'Historical FS'!K37,0)</f>
        <v>4.9999999999999991</v>
      </c>
      <c r="L42" s="9">
        <f>IFERROR('Data Sheet'!K31/'Historical FS'!L37,0)</f>
        <v>8.4995044598612495</v>
      </c>
    </row>
    <row r="43" spans="2:16" x14ac:dyDescent="0.3">
      <c r="B43" s="10" t="s">
        <v>78</v>
      </c>
      <c r="C43" s="16">
        <f>IFERROR(C42/C39,0)</f>
        <v>0.13781561647127491</v>
      </c>
      <c r="D43" s="16">
        <f t="shared" ref="D43:L43" si="16">IFERROR(D42/D39,0)</f>
        <v>0.14735190486676933</v>
      </c>
      <c r="E43" s="16">
        <f t="shared" si="16"/>
        <v>0.13534024578219878</v>
      </c>
      <c r="F43" s="16">
        <f t="shared" si="16"/>
        <v>0.19287015726889084</v>
      </c>
      <c r="G43" s="16">
        <f t="shared" si="16"/>
        <v>0.21201348290935884</v>
      </c>
      <c r="H43" s="16">
        <f t="shared" si="16"/>
        <v>0.23397932316270439</v>
      </c>
      <c r="I43" s="16">
        <f t="shared" si="16"/>
        <v>0.26812883486589384</v>
      </c>
      <c r="J43" s="16">
        <f t="shared" si="16"/>
        <v>0.18883440811872773</v>
      </c>
      <c r="K43" s="16">
        <f t="shared" si="16"/>
        <v>0.16393842352520438</v>
      </c>
      <c r="L43" s="16">
        <f t="shared" si="16"/>
        <v>0.26984888651148908</v>
      </c>
    </row>
    <row r="44" spans="2:16" x14ac:dyDescent="0.3">
      <c r="N44" t="s">
        <v>143</v>
      </c>
    </row>
    <row r="45" spans="2:16" x14ac:dyDescent="0.3">
      <c r="B45" t="s">
        <v>79</v>
      </c>
      <c r="C45" s="17">
        <f>IFERROR(IF(C39&gt;C42,1-C43,0),0)</f>
        <v>0.86218438352872506</v>
      </c>
      <c r="D45" s="17">
        <f t="shared" ref="D45:L45" si="17">IFERROR(IF(D39&gt;D42,1-D43,0),0)</f>
        <v>0.8526480951332307</v>
      </c>
      <c r="E45" s="17">
        <f t="shared" si="17"/>
        <v>0.86465975421780117</v>
      </c>
      <c r="F45" s="17">
        <f t="shared" si="17"/>
        <v>0.8071298427311091</v>
      </c>
      <c r="G45" s="17">
        <f t="shared" si="17"/>
        <v>0.78798651709064116</v>
      </c>
      <c r="H45" s="17">
        <f t="shared" si="17"/>
        <v>0.76602067683729558</v>
      </c>
      <c r="I45" s="17">
        <f t="shared" si="17"/>
        <v>0.73187116513410611</v>
      </c>
      <c r="J45" s="17">
        <f t="shared" si="17"/>
        <v>0.81116559188127224</v>
      </c>
      <c r="K45" s="17">
        <f t="shared" si="17"/>
        <v>0.83606157647479562</v>
      </c>
      <c r="L45" s="17">
        <f t="shared" si="17"/>
        <v>0.73015111348851092</v>
      </c>
    </row>
    <row r="47" spans="2:16" x14ac:dyDescent="0.3">
      <c r="B47" s="68" t="s">
        <v>55</v>
      </c>
      <c r="C47" s="69">
        <v>41729</v>
      </c>
      <c r="D47" s="69">
        <v>42094</v>
      </c>
      <c r="E47" s="69">
        <v>42460</v>
      </c>
      <c r="F47" s="69">
        <v>42825</v>
      </c>
      <c r="G47" s="69">
        <v>43190</v>
      </c>
      <c r="H47" s="69">
        <v>43555</v>
      </c>
      <c r="I47" s="69">
        <v>43921</v>
      </c>
      <c r="J47" s="69">
        <v>44286</v>
      </c>
      <c r="K47" s="69">
        <v>44651</v>
      </c>
      <c r="L47" s="69">
        <v>45016</v>
      </c>
    </row>
    <row r="49" spans="2:14" x14ac:dyDescent="0.3">
      <c r="B49" s="18" t="s">
        <v>80</v>
      </c>
      <c r="C49" s="14"/>
      <c r="D49" s="14"/>
      <c r="E49" s="14"/>
      <c r="F49" s="14"/>
      <c r="G49" s="14"/>
      <c r="H49" s="14"/>
      <c r="I49" s="14"/>
      <c r="J49" s="14"/>
      <c r="K49" s="14"/>
      <c r="L49" s="14"/>
    </row>
    <row r="50" spans="2:14" ht="6" customHeight="1" x14ac:dyDescent="0.3">
      <c r="B50" s="2"/>
    </row>
    <row r="51" spans="2:14" x14ac:dyDescent="0.3">
      <c r="B51" s="4" t="s">
        <v>11</v>
      </c>
      <c r="C51" s="9">
        <f>IFERROR('Data Sheet'!B57,0)</f>
        <v>160.58000000000001</v>
      </c>
      <c r="D51" s="9">
        <f>IFERROR('Data Sheet'!C57,0)</f>
        <v>160.59</v>
      </c>
      <c r="E51" s="9">
        <f>IFERROR('Data Sheet'!D57,0)</f>
        <v>160.68</v>
      </c>
      <c r="F51" s="9">
        <f>IFERROR('Data Sheet'!E57,0)</f>
        <v>160.9</v>
      </c>
      <c r="G51" s="9">
        <f>IFERROR('Data Sheet'!F57,0)</f>
        <v>161.02000000000001</v>
      </c>
      <c r="H51" s="9">
        <f>IFERROR('Data Sheet'!G57,0)</f>
        <v>161.13999999999999</v>
      </c>
      <c r="I51" s="9">
        <f>IFERROR('Data Sheet'!H57,0)</f>
        <v>161.25</v>
      </c>
      <c r="J51" s="9">
        <f>IFERROR('Data Sheet'!I57,0)</f>
        <v>161.29</v>
      </c>
      <c r="K51" s="9">
        <f>IFERROR('Data Sheet'!J57,0)</f>
        <v>161.36000000000001</v>
      </c>
      <c r="L51" s="9">
        <f>IFERROR('Data Sheet'!K57,0)</f>
        <v>161.43</v>
      </c>
    </row>
    <row r="52" spans="2:14" x14ac:dyDescent="0.3">
      <c r="B52" s="4" t="s">
        <v>12</v>
      </c>
      <c r="C52" s="9">
        <f>IFERROR('Data Sheet'!B58,0)</f>
        <v>9889.77</v>
      </c>
      <c r="D52" s="9">
        <f>IFERROR('Data Sheet'!C58,0)</f>
        <v>10640.9</v>
      </c>
      <c r="E52" s="9">
        <f>IFERROR('Data Sheet'!D58,0)</f>
        <v>11355.54</v>
      </c>
      <c r="F52" s="9">
        <f>IFERROR('Data Sheet'!E58,0)</f>
        <v>12382.76</v>
      </c>
      <c r="G52" s="9">
        <f>IFERROR('Data Sheet'!F58,0)</f>
        <v>14068.17</v>
      </c>
      <c r="H52" s="9">
        <f>IFERROR('Data Sheet'!G58,0)</f>
        <v>14851.14</v>
      </c>
      <c r="I52" s="9">
        <f>IFERROR('Data Sheet'!H58,0)</f>
        <v>15601.75</v>
      </c>
      <c r="J52" s="9">
        <f>IFERROR('Data Sheet'!I58,0)</f>
        <v>18165.240000000002</v>
      </c>
      <c r="K52" s="9">
        <f>IFERROR('Data Sheet'!J58,0)</f>
        <v>20680.330000000002</v>
      </c>
      <c r="L52" s="9">
        <f>IFERROR('Data Sheet'!K58,0)</f>
        <v>23246.35</v>
      </c>
    </row>
    <row r="53" spans="2:14" x14ac:dyDescent="0.3">
      <c r="B53" s="4" t="s">
        <v>36</v>
      </c>
      <c r="C53" s="9">
        <f>IFERROR('Data Sheet'!B59,0)</f>
        <v>1247.9100000000001</v>
      </c>
      <c r="D53" s="9">
        <f>IFERROR('Data Sheet'!C59,0)</f>
        <v>1703.33</v>
      </c>
      <c r="E53" s="9">
        <f>IFERROR('Data Sheet'!D59,0)</f>
        <v>5201.92</v>
      </c>
      <c r="F53" s="9">
        <f>IFERROR('Data Sheet'!E59,0)</f>
        <v>4112.66</v>
      </c>
      <c r="G53" s="9">
        <f>IFERROR('Data Sheet'!F59,0)</f>
        <v>4098.05</v>
      </c>
      <c r="H53" s="9">
        <f>IFERROR('Data Sheet'!G59,0)</f>
        <v>4316.2299999999996</v>
      </c>
      <c r="I53" s="9">
        <f>IFERROR('Data Sheet'!H59,0)</f>
        <v>2816.43</v>
      </c>
      <c r="J53" s="9">
        <f>IFERROR('Data Sheet'!I59,0)</f>
        <v>2014.41</v>
      </c>
      <c r="K53" s="9">
        <f>IFERROR('Data Sheet'!J59,0)</f>
        <v>1055.78</v>
      </c>
      <c r="L53" s="9">
        <f>IFERROR('Data Sheet'!K59,0)</f>
        <v>803.12</v>
      </c>
    </row>
    <row r="54" spans="2:14" x14ac:dyDescent="0.3">
      <c r="B54" s="4" t="s">
        <v>37</v>
      </c>
      <c r="C54" s="9">
        <f>IFERROR('Data Sheet'!B60,0)</f>
        <v>2102.1</v>
      </c>
      <c r="D54" s="9">
        <f>IFERROR('Data Sheet'!C60,0)</f>
        <v>3165.6</v>
      </c>
      <c r="E54" s="9">
        <f>IFERROR('Data Sheet'!D60,0)</f>
        <v>4331.3500000000004</v>
      </c>
      <c r="F54" s="9">
        <f>IFERROR('Data Sheet'!E60,0)</f>
        <v>4212.62</v>
      </c>
      <c r="G54" s="9">
        <f>IFERROR('Data Sheet'!F60,0)</f>
        <v>4345.66</v>
      </c>
      <c r="H54" s="9">
        <f>IFERROR('Data Sheet'!G60,0)</f>
        <v>4433.3999999999996</v>
      </c>
      <c r="I54" s="9">
        <f>IFERROR('Data Sheet'!H60,0)</f>
        <v>4843.3599999999997</v>
      </c>
      <c r="J54" s="9">
        <f>IFERROR('Data Sheet'!I60,0)</f>
        <v>4514.34</v>
      </c>
      <c r="K54" s="9">
        <f>IFERROR('Data Sheet'!J60,0)</f>
        <v>4959.6899999999996</v>
      </c>
      <c r="L54" s="9">
        <f>IFERROR('Data Sheet'!K60,0)</f>
        <v>5089.1000000000004</v>
      </c>
      <c r="N54" t="s">
        <v>143</v>
      </c>
    </row>
    <row r="55" spans="2:14" x14ac:dyDescent="0.3">
      <c r="B55" s="38" t="s">
        <v>81</v>
      </c>
      <c r="C55" s="37">
        <f>IFERROR('Data Sheet'!B61,0)</f>
        <v>13400.36</v>
      </c>
      <c r="D55" s="37">
        <f>IFERROR('Data Sheet'!C61,0)</f>
        <v>15670.42</v>
      </c>
      <c r="E55" s="37">
        <f>IFERROR('Data Sheet'!D61,0)</f>
        <v>21049.49</v>
      </c>
      <c r="F55" s="37">
        <f>IFERROR('Data Sheet'!E61,0)</f>
        <v>20868.939999999999</v>
      </c>
      <c r="G55" s="37">
        <f>IFERROR('Data Sheet'!F61,0)</f>
        <v>22672.9</v>
      </c>
      <c r="H55" s="37">
        <f>IFERROR('Data Sheet'!G61,0)</f>
        <v>23761.91</v>
      </c>
      <c r="I55" s="37">
        <f>IFERROR('Data Sheet'!H61,0)</f>
        <v>23422.79</v>
      </c>
      <c r="J55" s="37">
        <f>IFERROR('Data Sheet'!I61,0)</f>
        <v>24855.279999999999</v>
      </c>
      <c r="K55" s="37">
        <f>IFERROR('Data Sheet'!J61,0)</f>
        <v>26857.16</v>
      </c>
      <c r="L55" s="37">
        <f>IFERROR('Data Sheet'!K61,0)</f>
        <v>29300</v>
      </c>
    </row>
    <row r="56" spans="2:14" x14ac:dyDescent="0.3">
      <c r="B56" s="1"/>
    </row>
    <row r="57" spans="2:14" x14ac:dyDescent="0.3">
      <c r="B57" s="4" t="s">
        <v>82</v>
      </c>
      <c r="C57" s="9">
        <f>IFERROR('Data Sheet'!B62,0)</f>
        <v>6496.47</v>
      </c>
      <c r="D57" s="9">
        <f>IFERROR('Data Sheet'!C62,0)</f>
        <v>6829.64</v>
      </c>
      <c r="E57" s="9">
        <f>IFERROR('Data Sheet'!D62,0)</f>
        <v>9368.32</v>
      </c>
      <c r="F57" s="9">
        <f>IFERROR('Data Sheet'!E62,0)</f>
        <v>9491.98</v>
      </c>
      <c r="G57" s="9">
        <f>IFERROR('Data Sheet'!F62,0)</f>
        <v>9950.17</v>
      </c>
      <c r="H57" s="9">
        <f>IFERROR('Data Sheet'!G62,0)</f>
        <v>9608.36</v>
      </c>
      <c r="I57" s="9">
        <f>IFERROR('Data Sheet'!H62,0)</f>
        <v>9682.89</v>
      </c>
      <c r="J57" s="9">
        <f>IFERROR('Data Sheet'!I62,0)</f>
        <v>9515.52</v>
      </c>
      <c r="K57" s="9">
        <f>IFERROR('Data Sheet'!J62,0)</f>
        <v>9683.33</v>
      </c>
      <c r="L57" s="9">
        <f>IFERROR('Data Sheet'!K62,0)</f>
        <v>9160.48</v>
      </c>
    </row>
    <row r="58" spans="2:14" x14ac:dyDescent="0.3">
      <c r="B58" s="4" t="s">
        <v>15</v>
      </c>
      <c r="C58" s="9">
        <f>IFERROR('Data Sheet'!B63,0)</f>
        <v>441.84</v>
      </c>
      <c r="D58" s="9">
        <f>IFERROR('Data Sheet'!C63,0)</f>
        <v>580.9</v>
      </c>
      <c r="E58" s="9">
        <f>IFERROR('Data Sheet'!D63,0)</f>
        <v>2060.87</v>
      </c>
      <c r="F58" s="9">
        <f>IFERROR('Data Sheet'!E63,0)</f>
        <v>1682.98</v>
      </c>
      <c r="G58" s="9">
        <f>IFERROR('Data Sheet'!F63,0)</f>
        <v>981.33</v>
      </c>
      <c r="H58" s="9">
        <f>IFERROR('Data Sheet'!G63,0)</f>
        <v>676.18</v>
      </c>
      <c r="I58" s="9">
        <f>IFERROR('Data Sheet'!H63,0)</f>
        <v>824.53</v>
      </c>
      <c r="J58" s="9">
        <f>IFERROR('Data Sheet'!I63,0)</f>
        <v>968.89</v>
      </c>
      <c r="K58" s="9">
        <f>IFERROR('Data Sheet'!J63,0)</f>
        <v>766.18</v>
      </c>
      <c r="L58" s="9">
        <f>IFERROR('Data Sheet'!K63,0)</f>
        <v>1093.3</v>
      </c>
    </row>
    <row r="59" spans="2:14" x14ac:dyDescent="0.3">
      <c r="B59" s="4" t="s">
        <v>16</v>
      </c>
      <c r="C59" s="9">
        <f>IFERROR('Data Sheet'!B64,0)</f>
        <v>708.57</v>
      </c>
      <c r="D59" s="9">
        <f>IFERROR('Data Sheet'!C64,0)</f>
        <v>639.78</v>
      </c>
      <c r="E59" s="9">
        <f>IFERROR('Data Sheet'!D64,0)</f>
        <v>758.69</v>
      </c>
      <c r="F59" s="9">
        <f>IFERROR('Data Sheet'!E64,0)</f>
        <v>973.01</v>
      </c>
      <c r="G59" s="9">
        <f>IFERROR('Data Sheet'!F64,0)</f>
        <v>1258.8399999999999</v>
      </c>
      <c r="H59" s="9">
        <f>IFERROR('Data Sheet'!G64,0)</f>
        <v>2554.14</v>
      </c>
      <c r="I59" s="9">
        <f>IFERROR('Data Sheet'!H64,0)</f>
        <v>1471.02</v>
      </c>
      <c r="J59" s="9">
        <f>IFERROR('Data Sheet'!I64,0)</f>
        <v>2710.05</v>
      </c>
      <c r="K59" s="9">
        <f>IFERROR('Data Sheet'!J64,0)</f>
        <v>2550.6</v>
      </c>
      <c r="L59" s="9">
        <f>IFERROR('Data Sheet'!K64,0)</f>
        <v>3662.38</v>
      </c>
    </row>
    <row r="60" spans="2:14" x14ac:dyDescent="0.3">
      <c r="B60" s="4" t="s">
        <v>38</v>
      </c>
      <c r="C60" s="9">
        <f>IFERROR(SUM('Data Sheet'!B65-SUM('Data Sheet'!B67:B69)),0)</f>
        <v>1043.5699999999988</v>
      </c>
      <c r="D60" s="9">
        <f>IFERROR(SUM('Data Sheet'!C65-SUM('Data Sheet'!C67:C69)),0)</f>
        <v>1277.5</v>
      </c>
      <c r="E60" s="9">
        <f>IFERROR(SUM('Data Sheet'!D65-SUM('Data Sheet'!D67:D69)),0)</f>
        <v>1825.8900000000012</v>
      </c>
      <c r="F60" s="9">
        <f>IFERROR(SUM('Data Sheet'!E65-SUM('Data Sheet'!E67:E69)),0)</f>
        <v>2048.4299999999994</v>
      </c>
      <c r="G60" s="9">
        <f>IFERROR(SUM('Data Sheet'!F65-SUM('Data Sheet'!F67:F69)),0)</f>
        <v>2369.8000000000002</v>
      </c>
      <c r="H60" s="9">
        <f>IFERROR(SUM('Data Sheet'!G65-SUM('Data Sheet'!G67:G69)),0)</f>
        <v>2188.869999999999</v>
      </c>
      <c r="I60" s="9">
        <f>IFERROR(SUM('Data Sheet'!H65-SUM('Data Sheet'!H67:H69)),0)</f>
        <v>2171.5300000000007</v>
      </c>
      <c r="J60" s="9">
        <f>IFERROR(SUM('Data Sheet'!I65-SUM('Data Sheet'!I67:I69)),0)</f>
        <v>2144.7299999999996</v>
      </c>
      <c r="K60" s="9">
        <f>IFERROR(SUM('Data Sheet'!J65-SUM('Data Sheet'!J67:J69)),0)</f>
        <v>3153.8899999999994</v>
      </c>
      <c r="L60" s="9">
        <f>IFERROR(SUM('Data Sheet'!K65-SUM('Data Sheet'!K67:K69)),0)</f>
        <v>4605.7900000000009</v>
      </c>
    </row>
    <row r="61" spans="2:14" x14ac:dyDescent="0.3">
      <c r="B61" s="38" t="s">
        <v>84</v>
      </c>
      <c r="C61" s="37">
        <f>IFERROR(SUM(C57:C60),0)</f>
        <v>8690.4499999999989</v>
      </c>
      <c r="D61" s="37">
        <f t="shared" ref="D61:L61" si="18">IFERROR(SUM(D57:D60),0)</f>
        <v>9327.82</v>
      </c>
      <c r="E61" s="37">
        <f t="shared" si="18"/>
        <v>14013.77</v>
      </c>
      <c r="F61" s="37">
        <f t="shared" si="18"/>
        <v>14196.399999999998</v>
      </c>
      <c r="G61" s="37">
        <f t="shared" si="18"/>
        <v>14560.14</v>
      </c>
      <c r="H61" s="37">
        <f t="shared" si="18"/>
        <v>15027.55</v>
      </c>
      <c r="I61" s="37">
        <f t="shared" si="18"/>
        <v>14149.970000000001</v>
      </c>
      <c r="J61" s="37">
        <f t="shared" si="18"/>
        <v>15339.189999999999</v>
      </c>
      <c r="K61" s="37">
        <f t="shared" si="18"/>
        <v>16154</v>
      </c>
      <c r="L61" s="37">
        <f t="shared" si="18"/>
        <v>18521.95</v>
      </c>
    </row>
    <row r="62" spans="2:14" x14ac:dyDescent="0.3">
      <c r="B62" s="1"/>
    </row>
    <row r="63" spans="2:14" x14ac:dyDescent="0.3">
      <c r="B63" s="4" t="s">
        <v>43</v>
      </c>
      <c r="C63" s="9">
        <f>IFERROR('Data Sheet'!B67,0)</f>
        <v>1638.89</v>
      </c>
      <c r="D63" s="9">
        <f>IFERROR('Data Sheet'!C67,0)</f>
        <v>1997.72</v>
      </c>
      <c r="E63" s="9">
        <f>IFERROR('Data Sheet'!D67,0)</f>
        <v>2356.27</v>
      </c>
      <c r="F63" s="9">
        <f>IFERROR('Data Sheet'!E67,0)</f>
        <v>2563.0500000000002</v>
      </c>
      <c r="G63" s="9">
        <f>IFERROR('Data Sheet'!F67,0)</f>
        <v>3102.45</v>
      </c>
      <c r="H63" s="9">
        <f>IFERROR('Data Sheet'!G67,0)</f>
        <v>4150.72</v>
      </c>
      <c r="I63" s="9">
        <f>IFERROR('Data Sheet'!H67,0)</f>
        <v>3891.31</v>
      </c>
      <c r="J63" s="9">
        <f>IFERROR('Data Sheet'!I67,0)</f>
        <v>3445.68</v>
      </c>
      <c r="K63" s="9">
        <f>IFERROR('Data Sheet'!J67,0)</f>
        <v>3424.44</v>
      </c>
      <c r="L63" s="9">
        <f>IFERROR('Data Sheet'!K67,0)</f>
        <v>4057</v>
      </c>
    </row>
    <row r="64" spans="2:14" x14ac:dyDescent="0.3">
      <c r="B64" s="4" t="s">
        <v>30</v>
      </c>
      <c r="C64" s="9">
        <f>IFERROR('Data Sheet'!B68,0)</f>
        <v>2895.26</v>
      </c>
      <c r="D64" s="9">
        <f>IFERROR('Data Sheet'!C68,0)</f>
        <v>3780.62</v>
      </c>
      <c r="E64" s="9">
        <f>IFERROR('Data Sheet'!D68,0)</f>
        <v>3808.05</v>
      </c>
      <c r="F64" s="9">
        <f>IFERROR('Data Sheet'!E68,0)</f>
        <v>3485.28</v>
      </c>
      <c r="G64" s="9">
        <f>IFERROR('Data Sheet'!F68,0)</f>
        <v>4044.7</v>
      </c>
      <c r="H64" s="9">
        <f>IFERROR('Data Sheet'!G68,0)</f>
        <v>3964.83</v>
      </c>
      <c r="I64" s="9">
        <f>IFERROR('Data Sheet'!H68,0)</f>
        <v>4377.6000000000004</v>
      </c>
      <c r="J64" s="9">
        <f>IFERROR('Data Sheet'!I68,0)</f>
        <v>4669.18</v>
      </c>
      <c r="K64" s="9">
        <f>IFERROR('Data Sheet'!J68,0)</f>
        <v>5350.24</v>
      </c>
      <c r="L64" s="9">
        <f>IFERROR('Data Sheet'!K68,0)</f>
        <v>5156.43</v>
      </c>
    </row>
    <row r="65" spans="2:15" x14ac:dyDescent="0.3">
      <c r="B65" s="3" t="s">
        <v>52</v>
      </c>
      <c r="C65" s="9">
        <f>IFERROR('Data Sheet'!B69,0)</f>
        <v>175.76</v>
      </c>
      <c r="D65" s="9">
        <f>IFERROR('Data Sheet'!C69,0)</f>
        <v>564.26</v>
      </c>
      <c r="E65" s="9">
        <f>IFERROR('Data Sheet'!D69,0)</f>
        <v>871.4</v>
      </c>
      <c r="F65" s="9">
        <f>IFERROR('Data Sheet'!E69,0)</f>
        <v>624.21</v>
      </c>
      <c r="G65" s="9">
        <f>IFERROR('Data Sheet'!F69,0)</f>
        <v>965.61</v>
      </c>
      <c r="H65" s="9">
        <f>IFERROR('Data Sheet'!G69,0)</f>
        <v>618.80999999999995</v>
      </c>
      <c r="I65" s="9">
        <f>IFERROR('Data Sheet'!H69,0)</f>
        <v>1003.91</v>
      </c>
      <c r="J65" s="9">
        <f>IFERROR('Data Sheet'!I69,0)</f>
        <v>1401.23</v>
      </c>
      <c r="K65" s="9">
        <f>IFERROR('Data Sheet'!J69,0)</f>
        <v>1928.48</v>
      </c>
      <c r="L65" s="9">
        <f>IFERROR('Data Sheet'!K69,0)</f>
        <v>1564.62</v>
      </c>
    </row>
    <row r="66" spans="2:15" x14ac:dyDescent="0.3">
      <c r="B66" s="39" t="s">
        <v>85</v>
      </c>
      <c r="C66" s="36">
        <f>IFERROR(SUM(C63:C65),0)</f>
        <v>4709.9100000000008</v>
      </c>
      <c r="D66" s="36">
        <f t="shared" ref="D66:L66" si="19">IFERROR(SUM(D63:D65),0)</f>
        <v>6342.6</v>
      </c>
      <c r="E66" s="36">
        <f t="shared" si="19"/>
        <v>7035.7199999999993</v>
      </c>
      <c r="F66" s="36">
        <f t="shared" si="19"/>
        <v>6672.54</v>
      </c>
      <c r="G66" s="36">
        <f t="shared" si="19"/>
        <v>8112.7599999999993</v>
      </c>
      <c r="H66" s="36">
        <f t="shared" si="19"/>
        <v>8734.36</v>
      </c>
      <c r="I66" s="36">
        <f t="shared" si="19"/>
        <v>9272.82</v>
      </c>
      <c r="J66" s="36">
        <f t="shared" si="19"/>
        <v>9516.09</v>
      </c>
      <c r="K66" s="36">
        <f t="shared" si="19"/>
        <v>10703.16</v>
      </c>
      <c r="L66" s="36">
        <f t="shared" si="19"/>
        <v>10778.05</v>
      </c>
    </row>
    <row r="67" spans="2:15" x14ac:dyDescent="0.3">
      <c r="B67" s="19"/>
      <c r="C67" s="2"/>
      <c r="D67" s="2"/>
      <c r="E67" s="2"/>
      <c r="F67" s="2"/>
      <c r="G67" s="2"/>
      <c r="H67" s="2"/>
      <c r="I67" s="2"/>
      <c r="J67" s="2"/>
      <c r="K67" s="2"/>
      <c r="L67" s="2"/>
    </row>
    <row r="68" spans="2:15" x14ac:dyDescent="0.3">
      <c r="B68" s="39" t="s">
        <v>83</v>
      </c>
      <c r="C68" s="37">
        <f>IFERROR(SUM(C61,C66),0)</f>
        <v>13400.36</v>
      </c>
      <c r="D68" s="37">
        <f t="shared" ref="D68:L68" si="20">IFERROR(SUM(D61,D66),0)</f>
        <v>15670.42</v>
      </c>
      <c r="E68" s="37">
        <f t="shared" si="20"/>
        <v>21049.489999999998</v>
      </c>
      <c r="F68" s="37">
        <f t="shared" si="20"/>
        <v>20868.939999999999</v>
      </c>
      <c r="G68" s="37">
        <f t="shared" si="20"/>
        <v>22672.899999999998</v>
      </c>
      <c r="H68" s="37">
        <f t="shared" si="20"/>
        <v>23761.91</v>
      </c>
      <c r="I68" s="37">
        <f t="shared" si="20"/>
        <v>23422.79</v>
      </c>
      <c r="J68" s="37">
        <f t="shared" si="20"/>
        <v>24855.279999999999</v>
      </c>
      <c r="K68" s="37">
        <f t="shared" si="20"/>
        <v>26857.16</v>
      </c>
      <c r="L68" s="37">
        <f t="shared" si="20"/>
        <v>29300</v>
      </c>
    </row>
    <row r="70" spans="2:15" x14ac:dyDescent="0.3">
      <c r="B70" s="20" t="s">
        <v>86</v>
      </c>
      <c r="C70" s="10" t="b">
        <f>C68=C55</f>
        <v>1</v>
      </c>
      <c r="D70" s="10" t="b">
        <f t="shared" ref="D70:L70" si="21">D68=D55</f>
        <v>1</v>
      </c>
      <c r="E70" s="10" t="b">
        <f t="shared" si="21"/>
        <v>1</v>
      </c>
      <c r="F70" s="10" t="b">
        <f t="shared" si="21"/>
        <v>1</v>
      </c>
      <c r="G70" s="10" t="b">
        <f t="shared" si="21"/>
        <v>1</v>
      </c>
      <c r="H70" s="10" t="b">
        <f t="shared" si="21"/>
        <v>1</v>
      </c>
      <c r="I70" s="10" t="b">
        <f t="shared" si="21"/>
        <v>1</v>
      </c>
      <c r="J70" s="10" t="b">
        <f t="shared" si="21"/>
        <v>1</v>
      </c>
      <c r="K70" s="10" t="b">
        <f t="shared" si="21"/>
        <v>1</v>
      </c>
      <c r="L70" s="10" t="b">
        <f t="shared" si="21"/>
        <v>1</v>
      </c>
    </row>
    <row r="71" spans="2:15" x14ac:dyDescent="0.3">
      <c r="B71" s="20"/>
      <c r="C71" s="10"/>
      <c r="D71" s="10"/>
      <c r="E71" s="10"/>
      <c r="F71" s="10"/>
      <c r="G71" s="10"/>
      <c r="H71" s="10"/>
      <c r="I71" s="10"/>
      <c r="J71" s="10"/>
      <c r="K71" s="10"/>
      <c r="L71" s="10"/>
    </row>
    <row r="72" spans="2:15" ht="7.8" customHeight="1" x14ac:dyDescent="0.3">
      <c r="B72" s="59"/>
      <c r="C72" s="75"/>
      <c r="D72" s="75"/>
      <c r="E72" s="75"/>
      <c r="F72" s="75"/>
      <c r="G72" s="75"/>
      <c r="H72" s="75"/>
      <c r="I72" s="75"/>
      <c r="J72" s="75"/>
      <c r="K72" s="75"/>
      <c r="L72" s="75"/>
    </row>
    <row r="73" spans="2:15" x14ac:dyDescent="0.3">
      <c r="B73" s="20"/>
      <c r="C73" s="10"/>
      <c r="D73" s="10"/>
      <c r="E73" s="10"/>
      <c r="F73" s="10"/>
      <c r="G73" s="10"/>
      <c r="H73" s="10"/>
      <c r="I73" s="10"/>
      <c r="J73" s="10"/>
      <c r="K73" s="10"/>
      <c r="L73" s="10"/>
    </row>
    <row r="74" spans="2:15" x14ac:dyDescent="0.3">
      <c r="B74" s="284" t="s">
        <v>492</v>
      </c>
      <c r="C74" s="284"/>
      <c r="D74" s="284"/>
      <c r="E74" s="284"/>
      <c r="F74" s="284"/>
      <c r="G74" s="284"/>
      <c r="H74" s="284"/>
      <c r="I74" s="284"/>
      <c r="J74" s="284"/>
      <c r="K74" s="284"/>
      <c r="L74" s="284"/>
    </row>
    <row r="75" spans="2:15" x14ac:dyDescent="0.3">
      <c r="B75" s="68" t="s">
        <v>55</v>
      </c>
      <c r="C75" s="69">
        <v>41729</v>
      </c>
      <c r="D75" s="69">
        <v>42094</v>
      </c>
      <c r="E75" s="69">
        <v>42460</v>
      </c>
      <c r="F75" s="69">
        <v>42825</v>
      </c>
      <c r="G75" s="69">
        <v>43190</v>
      </c>
      <c r="H75" s="69">
        <v>43555</v>
      </c>
      <c r="I75" s="69">
        <v>43921</v>
      </c>
      <c r="J75" s="69">
        <v>44286</v>
      </c>
      <c r="K75" s="69">
        <v>44651</v>
      </c>
      <c r="L75" s="69">
        <v>45016</v>
      </c>
    </row>
    <row r="77" spans="2:15" x14ac:dyDescent="0.3">
      <c r="B77" s="18" t="s">
        <v>110</v>
      </c>
      <c r="C77" s="14"/>
      <c r="D77" s="14"/>
      <c r="E77" s="14"/>
      <c r="F77" s="14"/>
      <c r="G77" s="14"/>
      <c r="H77" s="14"/>
      <c r="I77" s="14"/>
      <c r="J77" s="14"/>
      <c r="K77" s="14"/>
      <c r="L77" s="14"/>
    </row>
    <row r="78" spans="2:15" x14ac:dyDescent="0.3">
      <c r="B78" s="2" t="s">
        <v>111</v>
      </c>
    </row>
    <row r="79" spans="2:15" x14ac:dyDescent="0.3">
      <c r="B79" t="s">
        <v>87</v>
      </c>
      <c r="C79" s="9">
        <f>IFERROR('Raw CF Data'!C7,0)</f>
        <v>2433</v>
      </c>
      <c r="D79" s="9">
        <f>IFERROR('Raw CF Data'!D7,0)</f>
        <v>2284</v>
      </c>
      <c r="E79" s="9">
        <f>IFERROR('Raw CF Data'!E7,0)</f>
        <v>2678</v>
      </c>
      <c r="F79" s="9">
        <f>IFERROR('Raw CF Data'!F7,0)</f>
        <v>2597</v>
      </c>
      <c r="G79" s="9">
        <f>IFERROR('Raw CF Data'!G7,0)</f>
        <v>2963</v>
      </c>
      <c r="H79" s="9">
        <f>IFERROR('Raw CF Data'!H7,0)</f>
        <v>3348</v>
      </c>
      <c r="I79" s="9">
        <f>IFERROR('Raw CF Data'!I7,0)</f>
        <v>3544</v>
      </c>
      <c r="J79" s="9">
        <f>IFERROR('Raw CF Data'!J7,0)</f>
        <v>4421</v>
      </c>
      <c r="K79" s="9">
        <f>IFERROR('Raw CF Data'!K7,0)</f>
        <v>4643</v>
      </c>
      <c r="L79" s="9">
        <f>IFERROR('Raw CF Data'!L7,0)</f>
        <v>5099</v>
      </c>
    </row>
    <row r="80" spans="2:15" x14ac:dyDescent="0.3">
      <c r="B80" t="s">
        <v>43</v>
      </c>
      <c r="C80" s="9">
        <f>IFERROR('Raw CF Data'!C8,0)</f>
        <v>-251</v>
      </c>
      <c r="D80" s="9">
        <f>IFERROR('Raw CF Data'!D8,0)</f>
        <v>-443</v>
      </c>
      <c r="E80" s="9">
        <f>IFERROR('Raw CF Data'!E8,0)</f>
        <v>77</v>
      </c>
      <c r="F80" s="9">
        <f>IFERROR('Raw CF Data'!F8,0)</f>
        <v>-288</v>
      </c>
      <c r="G80" s="9">
        <f>IFERROR('Raw CF Data'!G8,0)</f>
        <v>-855</v>
      </c>
      <c r="H80" s="9">
        <f>IFERROR('Raw CF Data'!H8,0)</f>
        <v>-1015</v>
      </c>
      <c r="I80" s="9">
        <f>IFERROR('Raw CF Data'!I8,0)</f>
        <v>217</v>
      </c>
      <c r="J80" s="9">
        <f>IFERROR('Raw CF Data'!J8,0)</f>
        <v>423</v>
      </c>
      <c r="K80" s="9">
        <f>IFERROR('Raw CF Data'!K8,0)</f>
        <v>81</v>
      </c>
      <c r="L80" s="9">
        <f>IFERROR('Raw CF Data'!L8,0)</f>
        <v>-652</v>
      </c>
      <c r="O80" t="s">
        <v>143</v>
      </c>
    </row>
    <row r="81" spans="2:12" x14ac:dyDescent="0.3">
      <c r="B81" t="s">
        <v>30</v>
      </c>
      <c r="C81" s="9">
        <f>IFERROR('Raw CF Data'!C9,0)</f>
        <v>-175</v>
      </c>
      <c r="D81" s="9">
        <f>IFERROR('Raw CF Data'!D9,0)</f>
        <v>-833</v>
      </c>
      <c r="E81" s="9">
        <f>IFERROR('Raw CF Data'!E9,0)</f>
        <v>-65</v>
      </c>
      <c r="F81" s="9">
        <f>IFERROR('Raw CF Data'!F9,0)</f>
        <v>323</v>
      </c>
      <c r="G81" s="9">
        <f>IFERROR('Raw CF Data'!G9,0)</f>
        <v>-559</v>
      </c>
      <c r="H81" s="9">
        <f>IFERROR('Raw CF Data'!H9,0)</f>
        <v>104</v>
      </c>
      <c r="I81" s="9">
        <f>IFERROR('Raw CF Data'!I9,0)</f>
        <v>-332</v>
      </c>
      <c r="J81" s="9">
        <f>IFERROR('Raw CF Data'!J9,0)</f>
        <v>-254</v>
      </c>
      <c r="K81" s="9">
        <f>IFERROR('Raw CF Data'!K9,0)</f>
        <v>-621</v>
      </c>
      <c r="L81" s="9">
        <f>IFERROR('Raw CF Data'!L9,0)</f>
        <v>111</v>
      </c>
    </row>
    <row r="82" spans="2:12" x14ac:dyDescent="0.3">
      <c r="B82" t="s">
        <v>88</v>
      </c>
      <c r="C82" s="9">
        <f>IFERROR('Raw CF Data'!C10,0)</f>
        <v>-135</v>
      </c>
      <c r="D82" s="9">
        <f>IFERROR('Raw CF Data'!D10,0)</f>
        <v>557</v>
      </c>
      <c r="E82" s="9">
        <f>IFERROR('Raw CF Data'!E10,0)</f>
        <v>-441</v>
      </c>
      <c r="F82" s="9">
        <f>IFERROR('Raw CF Data'!F10,0)</f>
        <v>201</v>
      </c>
      <c r="G82" s="9">
        <f>IFERROR('Raw CF Data'!G10,0)</f>
        <v>636</v>
      </c>
      <c r="H82" s="9">
        <f>IFERROR('Raw CF Data'!H10,0)</f>
        <v>-153</v>
      </c>
      <c r="I82" s="9">
        <f>IFERROR('Raw CF Data'!I10,0)</f>
        <v>487</v>
      </c>
      <c r="J82" s="9">
        <f>IFERROR('Raw CF Data'!J10,0)</f>
        <v>203</v>
      </c>
      <c r="K82" s="9">
        <f>IFERROR('Raw CF Data'!K10,0)</f>
        <v>362</v>
      </c>
      <c r="L82" s="9">
        <f>IFERROR('Raw CF Data'!L10,0)</f>
        <v>-18</v>
      </c>
    </row>
    <row r="83" spans="2:12" x14ac:dyDescent="0.3">
      <c r="B83" t="s">
        <v>89</v>
      </c>
      <c r="C83" s="9">
        <f>IFERROR('Raw CF Data'!C11,0)</f>
        <v>-561</v>
      </c>
      <c r="D83" s="9">
        <f>IFERROR('Raw CF Data'!D11,0)</f>
        <v>-719</v>
      </c>
      <c r="E83" s="9">
        <f>IFERROR('Raw CF Data'!E11,0)</f>
        <v>-429</v>
      </c>
      <c r="F83" s="9">
        <f>IFERROR('Raw CF Data'!F11,0)</f>
        <v>235</v>
      </c>
      <c r="G83" s="9">
        <f>IFERROR('Raw CF Data'!G11,0)</f>
        <v>-778</v>
      </c>
      <c r="H83" s="9">
        <f>IFERROR('Raw CF Data'!H11,0)</f>
        <v>-1064</v>
      </c>
      <c r="I83" s="9">
        <f>IFERROR('Raw CF Data'!I11,0)</f>
        <v>373</v>
      </c>
      <c r="J83" s="9">
        <f>IFERROR('Raw CF Data'!J11,0)</f>
        <v>372</v>
      </c>
      <c r="K83" s="9">
        <f>IFERROR('Raw CF Data'!K11,0)</f>
        <v>-177</v>
      </c>
      <c r="L83" s="9">
        <f>IFERROR('Raw CF Data'!L11,0)</f>
        <v>-559</v>
      </c>
    </row>
    <row r="84" spans="2:12" ht="13.2" customHeight="1" x14ac:dyDescent="0.3">
      <c r="B84" t="s">
        <v>90</v>
      </c>
      <c r="C84" s="9">
        <f>IFERROR('Raw CF Data'!C12,0)</f>
        <v>-308</v>
      </c>
      <c r="D84" s="9">
        <f>IFERROR('Raw CF Data'!D12,0)</f>
        <v>-392</v>
      </c>
      <c r="E84" s="9">
        <f>IFERROR('Raw CF Data'!E12,0)</f>
        <v>-508</v>
      </c>
      <c r="F84" s="9">
        <f>IFERROR('Raw CF Data'!F12,0)</f>
        <v>-450</v>
      </c>
      <c r="G84" s="9">
        <f>IFERROR('Raw CF Data'!G12,0)</f>
        <v>-722</v>
      </c>
      <c r="H84" s="9">
        <f>IFERROR('Raw CF Data'!H12,0)</f>
        <v>-593</v>
      </c>
      <c r="I84" s="9">
        <f>IFERROR('Raw CF Data'!I12,0)</f>
        <v>-848</v>
      </c>
      <c r="J84" s="9">
        <f>IFERROR('Raw CF Data'!J12,0)</f>
        <v>-1037</v>
      </c>
      <c r="K84" s="9">
        <f>IFERROR('Raw CF Data'!K12,0)</f>
        <v>-1140</v>
      </c>
      <c r="L84" s="9">
        <f>IFERROR('Raw CF Data'!L12,0)</f>
        <v>-1302</v>
      </c>
    </row>
    <row r="85" spans="2:12" x14ac:dyDescent="0.3">
      <c r="B85" s="36" t="s">
        <v>18</v>
      </c>
      <c r="C85" s="37">
        <f t="shared" ref="C85:L85" si="22">IFERROR(SUM(C79:C84),0)</f>
        <v>1003</v>
      </c>
      <c r="D85" s="37">
        <f t="shared" si="22"/>
        <v>454</v>
      </c>
      <c r="E85" s="37">
        <f t="shared" si="22"/>
        <v>1312</v>
      </c>
      <c r="F85" s="37">
        <f t="shared" si="22"/>
        <v>2618</v>
      </c>
      <c r="G85" s="37">
        <f t="shared" si="22"/>
        <v>685</v>
      </c>
      <c r="H85" s="37">
        <f t="shared" si="22"/>
        <v>627</v>
      </c>
      <c r="I85" s="37">
        <f t="shared" si="22"/>
        <v>3441</v>
      </c>
      <c r="J85" s="37">
        <f t="shared" si="22"/>
        <v>4128</v>
      </c>
      <c r="K85" s="37">
        <f t="shared" si="22"/>
        <v>3148</v>
      </c>
      <c r="L85" s="37">
        <f t="shared" si="22"/>
        <v>2679</v>
      </c>
    </row>
    <row r="87" spans="2:12" x14ac:dyDescent="0.3">
      <c r="B87" s="2" t="s">
        <v>112</v>
      </c>
    </row>
    <row r="88" spans="2:12" x14ac:dyDescent="0.3">
      <c r="B88" t="s">
        <v>91</v>
      </c>
      <c r="C88" s="9">
        <f>IFERROR('Raw CF Data'!C15,0)</f>
        <v>-570</v>
      </c>
      <c r="D88" s="9">
        <f>IFERROR('Raw CF Data'!D15,0)</f>
        <v>-646</v>
      </c>
      <c r="E88" s="9">
        <f>IFERROR('Raw CF Data'!E15,0)</f>
        <v>-1077</v>
      </c>
      <c r="F88" s="9">
        <f>IFERROR('Raw CF Data'!F15,0)</f>
        <v>-1136</v>
      </c>
      <c r="G88" s="9">
        <f>IFERROR('Raw CF Data'!G15,0)</f>
        <v>-816</v>
      </c>
      <c r="H88" s="9">
        <f>IFERROR('Raw CF Data'!H15,0)</f>
        <v>-527</v>
      </c>
      <c r="I88" s="9">
        <f>IFERROR('Raw CF Data'!I15,0)</f>
        <v>-1000</v>
      </c>
      <c r="J88" s="9">
        <f>IFERROR('Raw CF Data'!J15,0)</f>
        <v>-819</v>
      </c>
      <c r="K88" s="9">
        <f>IFERROR('Raw CF Data'!K15,0)</f>
        <v>-701</v>
      </c>
      <c r="L88" s="9">
        <f>IFERROR('Raw CF Data'!L15,0)</f>
        <v>-1183</v>
      </c>
    </row>
    <row r="89" spans="2:12" x14ac:dyDescent="0.3">
      <c r="B89" t="s">
        <v>92</v>
      </c>
      <c r="C89" s="9">
        <f>IFERROR('Raw CF Data'!C16,0)</f>
        <v>3</v>
      </c>
      <c r="D89" s="9">
        <f>IFERROR('Raw CF Data'!D16,0)</f>
        <v>21</v>
      </c>
      <c r="E89" s="9">
        <f>IFERROR('Raw CF Data'!E16,0)</f>
        <v>24</v>
      </c>
      <c r="F89" s="9">
        <f>IFERROR('Raw CF Data'!F16,0)</f>
        <v>38</v>
      </c>
      <c r="G89" s="9">
        <f>IFERROR('Raw CF Data'!G16,0)</f>
        <v>77</v>
      </c>
      <c r="H89" s="9">
        <f>IFERROR('Raw CF Data'!H16,0)</f>
        <v>23</v>
      </c>
      <c r="I89" s="9">
        <f>IFERROR('Raw CF Data'!I16,0)</f>
        <v>14</v>
      </c>
      <c r="J89" s="9">
        <f>IFERROR('Raw CF Data'!J16,0)</f>
        <v>28</v>
      </c>
      <c r="K89" s="9">
        <f>IFERROR('Raw CF Data'!K16,0)</f>
        <v>20</v>
      </c>
      <c r="L89" s="9">
        <f>IFERROR('Raw CF Data'!L16,0)</f>
        <v>47</v>
      </c>
    </row>
    <row r="90" spans="2:12" x14ac:dyDescent="0.3">
      <c r="B90" t="s">
        <v>93</v>
      </c>
      <c r="C90" s="9">
        <f>IFERROR('Raw CF Data'!C17,0)</f>
        <v>-18029</v>
      </c>
      <c r="D90" s="9">
        <f>IFERROR('Raw CF Data'!D17,0)</f>
        <v>-20564</v>
      </c>
      <c r="E90" s="9">
        <f>IFERROR('Raw CF Data'!E17,0)</f>
        <v>-15940</v>
      </c>
      <c r="F90" s="9">
        <f>IFERROR('Raw CF Data'!F17,0)</f>
        <v>-198</v>
      </c>
      <c r="G90" s="9">
        <f>IFERROR('Raw CF Data'!G17,0)</f>
        <v>-190</v>
      </c>
      <c r="H90" s="9">
        <f>IFERROR('Raw CF Data'!H17,0)</f>
        <v>-910</v>
      </c>
      <c r="I90" s="9">
        <f>IFERROR('Raw CF Data'!I17,0)</f>
        <v>0</v>
      </c>
      <c r="J90" s="9">
        <f>IFERROR('Raw CF Data'!J17,0)</f>
        <v>-1245</v>
      </c>
      <c r="K90" s="9">
        <f>IFERROR('Raw CF Data'!K17,0)</f>
        <v>0</v>
      </c>
      <c r="L90" s="9">
        <f>IFERROR('Raw CF Data'!L17,0)</f>
        <v>-888</v>
      </c>
    </row>
    <row r="91" spans="2:12" x14ac:dyDescent="0.3">
      <c r="B91" t="s">
        <v>94</v>
      </c>
      <c r="C91" s="9">
        <f>IFERROR('Raw CF Data'!C18,0)</f>
        <v>19842</v>
      </c>
      <c r="D91" s="9">
        <f>IFERROR('Raw CF Data'!D18,0)</f>
        <v>20525</v>
      </c>
      <c r="E91" s="9">
        <f>IFERROR('Raw CF Data'!E18,0)</f>
        <v>15950</v>
      </c>
      <c r="F91" s="9">
        <f>IFERROR('Raw CF Data'!F18,0)</f>
        <v>137</v>
      </c>
      <c r="G91" s="9">
        <f>IFERROR('Raw CF Data'!G18,0)</f>
        <v>10</v>
      </c>
      <c r="H91" s="9">
        <f>IFERROR('Raw CF Data'!H18,0)</f>
        <v>84</v>
      </c>
      <c r="I91" s="9">
        <f>IFERROR('Raw CF Data'!I18,0)</f>
        <v>1210</v>
      </c>
      <c r="J91" s="9">
        <f>IFERROR('Raw CF Data'!J18,0)</f>
        <v>0</v>
      </c>
      <c r="K91" s="9">
        <f>IFERROR('Raw CF Data'!K18,0)</f>
        <v>171</v>
      </c>
      <c r="L91" s="9">
        <f>IFERROR('Raw CF Data'!L18,0)</f>
        <v>0</v>
      </c>
    </row>
    <row r="92" spans="2:12" x14ac:dyDescent="0.3">
      <c r="B92" t="s">
        <v>214</v>
      </c>
      <c r="C92" s="9">
        <f>IFERROR('Raw CF Data'!C19,0)</f>
        <v>0</v>
      </c>
      <c r="D92" s="9">
        <f>IFERROR('Raw CF Data'!D19,0)</f>
        <v>0</v>
      </c>
      <c r="E92" s="9">
        <f>IFERROR('Raw CF Data'!E19,0)</f>
        <v>0</v>
      </c>
      <c r="F92" s="9">
        <f>IFERROR('Raw CF Data'!F19,0)</f>
        <v>0</v>
      </c>
      <c r="G92" s="9">
        <f>IFERROR('Raw CF Data'!G19,0)</f>
        <v>0</v>
      </c>
      <c r="H92" s="9">
        <f>IFERROR('Raw CF Data'!H19,0)</f>
        <v>0</v>
      </c>
      <c r="I92" s="9">
        <f>IFERROR('Raw CF Data'!I19,0)</f>
        <v>0</v>
      </c>
      <c r="J92" s="9">
        <f>IFERROR('Raw CF Data'!J19,0)</f>
        <v>0</v>
      </c>
      <c r="K92" s="9">
        <f>IFERROR('Raw CF Data'!K19,0)</f>
        <v>0</v>
      </c>
      <c r="L92" s="9">
        <f>IFERROR('Raw CF Data'!L19,0)</f>
        <v>0</v>
      </c>
    </row>
    <row r="93" spans="2:12" x14ac:dyDescent="0.3">
      <c r="B93" t="s">
        <v>95</v>
      </c>
      <c r="C93" s="9">
        <f>IFERROR('Raw CF Data'!C20,0)</f>
        <v>19</v>
      </c>
      <c r="D93" s="9">
        <f>IFERROR('Raw CF Data'!D20,0)</f>
        <v>10</v>
      </c>
      <c r="E93" s="9">
        <f>IFERROR('Raw CF Data'!E20,0)</f>
        <v>9</v>
      </c>
      <c r="F93" s="9">
        <f>IFERROR('Raw CF Data'!F20,0)</f>
        <v>12</v>
      </c>
      <c r="G93" s="9">
        <f>IFERROR('Raw CF Data'!G20,0)</f>
        <v>30</v>
      </c>
      <c r="H93" s="9">
        <f>IFERROR('Raw CF Data'!H20,0)</f>
        <v>38</v>
      </c>
      <c r="I93" s="9">
        <f>IFERROR('Raw CF Data'!I20,0)</f>
        <v>50</v>
      </c>
      <c r="J93" s="9">
        <f>IFERROR('Raw CF Data'!J20,0)</f>
        <v>41</v>
      </c>
      <c r="K93" s="9">
        <f>IFERROR('Raw CF Data'!K20,0)</f>
        <v>47</v>
      </c>
      <c r="L93" s="9">
        <f>IFERROR('Raw CF Data'!L20,0)</f>
        <v>114</v>
      </c>
    </row>
    <row r="94" spans="2:12" x14ac:dyDescent="0.3">
      <c r="B94" t="s">
        <v>96</v>
      </c>
      <c r="C94" s="9">
        <f>IFERROR('Raw CF Data'!C21,0)</f>
        <v>74</v>
      </c>
      <c r="D94" s="9">
        <f>IFERROR('Raw CF Data'!D21,0)</f>
        <v>22</v>
      </c>
      <c r="E94" s="9">
        <f>IFERROR('Raw CF Data'!E21,0)</f>
        <v>0</v>
      </c>
      <c r="F94" s="9">
        <f>IFERROR('Raw CF Data'!F21,0)</f>
        <v>0</v>
      </c>
      <c r="G94" s="9">
        <f>IFERROR('Raw CF Data'!G21,0)</f>
        <v>4</v>
      </c>
      <c r="H94" s="9">
        <f>IFERROR('Raw CF Data'!H21,0)</f>
        <v>34</v>
      </c>
      <c r="I94" s="9">
        <f>IFERROR('Raw CF Data'!I21,0)</f>
        <v>0</v>
      </c>
      <c r="J94" s="9">
        <f>IFERROR('Raw CF Data'!J21,0)</f>
        <v>22</v>
      </c>
      <c r="K94" s="9">
        <f>IFERROR('Raw CF Data'!K21,0)</f>
        <v>0</v>
      </c>
      <c r="L94" s="9">
        <f>IFERROR('Raw CF Data'!L21,0)</f>
        <v>0</v>
      </c>
    </row>
    <row r="95" spans="2:12" x14ac:dyDescent="0.3">
      <c r="B95" t="s">
        <v>97</v>
      </c>
      <c r="C95" s="9">
        <f>IFERROR('Raw CF Data'!C22,0)</f>
        <v>-11</v>
      </c>
      <c r="D95" s="9">
        <f>IFERROR('Raw CF Data'!D22,0)</f>
        <v>0</v>
      </c>
      <c r="E95" s="9">
        <f>IFERROR('Raw CF Data'!E22,0)</f>
        <v>-13</v>
      </c>
      <c r="F95" s="9">
        <f>IFERROR('Raw CF Data'!F22,0)</f>
        <v>-3</v>
      </c>
      <c r="G95" s="9">
        <f>IFERROR('Raw CF Data'!G22,0)</f>
        <v>0</v>
      </c>
      <c r="H95" s="9">
        <f>IFERROR('Raw CF Data'!H22,0)</f>
        <v>0</v>
      </c>
      <c r="I95" s="9">
        <f>IFERROR('Raw CF Data'!I22,0)</f>
        <v>0</v>
      </c>
      <c r="J95" s="9">
        <f>IFERROR('Raw CF Data'!J22,0)</f>
        <v>0</v>
      </c>
      <c r="K95" s="9">
        <f>IFERROR('Raw CF Data'!K22,0)</f>
        <v>-18</v>
      </c>
      <c r="L95" s="9">
        <f>IFERROR('Raw CF Data'!L22,0)</f>
        <v>-51</v>
      </c>
    </row>
    <row r="96" spans="2:12" x14ac:dyDescent="0.3">
      <c r="B96" t="s">
        <v>98</v>
      </c>
      <c r="C96" s="9">
        <f>IFERROR('Raw CF Data'!C23,0)</f>
        <v>0</v>
      </c>
      <c r="D96" s="9">
        <f>IFERROR('Raw CF Data'!D23,0)</f>
        <v>0</v>
      </c>
      <c r="E96" s="9">
        <f>IFERROR('Raw CF Data'!E23,0)</f>
        <v>0</v>
      </c>
      <c r="F96" s="9">
        <f>IFERROR('Raw CF Data'!F23,0)</f>
        <v>21</v>
      </c>
      <c r="G96" s="9">
        <f>IFERROR('Raw CF Data'!G23,0)</f>
        <v>143</v>
      </c>
      <c r="H96" s="9">
        <f>IFERROR('Raw CF Data'!H23,0)</f>
        <v>0</v>
      </c>
      <c r="I96" s="9">
        <f>IFERROR('Raw CF Data'!I23,0)</f>
        <v>1</v>
      </c>
      <c r="J96" s="9">
        <f>IFERROR('Raw CF Data'!J23,0)</f>
        <v>3</v>
      </c>
      <c r="K96" s="9">
        <f>IFERROR('Raw CF Data'!K23,0)</f>
        <v>0</v>
      </c>
      <c r="L96" s="9">
        <f>IFERROR('Raw CF Data'!L23,0)</f>
        <v>26</v>
      </c>
    </row>
    <row r="97" spans="2:12" x14ac:dyDescent="0.3">
      <c r="B97" t="s">
        <v>99</v>
      </c>
      <c r="C97" s="9">
        <f>IFERROR('Raw CF Data'!C24,0)</f>
        <v>-2578</v>
      </c>
      <c r="D97" s="9">
        <f>IFERROR('Raw CF Data'!D24,0)</f>
        <v>-314</v>
      </c>
      <c r="E97" s="9">
        <f>IFERROR('Raw CF Data'!E24,0)</f>
        <v>-3482</v>
      </c>
      <c r="F97" s="9">
        <f>IFERROR('Raw CF Data'!F24,0)</f>
        <v>-188</v>
      </c>
      <c r="G97" s="9">
        <f>IFERROR('Raw CF Data'!G24,0)</f>
        <v>-14</v>
      </c>
      <c r="H97" s="9">
        <f>IFERROR('Raw CF Data'!H24,0)</f>
        <v>-421</v>
      </c>
      <c r="I97" s="9">
        <f>IFERROR('Raw CF Data'!I24,0)</f>
        <v>-33</v>
      </c>
      <c r="J97" s="9">
        <f>IFERROR('Raw CF Data'!J24,0)</f>
        <v>-14</v>
      </c>
      <c r="K97" s="9">
        <f>IFERROR('Raw CF Data'!K24,0)</f>
        <v>0</v>
      </c>
      <c r="L97" s="9">
        <f>IFERROR('Raw CF Data'!L24,0)</f>
        <v>0</v>
      </c>
    </row>
    <row r="98" spans="2:12" x14ac:dyDescent="0.3">
      <c r="B98" t="s">
        <v>100</v>
      </c>
      <c r="C98" s="9">
        <f>IFERROR('Raw CF Data'!C25,0)</f>
        <v>0</v>
      </c>
      <c r="D98" s="9">
        <f>IFERROR('Raw CF Data'!D25,0)</f>
        <v>0</v>
      </c>
      <c r="E98" s="9">
        <f>IFERROR('Raw CF Data'!E25,0)</f>
        <v>1</v>
      </c>
      <c r="F98" s="9">
        <f>IFERROR('Raw CF Data'!F25,0)</f>
        <v>0</v>
      </c>
      <c r="G98" s="9">
        <f>IFERROR('Raw CF Data'!G25,0)</f>
        <v>0</v>
      </c>
      <c r="H98" s="9">
        <f>IFERROR('Raw CF Data'!H25,0)</f>
        <v>0</v>
      </c>
      <c r="I98" s="9">
        <f>IFERROR('Raw CF Data'!I25,0)</f>
        <v>0</v>
      </c>
      <c r="J98" s="9">
        <f>IFERROR('Raw CF Data'!J25,0)</f>
        <v>0</v>
      </c>
      <c r="K98" s="9">
        <f>IFERROR('Raw CF Data'!K25,0)</f>
        <v>0</v>
      </c>
      <c r="L98" s="9">
        <f>IFERROR('Raw CF Data'!L25,0)</f>
        <v>0</v>
      </c>
    </row>
    <row r="99" spans="2:12" x14ac:dyDescent="0.3">
      <c r="B99" t="s">
        <v>101</v>
      </c>
      <c r="C99" s="9">
        <f>IFERROR('Raw CF Data'!C26,0)</f>
        <v>-15</v>
      </c>
      <c r="D99" s="9">
        <f>IFERROR('Raw CF Data'!D26,0)</f>
        <v>-3</v>
      </c>
      <c r="E99" s="9">
        <f>IFERROR('Raw CF Data'!E26,0)</f>
        <v>-4</v>
      </c>
      <c r="F99" s="9">
        <f>IFERROR('Raw CF Data'!F26,0)</f>
        <v>13</v>
      </c>
      <c r="G99" s="9">
        <f>IFERROR('Raw CF Data'!G26,0)</f>
        <v>-77</v>
      </c>
      <c r="H99" s="9">
        <f>IFERROR('Raw CF Data'!H26,0)</f>
        <v>-8</v>
      </c>
      <c r="I99" s="9">
        <f>IFERROR('Raw CF Data'!I26,0)</f>
        <v>-128</v>
      </c>
      <c r="J99" s="9">
        <f>IFERROR('Raw CF Data'!J26,0)</f>
        <v>-389</v>
      </c>
      <c r="K99" s="9">
        <f>IFERROR('Raw CF Data'!K26,0)</f>
        <v>-1377</v>
      </c>
      <c r="L99" s="9">
        <f>IFERROR('Raw CF Data'!L26,0)</f>
        <v>-442</v>
      </c>
    </row>
    <row r="100" spans="2:12" x14ac:dyDescent="0.3">
      <c r="B100" s="36" t="s">
        <v>19</v>
      </c>
      <c r="C100" s="37">
        <f>IFERROR(SUM(C88:C99),0)</f>
        <v>-1265</v>
      </c>
      <c r="D100" s="37">
        <f t="shared" ref="D100:L100" si="23">IFERROR(SUM(D88:D99),0)</f>
        <v>-949</v>
      </c>
      <c r="E100" s="37">
        <f t="shared" si="23"/>
        <v>-4532</v>
      </c>
      <c r="F100" s="37">
        <f t="shared" si="23"/>
        <v>-1304</v>
      </c>
      <c r="G100" s="37">
        <f t="shared" si="23"/>
        <v>-833</v>
      </c>
      <c r="H100" s="37">
        <f t="shared" si="23"/>
        <v>-1687</v>
      </c>
      <c r="I100" s="37">
        <f t="shared" si="23"/>
        <v>114</v>
      </c>
      <c r="J100" s="37">
        <f t="shared" si="23"/>
        <v>-2373</v>
      </c>
      <c r="K100" s="37">
        <f t="shared" si="23"/>
        <v>-1858</v>
      </c>
      <c r="L100" s="37">
        <f t="shared" si="23"/>
        <v>-2377</v>
      </c>
    </row>
    <row r="102" spans="2:12" x14ac:dyDescent="0.3">
      <c r="B102" s="2" t="s">
        <v>113</v>
      </c>
    </row>
    <row r="103" spans="2:12" x14ac:dyDescent="0.3">
      <c r="B103" t="s">
        <v>102</v>
      </c>
      <c r="C103" s="9">
        <f>IFERROR('Raw CF Data'!C29,0)</f>
        <v>0</v>
      </c>
      <c r="D103" s="9">
        <f>IFERROR('Raw CF Data'!D29,0)</f>
        <v>0</v>
      </c>
      <c r="E103" s="9">
        <f>IFERROR('Raw CF Data'!E29,0)</f>
        <v>3</v>
      </c>
      <c r="F103" s="9">
        <f>IFERROR('Raw CF Data'!F29,0)</f>
        <v>12</v>
      </c>
      <c r="G103" s="9">
        <f>IFERROR('Raw CF Data'!G29,0)</f>
        <v>0</v>
      </c>
      <c r="H103" s="9">
        <f>IFERROR('Raw CF Data'!H29,0)</f>
        <v>0</v>
      </c>
      <c r="I103" s="9">
        <f>IFERROR('Raw CF Data'!I29,0)</f>
        <v>0</v>
      </c>
      <c r="J103" s="9">
        <f>IFERROR('Raw CF Data'!J29,0)</f>
        <v>0</v>
      </c>
      <c r="K103" s="9">
        <f>IFERROR('Raw CF Data'!K29,0)</f>
        <v>0</v>
      </c>
      <c r="L103" s="9">
        <f>IFERROR('Raw CF Data'!L29,0)</f>
        <v>0</v>
      </c>
    </row>
    <row r="104" spans="2:12" x14ac:dyDescent="0.3">
      <c r="B104" t="s">
        <v>103</v>
      </c>
      <c r="C104" s="9">
        <f>IFERROR('Raw CF Data'!C30,0)</f>
        <v>156</v>
      </c>
      <c r="D104" s="9">
        <f>IFERROR('Raw CF Data'!D30,0)</f>
        <v>508</v>
      </c>
      <c r="E104" s="9">
        <f>IFERROR('Raw CF Data'!E30,0)</f>
        <v>3508</v>
      </c>
      <c r="F104" s="9">
        <f>IFERROR('Raw CF Data'!F30,0)</f>
        <v>3652</v>
      </c>
      <c r="G104" s="9">
        <f>IFERROR('Raw CF Data'!G30,0)</f>
        <v>0</v>
      </c>
      <c r="H104" s="9">
        <f>IFERROR('Raw CF Data'!H30,0)</f>
        <v>48</v>
      </c>
      <c r="I104" s="9">
        <f>IFERROR('Raw CF Data'!I30,0)</f>
        <v>264</v>
      </c>
      <c r="J104" s="9">
        <f>IFERROR('Raw CF Data'!J30,0)</f>
        <v>70</v>
      </c>
      <c r="K104" s="9">
        <f>IFERROR('Raw CF Data'!K30,0)</f>
        <v>35</v>
      </c>
      <c r="L104" s="9">
        <f>IFERROR('Raw CF Data'!L30,0)</f>
        <v>0</v>
      </c>
    </row>
    <row r="105" spans="2:12" x14ac:dyDescent="0.3">
      <c r="B105" t="s">
        <v>104</v>
      </c>
      <c r="C105" s="9">
        <f>IFERROR('Raw CF Data'!C31,0)</f>
        <v>-112</v>
      </c>
      <c r="D105" s="9">
        <f>IFERROR('Raw CF Data'!D31,0)</f>
        <v>0</v>
      </c>
      <c r="E105" s="9">
        <f>IFERROR('Raw CF Data'!E31,0)</f>
        <v>-66</v>
      </c>
      <c r="F105" s="9">
        <f>IFERROR('Raw CF Data'!F31,0)</f>
        <v>-4733</v>
      </c>
      <c r="G105" s="9">
        <f>IFERROR('Raw CF Data'!G31,0)</f>
        <v>-34</v>
      </c>
      <c r="H105" s="9">
        <f>IFERROR('Raw CF Data'!H31,0)</f>
        <v>-108</v>
      </c>
      <c r="I105" s="9">
        <f>IFERROR('Raw CF Data'!I31,0)</f>
        <v>-1948</v>
      </c>
      <c r="J105" s="9">
        <f>IFERROR('Raw CF Data'!J31,0)</f>
        <v>-1064</v>
      </c>
      <c r="K105" s="9">
        <f>IFERROR('Raw CF Data'!K31,0)</f>
        <v>-1041</v>
      </c>
      <c r="L105" s="9">
        <f>IFERROR('Raw CF Data'!L31,0)</f>
        <v>-352</v>
      </c>
    </row>
    <row r="106" spans="2:12" x14ac:dyDescent="0.3">
      <c r="B106" t="s">
        <v>105</v>
      </c>
      <c r="C106" s="9">
        <f>IFERROR('Raw CF Data'!C32,0)</f>
        <v>-121</v>
      </c>
      <c r="D106" s="9">
        <f>IFERROR('Raw CF Data'!D32,0)</f>
        <v>-167</v>
      </c>
      <c r="E106" s="9">
        <f>IFERROR('Raw CF Data'!E32,0)</f>
        <v>-161</v>
      </c>
      <c r="F106" s="9">
        <f>IFERROR('Raw CF Data'!F32,0)</f>
        <v>-159</v>
      </c>
      <c r="G106" s="9">
        <f>IFERROR('Raw CF Data'!G32,0)</f>
        <v>-118</v>
      </c>
      <c r="H106" s="9">
        <f>IFERROR('Raw CF Data'!H32,0)</f>
        <v>-159</v>
      </c>
      <c r="I106" s="9">
        <f>IFERROR('Raw CF Data'!I32,0)</f>
        <v>-164</v>
      </c>
      <c r="J106" s="9">
        <f>IFERROR('Raw CF Data'!J32,0)</f>
        <v>-121</v>
      </c>
      <c r="K106" s="9">
        <f>IFERROR('Raw CF Data'!K32,0)</f>
        <v>-76</v>
      </c>
      <c r="L106" s="9">
        <f>IFERROR('Raw CF Data'!L32,0)</f>
        <v>-65</v>
      </c>
    </row>
    <row r="107" spans="2:12" x14ac:dyDescent="0.3">
      <c r="B107" t="s">
        <v>106</v>
      </c>
      <c r="C107" s="9">
        <f>IFERROR('Raw CF Data'!C33,0)</f>
        <v>-161</v>
      </c>
      <c r="D107" s="9">
        <f>IFERROR('Raw CF Data'!D33,0)</f>
        <v>-161</v>
      </c>
      <c r="E107" s="9">
        <f>IFERROR('Raw CF Data'!E33,0)</f>
        <v>-159</v>
      </c>
      <c r="F107" s="9">
        <f>IFERROR('Raw CF Data'!F33,0)</f>
        <v>-161</v>
      </c>
      <c r="G107" s="9">
        <f>IFERROR('Raw CF Data'!G33,0)</f>
        <v>-161</v>
      </c>
      <c r="H107" s="9">
        <f>IFERROR('Raw CF Data'!H33,0)</f>
        <v>-242</v>
      </c>
      <c r="I107" s="9">
        <f>IFERROR('Raw CF Data'!I33,0)</f>
        <v>-564</v>
      </c>
      <c r="J107" s="9">
        <f>IFERROR('Raw CF Data'!J33,0)</f>
        <v>0</v>
      </c>
      <c r="K107" s="9">
        <f>IFERROR('Raw CF Data'!K33,0)</f>
        <v>-403</v>
      </c>
      <c r="L107" s="9">
        <f>IFERROR('Raw CF Data'!L33,0)</f>
        <v>-404</v>
      </c>
    </row>
    <row r="108" spans="2:12" x14ac:dyDescent="0.3">
      <c r="B108" t="s">
        <v>107</v>
      </c>
      <c r="C108" s="9">
        <f>IFERROR('Raw CF Data'!C34,0)</f>
        <v>0</v>
      </c>
      <c r="D108" s="9">
        <f>IFERROR('Raw CF Data'!D34,0)</f>
        <v>0</v>
      </c>
      <c r="E108" s="9">
        <f>IFERROR('Raw CF Data'!E34,0)</f>
        <v>0</v>
      </c>
      <c r="F108" s="9">
        <f>IFERROR('Raw CF Data'!F34,0)</f>
        <v>0</v>
      </c>
      <c r="G108" s="9">
        <f>IFERROR('Raw CF Data'!G34,0)</f>
        <v>0</v>
      </c>
      <c r="H108" s="9">
        <f>IFERROR('Raw CF Data'!H34,0)</f>
        <v>0</v>
      </c>
      <c r="I108" s="9">
        <f>IFERROR('Raw CF Data'!I34,0)</f>
        <v>-76</v>
      </c>
      <c r="J108" s="9">
        <f>IFERROR('Raw CF Data'!J34,0)</f>
        <v>-84</v>
      </c>
      <c r="K108" s="9">
        <f>IFERROR('Raw CF Data'!K34,0)</f>
        <v>-92</v>
      </c>
      <c r="L108" s="9">
        <f>IFERROR('Raw CF Data'!L34,0)</f>
        <v>-134</v>
      </c>
    </row>
    <row r="109" spans="2:12" x14ac:dyDescent="0.3">
      <c r="B109" t="s">
        <v>216</v>
      </c>
      <c r="C109" s="9">
        <f>IFERROR('Raw CF Data'!C35,0)</f>
        <v>0</v>
      </c>
      <c r="D109" s="9">
        <f>IFERROR('Raw CF Data'!D35,0)</f>
        <v>12</v>
      </c>
      <c r="E109" s="9">
        <f>IFERROR('Raw CF Data'!E35,0)</f>
        <v>0</v>
      </c>
      <c r="F109" s="9">
        <f>IFERROR('Raw CF Data'!F35,0)</f>
        <v>0</v>
      </c>
      <c r="G109" s="9">
        <f>IFERROR('Raw CF Data'!G35,0)</f>
        <v>0</v>
      </c>
      <c r="H109" s="9">
        <f>IFERROR('Raw CF Data'!H35,0)</f>
        <v>0</v>
      </c>
      <c r="I109" s="9">
        <f>IFERROR('Raw CF Data'!I35,0)</f>
        <v>0</v>
      </c>
      <c r="J109" s="9">
        <f>IFERROR('Raw CF Data'!J35,0)</f>
        <v>0</v>
      </c>
      <c r="K109" s="9">
        <f>IFERROR('Raw CF Data'!K35,0)</f>
        <v>0</v>
      </c>
      <c r="L109" s="9">
        <f>IFERROR('Raw CF Data'!L35,0)</f>
        <v>0</v>
      </c>
    </row>
    <row r="110" spans="2:12" x14ac:dyDescent="0.3">
      <c r="B110" t="s">
        <v>108</v>
      </c>
      <c r="C110" s="9">
        <f>IFERROR('Raw CF Data'!C36,0)</f>
        <v>-27</v>
      </c>
      <c r="D110" s="9">
        <f>IFERROR('Raw CF Data'!D36,0)</f>
        <v>-27</v>
      </c>
      <c r="E110" s="9">
        <f>IFERROR('Raw CF Data'!E36,0)</f>
        <v>-20</v>
      </c>
      <c r="F110" s="9">
        <f>IFERROR('Raw CF Data'!F36,0)</f>
        <v>63</v>
      </c>
      <c r="G110" s="9">
        <f>IFERROR('Raw CF Data'!G36,0)</f>
        <v>-72</v>
      </c>
      <c r="H110" s="9">
        <f>IFERROR('Raw CF Data'!H36,0)</f>
        <v>112</v>
      </c>
      <c r="I110" s="9">
        <f>IFERROR('Raw CF Data'!I36,0)</f>
        <v>-461</v>
      </c>
      <c r="J110" s="9">
        <f>IFERROR('Raw CF Data'!J36,0)</f>
        <v>-41</v>
      </c>
      <c r="K110" s="9">
        <f>IFERROR('Raw CF Data'!K36,0)</f>
        <v>-23</v>
      </c>
      <c r="L110" s="9">
        <f>IFERROR('Raw CF Data'!L36,0)</f>
        <v>-4</v>
      </c>
    </row>
    <row r="111" spans="2:12" x14ac:dyDescent="0.3">
      <c r="B111" s="36" t="s">
        <v>20</v>
      </c>
      <c r="C111" s="37">
        <f>IFERROR(SUM(C103:C110),0)</f>
        <v>-265</v>
      </c>
      <c r="D111" s="37">
        <f t="shared" ref="D111:L111" si="24">IFERROR(SUM(D103:D110),0)</f>
        <v>165</v>
      </c>
      <c r="E111" s="37">
        <f t="shared" si="24"/>
        <v>3105</v>
      </c>
      <c r="F111" s="37">
        <f t="shared" si="24"/>
        <v>-1326</v>
      </c>
      <c r="G111" s="37">
        <f t="shared" si="24"/>
        <v>-385</v>
      </c>
      <c r="H111" s="37">
        <f>IFERROR(SUM(H103:H110),0)</f>
        <v>-349</v>
      </c>
      <c r="I111" s="37">
        <f t="shared" si="24"/>
        <v>-2949</v>
      </c>
      <c r="J111" s="37">
        <f t="shared" si="24"/>
        <v>-1240</v>
      </c>
      <c r="K111" s="37">
        <f t="shared" si="24"/>
        <v>-1600</v>
      </c>
      <c r="L111" s="37">
        <f t="shared" si="24"/>
        <v>-959</v>
      </c>
    </row>
    <row r="113" spans="2:12" x14ac:dyDescent="0.3">
      <c r="B113" s="36" t="s">
        <v>21</v>
      </c>
      <c r="C113" s="37">
        <f>IFERROR(SUM(C85,C100,C111),0)</f>
        <v>-527</v>
      </c>
      <c r="D113" s="37">
        <f t="shared" ref="D113:L113" si="25">IFERROR(SUM(D85,D100,D111),0)</f>
        <v>-330</v>
      </c>
      <c r="E113" s="37">
        <f t="shared" si="25"/>
        <v>-115</v>
      </c>
      <c r="F113" s="37">
        <f t="shared" si="25"/>
        <v>-12</v>
      </c>
      <c r="G113" s="37">
        <f t="shared" si="25"/>
        <v>-533</v>
      </c>
      <c r="H113" s="37">
        <f t="shared" si="25"/>
        <v>-1409</v>
      </c>
      <c r="I113" s="37">
        <f t="shared" si="25"/>
        <v>606</v>
      </c>
      <c r="J113" s="37">
        <f t="shared" si="25"/>
        <v>515</v>
      </c>
      <c r="K113" s="37">
        <f t="shared" si="25"/>
        <v>-310</v>
      </c>
      <c r="L113" s="37">
        <f t="shared" si="25"/>
        <v>-657</v>
      </c>
    </row>
    <row r="115" spans="2:12" ht="8.4" customHeight="1" x14ac:dyDescent="0.3">
      <c r="B115" s="59"/>
      <c r="C115" s="59"/>
      <c r="D115" s="59"/>
      <c r="E115" s="59"/>
      <c r="F115" s="59"/>
      <c r="G115" s="59"/>
      <c r="H115" s="59"/>
      <c r="I115" s="59"/>
      <c r="J115" s="59"/>
      <c r="K115" s="59"/>
      <c r="L115" s="59"/>
    </row>
  </sheetData>
  <mergeCells count="2">
    <mergeCell ref="B2:L2"/>
    <mergeCell ref="B74:L74"/>
  </mergeCells>
  <pageMargins left="0.7" right="0.7" top="0.75" bottom="0.75" header="0.3" footer="0.3"/>
  <pageSetup scale="48" fitToHeight="0" orientation="portrait" r:id="rId1"/>
  <ignoredErrors>
    <ignoredError sqref="C16:L1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A38DA-34BD-401C-A717-DD17260AC0AD}">
  <sheetPr>
    <pageSetUpPr fitToPage="1"/>
  </sheetPr>
  <dimension ref="B2:Q42"/>
  <sheetViews>
    <sheetView showGridLines="0" topLeftCell="A16" workbookViewId="0">
      <selection activeCell="B2" sqref="B2:O42"/>
    </sheetView>
  </sheetViews>
  <sheetFormatPr defaultRowHeight="14.4" x14ac:dyDescent="0.3"/>
  <cols>
    <col min="1" max="1" width="2.44140625" customWidth="1"/>
    <col min="2" max="2" width="26.77734375" bestFit="1" customWidth="1"/>
    <col min="3" max="6" width="9.77734375" bestFit="1" customWidth="1"/>
    <col min="7" max="7" width="9.77734375" customWidth="1"/>
    <col min="8" max="8" width="9.77734375" bestFit="1" customWidth="1"/>
    <col min="9" max="9" width="10.33203125" customWidth="1"/>
    <col min="10" max="10" width="10.5546875" customWidth="1"/>
    <col min="11" max="11" width="10.109375" customWidth="1"/>
    <col min="12" max="12" width="11" customWidth="1"/>
    <col min="13" max="13" width="12.77734375" customWidth="1"/>
  </cols>
  <sheetData>
    <row r="2" spans="2:17" x14ac:dyDescent="0.3">
      <c r="B2" s="270" t="str">
        <f>"Ratio Analysis - "&amp;'Data Sheet'!B1</f>
        <v>Ratio Analysis - CIPLA LTD</v>
      </c>
      <c r="C2" s="270"/>
      <c r="D2" s="270"/>
      <c r="E2" s="270"/>
      <c r="F2" s="270"/>
      <c r="G2" s="270"/>
      <c r="H2" s="270"/>
      <c r="I2" s="270"/>
      <c r="J2" s="270"/>
      <c r="K2" s="270"/>
      <c r="L2" s="270"/>
      <c r="M2" s="270"/>
      <c r="N2" s="270"/>
      <c r="O2" s="270"/>
    </row>
    <row r="3" spans="2:17" x14ac:dyDescent="0.3">
      <c r="B3" s="68" t="s">
        <v>55</v>
      </c>
      <c r="C3" s="69">
        <f>'Data Sheet'!B16</f>
        <v>41729</v>
      </c>
      <c r="D3" s="69">
        <f>'Data Sheet'!C16</f>
        <v>42094</v>
      </c>
      <c r="E3" s="69">
        <f>'Data Sheet'!D16</f>
        <v>42460</v>
      </c>
      <c r="F3" s="69">
        <f>'Data Sheet'!E16</f>
        <v>42825</v>
      </c>
      <c r="G3" s="69">
        <f>'Data Sheet'!F16</f>
        <v>43190</v>
      </c>
      <c r="H3" s="69">
        <f>'Data Sheet'!G16</f>
        <v>43555</v>
      </c>
      <c r="I3" s="69">
        <f>'Data Sheet'!H16</f>
        <v>43921</v>
      </c>
      <c r="J3" s="69">
        <f>'Data Sheet'!I16</f>
        <v>44286</v>
      </c>
      <c r="K3" s="69">
        <f>'Data Sheet'!J16</f>
        <v>44651</v>
      </c>
      <c r="L3" s="69">
        <f>'Data Sheet'!K16</f>
        <v>45016</v>
      </c>
      <c r="M3" s="60" t="s">
        <v>144</v>
      </c>
      <c r="N3" s="76" t="s">
        <v>145</v>
      </c>
      <c r="O3" s="76" t="s">
        <v>146</v>
      </c>
    </row>
    <row r="5" spans="2:17" x14ac:dyDescent="0.3">
      <c r="B5" s="23" t="s">
        <v>114</v>
      </c>
      <c r="C5" s="23"/>
      <c r="D5" s="24">
        <f>'Historical FS'!D8</f>
        <v>0.11520741856942496</v>
      </c>
      <c r="E5" s="24">
        <f>'Historical FS'!E8</f>
        <v>0.21547511599373848</v>
      </c>
      <c r="F5" s="24">
        <f>'Historical FS'!F8</f>
        <v>4.3813315349417348E-2</v>
      </c>
      <c r="G5" s="24">
        <f>'Historical FS'!G8</f>
        <v>5.2897364163150717E-2</v>
      </c>
      <c r="H5" s="24">
        <f>'Historical FS'!H8</f>
        <v>7.9620156363509276E-2</v>
      </c>
      <c r="I5" s="24">
        <f>'Historical FS'!I8</f>
        <v>4.7033413781955247E-2</v>
      </c>
      <c r="J5" s="24">
        <f>'Historical FS'!J8</f>
        <v>0.11835169177661187</v>
      </c>
      <c r="K5" s="24">
        <f>'Historical FS'!K8</f>
        <v>0.13589800199273583</v>
      </c>
      <c r="L5" s="24">
        <f>'Historical FS'!L8</f>
        <v>4.5479232507510181E-2</v>
      </c>
      <c r="M5" s="23"/>
      <c r="N5" s="24">
        <f>IFERROR(AVERAGE(D5:L5),0)</f>
        <v>9.4863967833117097E-2</v>
      </c>
      <c r="O5" s="24">
        <f>IFERROR(MEDIAN(C5:L5),0)</f>
        <v>7.9620156363509276E-2</v>
      </c>
    </row>
    <row r="6" spans="2:17" x14ac:dyDescent="0.3">
      <c r="B6" t="s">
        <v>115</v>
      </c>
      <c r="D6" s="22">
        <f>IFERROR('Historical FS'!D19/'Historical FS'!C19-1,0)</f>
        <v>7.4198626882917562E-3</v>
      </c>
      <c r="E6" s="22">
        <f>IFERROR('Historical FS'!E19/'Historical FS'!D19-1,0)</f>
        <v>0.14647204871305264</v>
      </c>
      <c r="F6" s="22">
        <f>IFERROR('Historical FS'!F19/'Historical FS'!E19-1,0)</f>
        <v>6.7105703581531451E-3</v>
      </c>
      <c r="G6" s="22">
        <f>IFERROR('Historical FS'!G19/'Historical FS'!F19-1,0)</f>
        <v>0.13222316138620527</v>
      </c>
      <c r="H6" s="22">
        <f>IFERROR('Historical FS'!H19/'Historical FS'!G19-1,0)</f>
        <v>9.5857598765912044E-2</v>
      </c>
      <c r="I6" s="22">
        <f>IFERROR('Historical FS'!I19/'Historical FS'!H19-1,0)</f>
        <v>3.5088512289697116E-2</v>
      </c>
      <c r="J6" s="22">
        <f>IFERROR('Historical FS'!J19/'Historical FS'!I19-1,0)</f>
        <v>0.32640151716006471</v>
      </c>
      <c r="K6" s="22">
        <f>IFERROR('Historical FS'!K19/'Historical FS'!J19-1,0)</f>
        <v>7.063020437726264E-2</v>
      </c>
      <c r="L6" s="22">
        <f>IFERROR('Historical FS'!L19/'Historical FS'!K19-1,0)</f>
        <v>0.10415394550142909</v>
      </c>
      <c r="N6" s="22">
        <f t="shared" ref="N6:N9" si="0">IFERROR(AVERAGE(D6:L6),0)</f>
        <v>0.10277304680445204</v>
      </c>
      <c r="O6" s="22">
        <f t="shared" ref="O6:O40" si="1">IFERROR(MEDIAN(C6:L6),0)</f>
        <v>9.5857598765912044E-2</v>
      </c>
    </row>
    <row r="7" spans="2:17" x14ac:dyDescent="0.3">
      <c r="B7" t="s">
        <v>116</v>
      </c>
      <c r="D7" s="22">
        <f>IFERROR('Historical FS'!D28/'Historical FS'!C28-1,0)</f>
        <v>-8.5161123937711025E-2</v>
      </c>
      <c r="E7" s="22">
        <f>IFERROR('Historical FS'!E28/'Historical FS'!D28-1,0)</f>
        <v>1.943122554316834E-2</v>
      </c>
      <c r="F7" s="22">
        <f>IFERROR('Historical FS'!F28/'Historical FS'!E28-1,0)</f>
        <v>-0.33237645013892236</v>
      </c>
      <c r="G7" s="22">
        <f>IFERROR('Historical FS'!G28/'Historical FS'!F28-1,0)</f>
        <v>0.37014792899408011</v>
      </c>
      <c r="H7" s="22">
        <f>IFERROR('Historical FS'!H28/'Historical FS'!G28-1,0)</f>
        <v>0.15348405346461846</v>
      </c>
      <c r="I7" s="22">
        <f>IFERROR('Historical FS'!I28/'Historical FS'!H28-1,0)</f>
        <v>0.14439930861054528</v>
      </c>
      <c r="J7" s="22">
        <f>IFERROR('Historical FS'!J28/'Historical FS'!I28-1,0)</f>
        <v>0.64891111135344759</v>
      </c>
      <c r="K7" s="22">
        <f>IFERROR('Historical FS'!K28/'Historical FS'!J28-1,0)</f>
        <v>0.12248724401220978</v>
      </c>
      <c r="L7" s="22">
        <f>IFERROR('Historical FS'!L28/'Historical FS'!K28-1,0)</f>
        <v>0.10335603685984229</v>
      </c>
      <c r="N7" s="22">
        <f t="shared" si="0"/>
        <v>0.12718659275125316</v>
      </c>
      <c r="O7" s="22">
        <f t="shared" si="1"/>
        <v>0.12248724401220978</v>
      </c>
    </row>
    <row r="8" spans="2:17" x14ac:dyDescent="0.3">
      <c r="B8" t="s">
        <v>117</v>
      </c>
      <c r="D8" s="22">
        <f>IFERROR('Historical FS'!D34/'Historical FS'!C34-1,0)</f>
        <v>-6.4659537582174909E-2</v>
      </c>
      <c r="E8" s="22">
        <f>IFERROR('Historical FS'!E34/'Historical FS'!D34-1,0)</f>
        <v>8.936174117301654E-2</v>
      </c>
      <c r="F8" s="22">
        <f>IFERROR('Historical FS'!F34/'Historical FS'!E34-1,0)</f>
        <v>-0.29732233855276402</v>
      </c>
      <c r="G8" s="22">
        <f>IFERROR('Historical FS'!G34/'Historical FS'!F34-1,0)</f>
        <v>0.36557825086305784</v>
      </c>
      <c r="H8" s="22">
        <f>IFERROR('Historical FS'!H34/'Historical FS'!G34-1,0)</f>
        <v>-9.3204122118643928E-2</v>
      </c>
      <c r="I8" s="22">
        <f>IFERROR('Historical FS'!I34/'Historical FS'!H34-1,0)</f>
        <v>0.16431115929683404</v>
      </c>
      <c r="J8" s="22">
        <f>IFERROR('Historical FS'!J34/'Historical FS'!I34-1,0)</f>
        <v>0.77531219341857716</v>
      </c>
      <c r="K8" s="22">
        <f>IFERROR('Historical FS'!K34/'Historical FS'!J34-1,0)</f>
        <v>0.15237600161100873</v>
      </c>
      <c r="L8" s="22">
        <f>IFERROR('Historical FS'!L34/'Historical FS'!K34-1,0)</f>
        <v>3.3234715607067145E-2</v>
      </c>
      <c r="N8" s="22">
        <f t="shared" si="0"/>
        <v>0.12499867374621984</v>
      </c>
      <c r="O8" s="22">
        <f t="shared" si="1"/>
        <v>8.936174117301654E-2</v>
      </c>
    </row>
    <row r="9" spans="2:17" x14ac:dyDescent="0.3">
      <c r="B9" s="25" t="s">
        <v>118</v>
      </c>
      <c r="C9" s="25"/>
      <c r="D9" s="26">
        <f>IFERROR('Historical FS'!D42/'Historical FS'!C42-1,0)</f>
        <v>-6.2266500622576437E-5</v>
      </c>
      <c r="E9" s="26">
        <f>IFERROR('Historical FS'!E42/'Historical FS'!D42-1,0)</f>
        <v>6.2270377981121783E-5</v>
      </c>
      <c r="F9" s="26">
        <f>IFERROR('Historical FS'!F42/'Historical FS'!E42-1,0)</f>
        <v>0</v>
      </c>
      <c r="G9" s="26">
        <f>IFERROR('Historical FS'!G42/'Historical FS'!C64,0)</f>
        <v>1.0361763710340349E-3</v>
      </c>
      <c r="H9" s="26">
        <f>IFERROR('Historical FS'!H42/'Historical FS'!G42-1,0)</f>
        <v>2.2204460492503131E-16</v>
      </c>
      <c r="I9" s="26">
        <f>IFERROR('Historical FS'!I42/'Historical FS'!H42-1,0)</f>
        <v>0.33341602580004936</v>
      </c>
      <c r="J9" s="26">
        <f>IFERROR('Historical FS'!J42/'Historical FS'!I42-1,0)</f>
        <v>0.24982949196691617</v>
      </c>
      <c r="K9" s="26">
        <f>IFERROR('Historical FS'!K42/'Historical FS'!J42-1,0)</f>
        <v>7.4401071375129746E-5</v>
      </c>
      <c r="L9" s="26">
        <f>IFERROR('Historical FS'!L42/'Historical FS'!K42-1,0)</f>
        <v>0.69990089197225025</v>
      </c>
      <c r="M9" s="25"/>
      <c r="N9" s="26">
        <f t="shared" si="0"/>
        <v>0.14269522122877598</v>
      </c>
      <c r="O9" s="26">
        <f t="shared" si="1"/>
        <v>7.4401071375129746E-5</v>
      </c>
    </row>
    <row r="10" spans="2:17" x14ac:dyDescent="0.3">
      <c r="N10" s="22"/>
      <c r="O10" s="22"/>
    </row>
    <row r="11" spans="2:17" x14ac:dyDescent="0.3">
      <c r="B11" s="23" t="s">
        <v>68</v>
      </c>
      <c r="C11" s="24">
        <f>'Historical FS'!C14</f>
        <v>0.39301157234707401</v>
      </c>
      <c r="D11" s="24">
        <f>'Historical FS'!D14</f>
        <v>0.37438301202950264</v>
      </c>
      <c r="E11" s="24">
        <f>'Historical FS'!E14</f>
        <v>0.36387553389750626</v>
      </c>
      <c r="F11" s="24">
        <f>'Historical FS'!F14</f>
        <v>0.36626467856351391</v>
      </c>
      <c r="G11" s="24">
        <f>'Historical FS'!G14</f>
        <v>0.3805252277854354</v>
      </c>
      <c r="H11" s="24">
        <f>'Historical FS'!H14</f>
        <v>0.3941130921422944</v>
      </c>
      <c r="I11" s="24">
        <f>'Historical FS'!I14</f>
        <v>0.39453793750755167</v>
      </c>
      <c r="J11" s="24">
        <f>'Historical FS'!J14</f>
        <v>0.37391144591298653</v>
      </c>
      <c r="K11" s="24">
        <f>'Historical FS'!K14</f>
        <v>0.377098827661563</v>
      </c>
      <c r="L11" s="24">
        <f>'Historical FS'!L14</f>
        <v>0.39994471087921124</v>
      </c>
      <c r="M11" s="23"/>
      <c r="N11" s="24">
        <f>IFERROR(AVERAGE(C11:L11),0)</f>
        <v>0.38176660387266392</v>
      </c>
      <c r="O11" s="24">
        <f t="shared" si="1"/>
        <v>0.3788120277234992</v>
      </c>
    </row>
    <row r="12" spans="2:17" x14ac:dyDescent="0.3">
      <c r="B12" t="s">
        <v>119</v>
      </c>
      <c r="C12" s="22">
        <f>'Historical FS'!C20</f>
        <v>0.21103486645061278</v>
      </c>
      <c r="D12" s="22">
        <f>'Historical FS'!D20</f>
        <v>0.19063782453567255</v>
      </c>
      <c r="E12" s="22">
        <f>'Historical FS'!E20</f>
        <v>0.17981522976628167</v>
      </c>
      <c r="F12" s="22">
        <f>'Historical FS'!F20</f>
        <v>0.17342362839709374</v>
      </c>
      <c r="G12" s="22">
        <f>'Historical FS'!G20</f>
        <v>0.18648944853127972</v>
      </c>
      <c r="H12" s="22">
        <f>'Historical FS'!H20</f>
        <v>0.18929424210736678</v>
      </c>
      <c r="I12" s="22">
        <f>'Historical FS'!I20</f>
        <v>0.18713471114564045</v>
      </c>
      <c r="J12" s="22">
        <f>'Historical FS'!J20</f>
        <v>0.22194786005337261</v>
      </c>
      <c r="K12" s="22">
        <f>'Historical FS'!K20</f>
        <v>0.20919491217800212</v>
      </c>
      <c r="L12" s="22">
        <f>'Historical FS'!L20</f>
        <v>0.22093541457171578</v>
      </c>
      <c r="N12" s="22">
        <f t="shared" ref="N12:N40" si="2">IFERROR(AVERAGE(C12:L12),0)</f>
        <v>0.19699081377370381</v>
      </c>
      <c r="O12" s="22">
        <f t="shared" si="1"/>
        <v>0.18996603332151968</v>
      </c>
    </row>
    <row r="13" spans="2:17" x14ac:dyDescent="0.3">
      <c r="B13" t="s">
        <v>120</v>
      </c>
      <c r="C13" s="22">
        <f>IFERROR(('Historical FS'!C19-'Historical FS'!C25)/'Historical FS'!C7,0)</f>
        <v>0.17440597480289263</v>
      </c>
      <c r="D13" s="22">
        <f>IFERROR(('Historical FS'!D19-'Historical FS'!D25)/'Historical FS'!D7,0)</f>
        <v>0.14615211045142371</v>
      </c>
      <c r="E13" s="22">
        <f>IFERROR(('Historical FS'!E19-'Historical FS'!E25)/'Historical FS'!E7,0)</f>
        <v>0.12512237039615381</v>
      </c>
      <c r="F13" s="22">
        <f>IFERROR(('Historical FS'!F19-'Historical FS'!F25)/'Historical FS'!F7,0)</f>
        <v>8.1517045995321932E-2</v>
      </c>
      <c r="G13" s="22">
        <f>IFERROR(('Historical FS'!G19-'Historical FS'!G25)/'Historical FS'!G7,0)</f>
        <v>9.9207493413373649E-2</v>
      </c>
      <c r="H13" s="22">
        <f>IFERROR(('Historical FS'!H19-'Historical FS'!H25)/'Historical FS'!H7,0)</f>
        <v>0.108235889456382</v>
      </c>
      <c r="I13" s="22">
        <f>IFERROR(('Historical FS'!I19-'Historical FS'!I25)/'Historical FS'!I7,0)</f>
        <v>0.11856999683049084</v>
      </c>
      <c r="J13" s="22">
        <f>IFERROR(('Historical FS'!J19-'Historical FS'!J25)/'Historical FS'!J7,0)</f>
        <v>0.16622328557135083</v>
      </c>
      <c r="K13" s="22">
        <f>IFERROR(('Historical FS'!K19-'Historical FS'!K25)/'Historical FS'!K7,0)</f>
        <v>0.16085904093765024</v>
      </c>
      <c r="L13" s="22">
        <f>IFERROR(('Historical FS'!L19-'Historical FS'!L25)/'Historical FS'!L7,0)</f>
        <v>0.16942116070235633</v>
      </c>
      <c r="N13" s="22">
        <f t="shared" si="2"/>
        <v>0.13497143685573959</v>
      </c>
      <c r="O13" s="22">
        <f t="shared" si="1"/>
        <v>0.13563724042378877</v>
      </c>
      <c r="Q13" t="s">
        <v>143</v>
      </c>
    </row>
    <row r="14" spans="2:17" x14ac:dyDescent="0.3">
      <c r="B14" t="s">
        <v>121</v>
      </c>
      <c r="C14" s="22">
        <f>'Historical FS'!C29</f>
        <v>0.16008036652482599</v>
      </c>
      <c r="D14" s="22">
        <f>'Historical FS'!D29</f>
        <v>0.13131883822927984</v>
      </c>
      <c r="E14" s="22">
        <f>'Historical FS'!E29</f>
        <v>0.11013843264370825</v>
      </c>
      <c r="F14" s="22">
        <f>'Historical FS'!F29</f>
        <v>7.0444599907324545E-2</v>
      </c>
      <c r="G14" s="22">
        <f>'Historical FS'!G29</f>
        <v>9.1670400133019248E-2</v>
      </c>
      <c r="H14" s="22">
        <f>'Historical FS'!H29</f>
        <v>9.794217355511807E-2</v>
      </c>
      <c r="I14" s="22">
        <f>'Historical FS'!I29</f>
        <v>0.10705002746324278</v>
      </c>
      <c r="J14" s="22">
        <f>'Historical FS'!J29</f>
        <v>0.15783584095484285</v>
      </c>
      <c r="K14" s="22">
        <f>'Historical FS'!K29</f>
        <v>0.15597238291549001</v>
      </c>
      <c r="L14" s="22">
        <f>'Historical FS'!L29</f>
        <v>0.16460687589218526</v>
      </c>
      <c r="N14" s="22">
        <f t="shared" si="2"/>
        <v>0.12470599382190369</v>
      </c>
      <c r="O14" s="22">
        <f>IFERROR(MEDIAN(C14:L14),0)</f>
        <v>0.12072863543649404</v>
      </c>
    </row>
    <row r="15" spans="2:17" x14ac:dyDescent="0.3">
      <c r="B15" s="25" t="s">
        <v>122</v>
      </c>
      <c r="C15" s="26">
        <f>'Historical FS'!C35</f>
        <v>0.11453212744227828</v>
      </c>
      <c r="D15" s="26">
        <f>'Historical FS'!D35</f>
        <v>9.6059738538126396E-2</v>
      </c>
      <c r="E15" s="26">
        <f>'Historical FS'!E35</f>
        <v>8.6092921733707597E-2</v>
      </c>
      <c r="F15" s="26">
        <f>'Historical FS'!F35</f>
        <v>5.7956314621978762E-2</v>
      </c>
      <c r="G15" s="26">
        <f>'Historical FS'!G35</f>
        <v>7.5167709068067495E-2</v>
      </c>
      <c r="H15" s="26">
        <f>'Historical FS'!H35</f>
        <v>6.3134953836262483E-2</v>
      </c>
      <c r="I15" s="26">
        <f>'Historical FS'!I35</f>
        <v>7.0206671846061122E-2</v>
      </c>
      <c r="J15" s="26">
        <f>'Historical FS'!J35</f>
        <v>0.11144862703220673</v>
      </c>
      <c r="K15" s="26">
        <f>'Historical FS'!K35</f>
        <v>0.1130653658859348</v>
      </c>
      <c r="L15" s="26">
        <f>'Historical FS'!L35</f>
        <v>0.11174115901467571</v>
      </c>
      <c r="M15" s="25"/>
      <c r="N15" s="26">
        <f t="shared" si="2"/>
        <v>8.9940558901929937E-2</v>
      </c>
      <c r="O15" s="26">
        <f t="shared" si="1"/>
        <v>9.1076330135916997E-2</v>
      </c>
    </row>
    <row r="16" spans="2:17" x14ac:dyDescent="0.3">
      <c r="N16" s="22"/>
      <c r="O16" s="22"/>
    </row>
    <row r="17" spans="2:15" x14ac:dyDescent="0.3">
      <c r="B17" s="23" t="s">
        <v>123</v>
      </c>
      <c r="C17" s="24">
        <f>'Historical FS'!C17</f>
        <v>0.18197670589646125</v>
      </c>
      <c r="D17" s="24">
        <f>'Historical FS'!D17</f>
        <v>0.18374518749383012</v>
      </c>
      <c r="E17" s="24">
        <f>'Historical FS'!E17</f>
        <v>0.18406030413122457</v>
      </c>
      <c r="F17" s="24">
        <f>'Historical FS'!F17</f>
        <v>0.19284105016642014</v>
      </c>
      <c r="G17" s="24">
        <f>'Historical FS'!G17</f>
        <v>0.19403577925415572</v>
      </c>
      <c r="H17" s="24">
        <f>'Historical FS'!H17</f>
        <v>0.20481885003492761</v>
      </c>
      <c r="I17" s="24">
        <f>'Historical FS'!I17</f>
        <v>0.20740322636191125</v>
      </c>
      <c r="J17" s="24">
        <f>'Historical FS'!J17</f>
        <v>0.15196358585961392</v>
      </c>
      <c r="K17" s="24">
        <f>'Historical FS'!K17</f>
        <v>0.1679039154835609</v>
      </c>
      <c r="L17" s="24">
        <f>'Historical FS'!L17</f>
        <v>0.17900929630749543</v>
      </c>
      <c r="M17" s="23"/>
      <c r="N17" s="24">
        <f t="shared" si="2"/>
        <v>0.18477579009896011</v>
      </c>
      <c r="O17" s="24">
        <f t="shared" si="1"/>
        <v>0.18390274581252736</v>
      </c>
    </row>
    <row r="18" spans="2:15" x14ac:dyDescent="0.3">
      <c r="B18" t="s">
        <v>124</v>
      </c>
      <c r="C18" s="22">
        <f>'Historical FS'!C26</f>
        <v>3.662889164772018E-2</v>
      </c>
      <c r="D18" s="22">
        <f>'Historical FS'!D26</f>
        <v>4.4485714084248819E-2</v>
      </c>
      <c r="E18" s="22">
        <f>'Historical FS'!E26</f>
        <v>5.4692859370127848E-2</v>
      </c>
      <c r="F18" s="22">
        <f>'Historical FS'!F26</f>
        <v>9.1906582401771811E-2</v>
      </c>
      <c r="G18" s="22">
        <f>'Historical FS'!G26</f>
        <v>8.7281955117906054E-2</v>
      </c>
      <c r="H18" s="22">
        <f>'Historical FS'!H26</f>
        <v>8.105835265098478E-2</v>
      </c>
      <c r="I18" s="22">
        <f>'Historical FS'!I26</f>
        <v>6.8564714315149614E-2</v>
      </c>
      <c r="J18" s="22">
        <f>'Historical FS'!J26</f>
        <v>5.5724574482021803E-2</v>
      </c>
      <c r="K18" s="22">
        <f>'Historical FS'!K26</f>
        <v>4.8335871240351894E-2</v>
      </c>
      <c r="L18" s="22">
        <f>'Historical FS'!L26</f>
        <v>5.1514253869359455E-2</v>
      </c>
      <c r="N18" s="22">
        <f t="shared" si="2"/>
        <v>6.201937691796422E-2</v>
      </c>
      <c r="O18" s="22">
        <f t="shared" si="1"/>
        <v>5.5208716926074826E-2</v>
      </c>
    </row>
    <row r="19" spans="2:15" x14ac:dyDescent="0.3">
      <c r="B19" s="25" t="s">
        <v>125</v>
      </c>
      <c r="C19" s="26">
        <f>C13</f>
        <v>0.17440597480289263</v>
      </c>
      <c r="D19" s="26">
        <f t="shared" ref="D19:K19" si="3">D13</f>
        <v>0.14615211045142371</v>
      </c>
      <c r="E19" s="26">
        <f t="shared" si="3"/>
        <v>0.12512237039615381</v>
      </c>
      <c r="F19" s="26">
        <f t="shared" si="3"/>
        <v>8.1517045995321932E-2</v>
      </c>
      <c r="G19" s="26">
        <f t="shared" si="3"/>
        <v>9.9207493413373649E-2</v>
      </c>
      <c r="H19" s="26">
        <f t="shared" si="3"/>
        <v>0.108235889456382</v>
      </c>
      <c r="I19" s="26">
        <f t="shared" si="3"/>
        <v>0.11856999683049084</v>
      </c>
      <c r="J19" s="26">
        <f t="shared" si="3"/>
        <v>0.16622328557135083</v>
      </c>
      <c r="K19" s="26">
        <f t="shared" si="3"/>
        <v>0.16085904093765024</v>
      </c>
      <c r="L19" s="26">
        <f>L13</f>
        <v>0.16942116070235633</v>
      </c>
      <c r="M19" s="25"/>
      <c r="N19" s="26">
        <f t="shared" si="2"/>
        <v>0.13497143685573959</v>
      </c>
      <c r="O19" s="26">
        <f t="shared" si="1"/>
        <v>0.13563724042378877</v>
      </c>
    </row>
    <row r="20" spans="2:15" x14ac:dyDescent="0.3">
      <c r="N20" s="22"/>
      <c r="O20" s="22"/>
    </row>
    <row r="21" spans="2:15" x14ac:dyDescent="0.3">
      <c r="B21" s="23" t="s">
        <v>126</v>
      </c>
      <c r="C21" s="24">
        <f>IFERROR(('Historical FS'!C19-'Historical FS'!C25)/SUM('Historical FS'!C53),0)</f>
        <v>1.4218172784896344</v>
      </c>
      <c r="D21" s="24">
        <f>IFERROR(('Historical FS'!D19-'Historical FS'!D25)/SUM('Historical FS'!D53),0)</f>
        <v>0.97348135710637451</v>
      </c>
      <c r="E21" s="24">
        <f>IFERROR(('Historical FS'!E19-'Historical FS'!E25)/SUM('Historical FS'!E53),0)</f>
        <v>0.33169483575295294</v>
      </c>
      <c r="F21" s="24">
        <f>IFERROR(('Historical FS'!F19-'Historical FS'!F25)/SUM('Historical FS'!F53),0)</f>
        <v>0.28530926456356775</v>
      </c>
      <c r="G21" s="24">
        <f>IFERROR(('Historical FS'!G19-'Historical FS'!G25)/SUM('Historical FS'!G53),0)</f>
        <v>0.36689645075096716</v>
      </c>
      <c r="H21" s="24">
        <f>IFERROR(('Historical FS'!H19-'Historical FS'!H25)/SUM('Historical FS'!H53),0)</f>
        <v>0.4103117767125477</v>
      </c>
      <c r="I21" s="24">
        <f>IFERROR(('Historical FS'!I19-'Historical FS'!I25)/SUM('Historical FS'!I53),0)</f>
        <v>0.72124640058513834</v>
      </c>
      <c r="J21" s="24">
        <f>IFERROR(('Historical FS'!J19-'Historical FS'!J25)/SUM('Historical FS'!J53),0)</f>
        <v>1.5809939386718679</v>
      </c>
      <c r="K21" s="24">
        <f>IFERROR(('Historical FS'!K19-'Historical FS'!K25)/SUM('Historical FS'!K53),0)</f>
        <v>3.3158707306446429</v>
      </c>
      <c r="L21" s="24">
        <f>IFERROR(('Historical FS'!L19-'Historical FS'!L25)/SUM('Historical FS'!L53),0)</f>
        <v>4.7998555633031152</v>
      </c>
      <c r="M21" s="23"/>
      <c r="N21" s="24">
        <f t="shared" si="2"/>
        <v>1.4207477596580809</v>
      </c>
      <c r="O21" s="24">
        <f t="shared" si="1"/>
        <v>0.84736387884575648</v>
      </c>
    </row>
    <row r="22" spans="2:15" x14ac:dyDescent="0.3">
      <c r="B22" t="s">
        <v>127</v>
      </c>
      <c r="C22" s="22">
        <f>IFERROR('Historical FS'!C45,0)</f>
        <v>0.86218438352872506</v>
      </c>
      <c r="D22" s="22">
        <f>IFERROR('Historical FS'!D45,0)</f>
        <v>0.8526480951332307</v>
      </c>
      <c r="E22" s="22">
        <f>IFERROR('Historical FS'!E45,0)</f>
        <v>0.86465975421780117</v>
      </c>
      <c r="F22" s="22">
        <f>IFERROR('Historical FS'!F45,0)</f>
        <v>0.8071298427311091</v>
      </c>
      <c r="G22" s="22">
        <f>IFERROR('Historical FS'!G45,0)</f>
        <v>0.78798651709064116</v>
      </c>
      <c r="H22" s="22">
        <f>IFERROR('Historical FS'!H45,0)</f>
        <v>0.76602067683729558</v>
      </c>
      <c r="I22" s="22">
        <f>IFERROR('Historical FS'!I45,0)</f>
        <v>0.73187116513410611</v>
      </c>
      <c r="J22" s="22">
        <f>IFERROR('Historical FS'!J45,0)</f>
        <v>0.81116559188127224</v>
      </c>
      <c r="K22" s="22">
        <f>IFERROR('Historical FS'!K45,0)</f>
        <v>0.83606157647479562</v>
      </c>
      <c r="L22" s="22">
        <f>IFERROR('Historical FS'!L45,0)</f>
        <v>0.73015111348851092</v>
      </c>
      <c r="N22" s="22">
        <f t="shared" si="2"/>
        <v>0.8049878716517489</v>
      </c>
      <c r="O22" s="22">
        <f t="shared" si="1"/>
        <v>0.80914771730619073</v>
      </c>
    </row>
    <row r="23" spans="2:15" x14ac:dyDescent="0.3">
      <c r="B23" t="s">
        <v>128</v>
      </c>
      <c r="C23" s="22">
        <f>IFERROR('Historical FS'!C34/SUM('Historical FS'!C51:C52),0)</f>
        <v>0.1159342709457879</v>
      </c>
      <c r="D23" s="22">
        <f>IFERROR('Historical FS'!D34/SUM('Historical FS'!D51:D52),0)</f>
        <v>0.10089719103568126</v>
      </c>
      <c r="E23" s="22">
        <f>IFERROR('Historical FS'!E34/SUM('Historical FS'!E51:E52),0)</f>
        <v>0.10309198678038463</v>
      </c>
      <c r="F23" s="22">
        <f>IFERROR('Historical FS'!F34/SUM('Historical FS'!F51:F52),0)</f>
        <v>6.6506904683322307E-2</v>
      </c>
      <c r="G23" s="22">
        <f>IFERROR('Historical FS'!G34/SUM('Historical FS'!G51:G52),0)</f>
        <v>8.0062182035660581E-2</v>
      </c>
      <c r="H23" s="22">
        <f>IFERROR('Historical FS'!H34/SUM('Historical FS'!H51:H52),0)</f>
        <v>6.8812998425289137E-2</v>
      </c>
      <c r="I23" s="22">
        <f>IFERROR('Historical FS'!I34/SUM('Historical FS'!I51:I52),0)</f>
        <v>7.6304003045105678E-2</v>
      </c>
      <c r="J23" s="22">
        <f>IFERROR('Historical FS'!J34/SUM('Historical FS'!J51:J52),0)</f>
        <v>0.11651469208846396</v>
      </c>
      <c r="K23" s="22">
        <f>IFERROR('Historical FS'!K34/SUM('Historical FS'!K51:K52),0)</f>
        <v>0.11806528165422286</v>
      </c>
      <c r="L23" s="22">
        <f>IFERROR('Historical FS'!L34/SUM('Historical FS'!L51:L52),0)</f>
        <v>0.10861602424493046</v>
      </c>
      <c r="N23" s="22">
        <f t="shared" si="2"/>
        <v>9.5480553493884873E-2</v>
      </c>
      <c r="O23" s="22">
        <f t="shared" si="1"/>
        <v>0.10199458890803295</v>
      </c>
    </row>
    <row r="24" spans="2:15" x14ac:dyDescent="0.3">
      <c r="B24" t="s">
        <v>129</v>
      </c>
      <c r="C24" s="22">
        <f>IFERROR(C22*C23,0)</f>
        <v>9.9956717925246324E-2</v>
      </c>
      <c r="D24" s="22">
        <f t="shared" ref="D24:K24" si="4">IFERROR(D22*D23,0)</f>
        <v>8.6029797740867303E-2</v>
      </c>
      <c r="E24" s="22">
        <f t="shared" si="4"/>
        <v>8.9139491951352179E-2</v>
      </c>
      <c r="F24" s="22">
        <f t="shared" si="4"/>
        <v>5.3679707517582796E-2</v>
      </c>
      <c r="G24" s="22">
        <f t="shared" si="4"/>
        <v>6.3087919972957082E-2</v>
      </c>
      <c r="H24" s="22">
        <f t="shared" si="4"/>
        <v>5.2712179628943742E-2</v>
      </c>
      <c r="I24" s="22">
        <f t="shared" si="4"/>
        <v>5.584469961301787E-2</v>
      </c>
      <c r="J24" s="22">
        <f t="shared" si="4"/>
        <v>9.4512709170803053E-2</v>
      </c>
      <c r="K24" s="22">
        <f t="shared" si="4"/>
        <v>9.8709845506770338E-2</v>
      </c>
      <c r="L24" s="22">
        <f>IFERROR(L22*L23,0)</f>
        <v>7.9306111045131064E-2</v>
      </c>
      <c r="N24" s="22">
        <f t="shared" si="2"/>
        <v>7.729791800726718E-2</v>
      </c>
      <c r="O24" s="22">
        <f t="shared" si="1"/>
        <v>8.2667954392999177E-2</v>
      </c>
    </row>
    <row r="25" spans="2:15" x14ac:dyDescent="0.3">
      <c r="B25" s="25" t="s">
        <v>130</v>
      </c>
      <c r="C25" s="27">
        <f>IFERROR(('Historical FS'!C19-'Historical FS'!C25)/'Historical FS'!C22,0)</f>
        <v>12.174420200356797</v>
      </c>
      <c r="D25" s="27">
        <f>IFERROR(('Historical FS'!D19-'Historical FS'!D25)/'Historical FS'!D22,0)</f>
        <v>9.8529918592905155</v>
      </c>
      <c r="E25" s="27">
        <f>IFERROR(('Historical FS'!E19-'Historical FS'!E25)/'Historical FS'!E22,0)</f>
        <v>8.350433141363796</v>
      </c>
      <c r="F25" s="27">
        <f>IFERROR(('Historical FS'!F19-'Historical FS'!F25)/'Historical FS'!F22,0)</f>
        <v>7.3621533442088261</v>
      </c>
      <c r="G25" s="27">
        <f>IFERROR(('Historical FS'!G19-'Historical FS'!G25)/'Historical FS'!G22,0)</f>
        <v>13.162566751291264</v>
      </c>
      <c r="H25" s="27">
        <f>IFERROR(('Historical FS'!H19-'Historical FS'!H25)/'Historical FS'!H22,0)</f>
        <v>10.514753903698862</v>
      </c>
      <c r="I25" s="27">
        <f>IFERROR(('Historical FS'!I19-'Historical FS'!I25)/'Historical FS'!I22,0)</f>
        <v>10.292561815970819</v>
      </c>
      <c r="J25" s="27">
        <f>IFERROR(('Historical FS'!J19-'Historical FS'!J25)/'Historical FS'!J22,0)</f>
        <v>19.818108276291213</v>
      </c>
      <c r="K25" s="27">
        <f>IFERROR(('Historical FS'!K19-'Historical FS'!K25)/'Historical FS'!K22,0)</f>
        <v>32.918006582040441</v>
      </c>
      <c r="L25" s="27">
        <f>IFERROR(('Historical FS'!L19-'Historical FS'!L25)/'Historical FS'!L22,0)</f>
        <v>35.191345627168133</v>
      </c>
      <c r="M25" s="25"/>
      <c r="N25" s="27">
        <f t="shared" si="2"/>
        <v>15.963734150168069</v>
      </c>
      <c r="O25" s="27">
        <f t="shared" si="1"/>
        <v>11.34458705202783</v>
      </c>
    </row>
    <row r="27" spans="2:15" x14ac:dyDescent="0.3">
      <c r="B27" s="23" t="s">
        <v>131</v>
      </c>
      <c r="C27" s="28">
        <f>IFERROR('Historical FS'!C7/'Historical FS'!C63,0)</f>
        <v>6.207487994923393</v>
      </c>
      <c r="D27" s="28">
        <f>IFERROR('Historical FS'!D7/'Historical FS'!D63,0)</f>
        <v>5.6791942814808882</v>
      </c>
      <c r="E27" s="28">
        <f>IFERROR('Historical FS'!E7/'Historical FS'!E63,0)</f>
        <v>5.8525126577174946</v>
      </c>
      <c r="F27" s="28">
        <f>IFERROR('Historical FS'!F7/'Historical FS'!F63,0)</f>
        <v>5.6160785002243419</v>
      </c>
      <c r="G27" s="28">
        <f>IFERROR('Historical FS'!G7/'Historical FS'!G63,0)</f>
        <v>4.8850779222872243</v>
      </c>
      <c r="H27" s="28">
        <f>IFERROR('Historical FS'!H7/'Historical FS'!H63,0)</f>
        <v>3.9420654729781819</v>
      </c>
      <c r="I27" s="28">
        <f>IFERROR('Historical FS'!I7/'Historical FS'!I63,0)</f>
        <v>4.4026279067974539</v>
      </c>
      <c r="J27" s="28">
        <f>IFERROR('Historical FS'!J7/'Historical FS'!J63,0)</f>
        <v>5.560467019572334</v>
      </c>
      <c r="K27" s="28">
        <f>IFERROR('Historical FS'!K7/'Historical FS'!K63,0)</f>
        <v>6.3552989685904846</v>
      </c>
      <c r="L27" s="28">
        <f>IFERROR('Historical FS'!L7/'Historical FS'!L63,0)</f>
        <v>5.6083608577766819</v>
      </c>
      <c r="M27" s="23"/>
      <c r="N27" s="29">
        <f t="shared" si="2"/>
        <v>5.410917158234847</v>
      </c>
      <c r="O27" s="29">
        <f t="shared" si="1"/>
        <v>5.6122196790005123</v>
      </c>
    </row>
    <row r="28" spans="2:15" x14ac:dyDescent="0.3">
      <c r="B28" t="s">
        <v>132</v>
      </c>
      <c r="C28" s="30">
        <f>IFERROR('Historical FS'!C7/'Historical FS'!C54,0)</f>
        <v>4.839631796774654</v>
      </c>
      <c r="D28" s="30">
        <f>IFERROR('Historical FS'!D7/'Historical FS'!D54,0)</f>
        <v>3.5839777609299976</v>
      </c>
      <c r="E28" s="30">
        <f>IFERROR('Historical FS'!E7/'Historical FS'!E54,0)</f>
        <v>3.1837879644914402</v>
      </c>
      <c r="F28" s="30">
        <f>IFERROR('Historical FS'!F7/'Historical FS'!F54,0)</f>
        <v>3.4169447991985988</v>
      </c>
      <c r="G28" s="30">
        <f>IFERROR('Historical FS'!G7/'Historical FS'!G54,0)</f>
        <v>3.4875507978074678</v>
      </c>
      <c r="H28" s="30">
        <f>IFERROR('Historical FS'!H7/'Historical FS'!H54,0)</f>
        <v>3.6907136734785944</v>
      </c>
      <c r="I28" s="30">
        <f>IFERROR('Historical FS'!I7/'Historical FS'!I54,0)</f>
        <v>3.5372117703412513</v>
      </c>
      <c r="J28" s="30">
        <f>IFERROR('Historical FS'!J7/'Historical FS'!J54,0)</f>
        <v>4.2441619372931587</v>
      </c>
      <c r="K28" s="30">
        <f>IFERROR('Historical FS'!K7/'Historical FS'!K54,0)</f>
        <v>4.3880444140662025</v>
      </c>
      <c r="L28" s="30">
        <f>IFERROR('Historical FS'!L7/'Historical FS'!L54,0)</f>
        <v>4.4709516417441195</v>
      </c>
      <c r="N28" s="31">
        <f t="shared" si="2"/>
        <v>3.8842976556125484</v>
      </c>
      <c r="O28" s="31">
        <f t="shared" si="1"/>
        <v>3.6373457172042958</v>
      </c>
    </row>
    <row r="29" spans="2:15" x14ac:dyDescent="0.3">
      <c r="B29" t="s">
        <v>133</v>
      </c>
      <c r="C29" s="30">
        <f>IFERROR('Historical FS'!C7/'Historical FS'!C64,0)</f>
        <v>3.5138087771046465</v>
      </c>
      <c r="D29" s="30">
        <f>IFERROR('Historical FS'!D7/'Historical FS'!D64,0)</f>
        <v>3.0009469346297699</v>
      </c>
      <c r="E29" s="30">
        <f>IFERROR('Historical FS'!E7/'Historical FS'!E64,0)</f>
        <v>3.6213022413046048</v>
      </c>
      <c r="F29" s="30">
        <f>IFERROR('Historical FS'!F7/'Historical FS'!F64,0)</f>
        <v>4.1300239865950514</v>
      </c>
      <c r="G29" s="30">
        <f>IFERROR('Historical FS'!G7/'Historical FS'!G64,0)</f>
        <v>3.7470541696541151</v>
      </c>
      <c r="H29" s="30">
        <f>IFERROR('Historical FS'!H7/'Historical FS'!H64,0)</f>
        <v>4.1268881641835842</v>
      </c>
      <c r="I29" s="30">
        <f>IFERROR('Historical FS'!I7/'Historical FS'!I64,0)</f>
        <v>3.9135576571637429</v>
      </c>
      <c r="J29" s="30">
        <f>IFERROR('Historical FS'!J7/'Historical FS'!J64,0)</f>
        <v>4.1034164457142364</v>
      </c>
      <c r="K29" s="30">
        <f>IFERROR('Historical FS'!K7/'Historical FS'!K64,0)</f>
        <v>4.0677315410149824</v>
      </c>
      <c r="L29" s="30">
        <f>IFERROR('Historical FS'!L7/'Historical FS'!L64,0)</f>
        <v>4.4125722641439911</v>
      </c>
      <c r="N29" s="31">
        <f t="shared" si="2"/>
        <v>3.8637302181508728</v>
      </c>
      <c r="O29" s="31">
        <f t="shared" si="1"/>
        <v>3.9906445990893626</v>
      </c>
    </row>
    <row r="30" spans="2:15" x14ac:dyDescent="0.3">
      <c r="B30" t="s">
        <v>134</v>
      </c>
      <c r="C30" s="30">
        <f>IFERROR('Historical FS'!C7/'Historical FS'!C57,0)</f>
        <v>1.5659873746819426</v>
      </c>
      <c r="D30" s="30">
        <f>IFERROR('Historical FS'!D7/'Historical FS'!D57,0)</f>
        <v>1.6612061543507417</v>
      </c>
      <c r="E30" s="30">
        <f>IFERROR('Historical FS'!E7/'Historical FS'!E57,0)</f>
        <v>1.4719928439677552</v>
      </c>
      <c r="F30" s="30">
        <f>IFERROR('Historical FS'!F7/'Historical FS'!F57,0)</f>
        <v>1.5164686398412135</v>
      </c>
      <c r="G30" s="30">
        <f>IFERROR('Historical FS'!G7/'Historical FS'!G57,0)</f>
        <v>1.523160910818609</v>
      </c>
      <c r="H30" s="30">
        <f>IFERROR('Historical FS'!H7/'Historical FS'!H57,0)</f>
        <v>1.7029347360007325</v>
      </c>
      <c r="I30" s="30">
        <f>IFERROR('Historical FS'!I7/'Historical FS'!I57,0)</f>
        <v>1.7693054449652947</v>
      </c>
      <c r="J30" s="30">
        <f>IFERROR('Historical FS'!J7/'Historical FS'!J57,0)</f>
        <v>2.0135095086763517</v>
      </c>
      <c r="K30" s="30">
        <f>IFERROR('Historical FS'!K7/'Historical FS'!K57,0)</f>
        <v>2.2475057650622254</v>
      </c>
      <c r="L30" s="30">
        <f>IFERROR('Historical FS'!L7/'Historical FS'!L57,0)</f>
        <v>2.4838349082144169</v>
      </c>
      <c r="N30" s="31">
        <f t="shared" si="2"/>
        <v>1.7955906286579282</v>
      </c>
      <c r="O30" s="31">
        <f t="shared" si="1"/>
        <v>1.6820704451757371</v>
      </c>
    </row>
    <row r="31" spans="2:15" x14ac:dyDescent="0.3">
      <c r="B31" s="25" t="s">
        <v>135</v>
      </c>
      <c r="C31" s="32">
        <f>IFERROR('Historical FS'!C7/SUM('Historical FS'!C51:C52),0)</f>
        <v>1.0122423597188157</v>
      </c>
      <c r="D31" s="32">
        <f>IFERROR('Historical FS'!D7/SUM('Historical FS'!D51:D52),0)</f>
        <v>1.0503587930924345</v>
      </c>
      <c r="E31" s="32">
        <f>IFERROR('Historical FS'!E7/SUM('Historical FS'!E51:E52),0)</f>
        <v>1.1974502050151872</v>
      </c>
      <c r="F31" s="32">
        <f>IFERROR('Historical FS'!F7/SUM('Historical FS'!F51:F52),0)</f>
        <v>1.1475350894396055</v>
      </c>
      <c r="G31" s="32">
        <f>IFERROR('Historical FS'!G7/SUM('Historical FS'!G51:G52),0)</f>
        <v>1.0651140367090466</v>
      </c>
      <c r="H31" s="32">
        <f>IFERROR('Historical FS'!H7/SUM('Historical FS'!H51:H52),0)</f>
        <v>1.0899350398473784</v>
      </c>
      <c r="I31" s="32">
        <f>IFERROR('Historical FS'!I7/SUM('Historical FS'!I51:I52),0)</f>
        <v>1.0868483156759501</v>
      </c>
      <c r="J31" s="32">
        <f>IFERROR('Historical FS'!J7/SUM('Historical FS'!J51:J52),0)</f>
        <v>1.0454565048593485</v>
      </c>
      <c r="K31" s="32">
        <f>IFERROR('Historical FS'!K7/SUM('Historical FS'!K51:K52),0)</f>
        <v>1.0442214618872077</v>
      </c>
      <c r="L31" s="32">
        <f>IFERROR('Historical FS'!L7/SUM('Historical FS'!L51:L52),0)</f>
        <v>0.97203237556060418</v>
      </c>
      <c r="M31" s="25"/>
      <c r="N31" s="27">
        <f t="shared" si="2"/>
        <v>1.0711194181805577</v>
      </c>
      <c r="O31" s="27">
        <f t="shared" si="1"/>
        <v>1.0577364149007407</v>
      </c>
    </row>
    <row r="33" spans="2:15" x14ac:dyDescent="0.3">
      <c r="B33" s="23" t="s">
        <v>136</v>
      </c>
      <c r="C33" s="33">
        <f>IFERROR(365/C27,0)</f>
        <v>58.799952621495883</v>
      </c>
      <c r="D33" s="33">
        <f t="shared" ref="D33:K33" si="5">IFERROR(365/D27,0)</f>
        <v>64.269680153436099</v>
      </c>
      <c r="E33" s="33">
        <f t="shared" si="5"/>
        <v>62.366375153189601</v>
      </c>
      <c r="F33" s="33">
        <f t="shared" si="5"/>
        <v>64.991969037722598</v>
      </c>
      <c r="G33" s="33">
        <f t="shared" si="5"/>
        <v>74.717334258837099</v>
      </c>
      <c r="H33" s="33">
        <f t="shared" si="5"/>
        <v>92.591054740713631</v>
      </c>
      <c r="I33" s="33">
        <f t="shared" si="5"/>
        <v>82.905030297122522</v>
      </c>
      <c r="J33" s="33">
        <f t="shared" si="5"/>
        <v>65.64196833022001</v>
      </c>
      <c r="K33" s="33">
        <f t="shared" si="5"/>
        <v>57.432388594765328</v>
      </c>
      <c r="L33" s="33">
        <f>IFERROR(365/L27,0)</f>
        <v>65.081404220607993</v>
      </c>
      <c r="M33" s="23"/>
      <c r="N33" s="33">
        <f t="shared" si="2"/>
        <v>68.879715740811079</v>
      </c>
      <c r="O33" s="33">
        <f t="shared" si="1"/>
        <v>65.036686629165303</v>
      </c>
    </row>
    <row r="34" spans="2:15" x14ac:dyDescent="0.3">
      <c r="B34" t="s">
        <v>137</v>
      </c>
      <c r="C34" s="34">
        <f>IFERROR(365/C28,0)</f>
        <v>75.418960641438105</v>
      </c>
      <c r="D34" s="34">
        <f t="shared" ref="D34:K34" si="6">IFERROR(365/D28,0)</f>
        <v>101.84214979762794</v>
      </c>
      <c r="E34" s="34">
        <f t="shared" si="6"/>
        <v>114.64331295639626</v>
      </c>
      <c r="F34" s="34">
        <f t="shared" si="6"/>
        <v>106.82057260205261</v>
      </c>
      <c r="G34" s="34">
        <f t="shared" si="6"/>
        <v>104.65797379337556</v>
      </c>
      <c r="H34" s="34">
        <f t="shared" si="6"/>
        <v>98.896861770362676</v>
      </c>
      <c r="I34" s="34">
        <f t="shared" si="6"/>
        <v>103.18861965247469</v>
      </c>
      <c r="J34" s="34">
        <f t="shared" si="6"/>
        <v>86.000488528199199</v>
      </c>
      <c r="K34" s="34">
        <f t="shared" si="6"/>
        <v>83.180561899046737</v>
      </c>
      <c r="L34" s="34">
        <f>IFERROR(365/L28,0)</f>
        <v>81.63810062092584</v>
      </c>
      <c r="N34" s="34">
        <f t="shared" si="2"/>
        <v>95.628760226189954</v>
      </c>
      <c r="O34" s="34">
        <f t="shared" si="1"/>
        <v>100.36950578399531</v>
      </c>
    </row>
    <row r="35" spans="2:15" x14ac:dyDescent="0.3">
      <c r="B35" t="s">
        <v>138</v>
      </c>
      <c r="C35" s="34">
        <f>IFERROR(365/C29,0)</f>
        <v>103.87588601243048</v>
      </c>
      <c r="D35" s="34">
        <f t="shared" ref="D35:K35" si="7">IFERROR(365/D29,0)</f>
        <v>121.62827532471195</v>
      </c>
      <c r="E35" s="34">
        <f t="shared" si="7"/>
        <v>100.79247068549176</v>
      </c>
      <c r="F35" s="34">
        <f t="shared" si="7"/>
        <v>88.377210685626025</v>
      </c>
      <c r="G35" s="34">
        <f t="shared" si="7"/>
        <v>97.409854107791716</v>
      </c>
      <c r="H35" s="34">
        <f t="shared" si="7"/>
        <v>88.444364247076066</v>
      </c>
      <c r="I35" s="34">
        <f t="shared" si="7"/>
        <v>93.265522569181968</v>
      </c>
      <c r="J35" s="34">
        <f t="shared" si="7"/>
        <v>88.950269812663009</v>
      </c>
      <c r="K35" s="34">
        <f t="shared" si="7"/>
        <v>89.730602012374945</v>
      </c>
      <c r="L35" s="34">
        <f>IFERROR(365/L29,0)</f>
        <v>82.718192054540211</v>
      </c>
      <c r="N35" s="34">
        <f t="shared" si="2"/>
        <v>95.5192647511888</v>
      </c>
      <c r="O35" s="34">
        <f t="shared" si="1"/>
        <v>91.498062290778449</v>
      </c>
    </row>
    <row r="36" spans="2:15" x14ac:dyDescent="0.3">
      <c r="B36" s="25" t="s">
        <v>139</v>
      </c>
      <c r="C36" s="35">
        <f>SUM(C33,C35)-C34</f>
        <v>87.256877992488256</v>
      </c>
      <c r="D36" s="35">
        <f t="shared" ref="D36:K36" si="8">SUM(D33,D35)-D34</f>
        <v>84.055805680520109</v>
      </c>
      <c r="E36" s="35">
        <f t="shared" si="8"/>
        <v>48.515532882285115</v>
      </c>
      <c r="F36" s="35">
        <f t="shared" si="8"/>
        <v>46.548607121296016</v>
      </c>
      <c r="G36" s="35">
        <f t="shared" si="8"/>
        <v>67.469214573253254</v>
      </c>
      <c r="H36" s="35">
        <f t="shared" si="8"/>
        <v>82.138557217427007</v>
      </c>
      <c r="I36" s="35">
        <f t="shared" si="8"/>
        <v>72.981933213829805</v>
      </c>
      <c r="J36" s="35">
        <f t="shared" si="8"/>
        <v>68.59174961468382</v>
      </c>
      <c r="K36" s="35">
        <f t="shared" si="8"/>
        <v>63.982428708093536</v>
      </c>
      <c r="L36" s="35">
        <f>SUM(L33,L35)-L34</f>
        <v>66.16149565422235</v>
      </c>
      <c r="M36" s="25"/>
      <c r="N36" s="35">
        <f t="shared" si="2"/>
        <v>68.770220265809911</v>
      </c>
      <c r="O36" s="35">
        <f t="shared" si="1"/>
        <v>68.030482093968544</v>
      </c>
    </row>
    <row r="37" spans="2:15" x14ac:dyDescent="0.3">
      <c r="B37" s="25"/>
      <c r="C37" s="25"/>
      <c r="D37" s="25"/>
      <c r="E37" s="25"/>
      <c r="F37" s="25"/>
      <c r="G37" s="25"/>
      <c r="H37" s="25"/>
      <c r="I37" s="25"/>
      <c r="J37" s="25"/>
      <c r="K37" s="25"/>
      <c r="L37" s="25"/>
      <c r="M37" s="25"/>
      <c r="N37" s="25"/>
      <c r="O37" s="25"/>
    </row>
    <row r="38" spans="2:15" x14ac:dyDescent="0.3">
      <c r="B38" t="s">
        <v>140</v>
      </c>
      <c r="C38" s="22">
        <f>IFERROR('Historical FS'!C85/'Historical FS'!C7,0)</f>
        <v>9.859053865034173E-2</v>
      </c>
      <c r="D38" s="22">
        <f>IFERROR('Historical FS'!D85/'Historical FS'!D7,0)</f>
        <v>4.0016076943688389E-2</v>
      </c>
      <c r="E38" s="22">
        <f>IFERROR('Historical FS'!E85/'Historical FS'!E7,0)</f>
        <v>9.5140716891103039E-2</v>
      </c>
      <c r="F38" s="22">
        <f>IFERROR('Historical FS'!F85/'Historical FS'!F7,0)</f>
        <v>0.18187767510589267</v>
      </c>
      <c r="G38" s="22">
        <f>IFERROR('Historical FS'!G85/'Historical FS'!G7,0)</f>
        <v>4.5197486623853325E-2</v>
      </c>
      <c r="H38" s="22">
        <f>IFERROR('Historical FS'!H85/'Historical FS'!H7,0)</f>
        <v>3.8319538503191156E-2</v>
      </c>
      <c r="I38" s="22">
        <f>IFERROR('Historical FS'!I85/'Historical FS'!I7,0)</f>
        <v>0.20085232363549124</v>
      </c>
      <c r="J38" s="22">
        <f>IFERROR('Historical FS'!J85/'Historical FS'!J7,0)</f>
        <v>0.21545346220874245</v>
      </c>
      <c r="K38" s="22">
        <f>IFERROR('Historical FS'!K85/'Historical FS'!K7,0)</f>
        <v>0.14464691540912378</v>
      </c>
      <c r="L38" s="22">
        <f>IFERROR('Historical FS'!L85/'Historical FS'!L7,0)</f>
        <v>0.11774209427102746</v>
      </c>
      <c r="N38" s="22">
        <f t="shared" si="2"/>
        <v>0.11778368282424553</v>
      </c>
      <c r="O38" s="22">
        <f t="shared" si="1"/>
        <v>0.10816631646068459</v>
      </c>
    </row>
    <row r="39" spans="2:15" x14ac:dyDescent="0.3">
      <c r="B39" t="s">
        <v>141</v>
      </c>
      <c r="C39" s="22">
        <f>IFERROR('Historical FS'!C85/'Historical FS'!C68,0)</f>
        <v>7.4848735407108458E-2</v>
      </c>
      <c r="D39" s="22">
        <f>IFERROR('Historical FS'!D85/'Historical FS'!D68,0)</f>
        <v>2.8971782504872236E-2</v>
      </c>
      <c r="E39" s="22">
        <f>IFERROR('Historical FS'!E85/'Historical FS'!E68,0)</f>
        <v>6.2329301089955158E-2</v>
      </c>
      <c r="F39" s="22">
        <f>IFERROR('Historical FS'!F85/'Historical FS'!F68,0)</f>
        <v>0.12544959159401484</v>
      </c>
      <c r="G39" s="22">
        <f>IFERROR('Historical FS'!G85/'Historical FS'!G68,0)</f>
        <v>3.021227985833308E-2</v>
      </c>
      <c r="H39" s="22">
        <f>IFERROR('Historical FS'!H85/'Historical FS'!H68,0)</f>
        <v>2.6386767730371845E-2</v>
      </c>
      <c r="I39" s="22">
        <f>IFERROR('Historical FS'!I85/'Historical FS'!I68,0)</f>
        <v>0.1469082035060725</v>
      </c>
      <c r="J39" s="22">
        <f>IFERROR('Historical FS'!J85/'Historical FS'!J68,0)</f>
        <v>0.16608141207823851</v>
      </c>
      <c r="K39" s="22">
        <f>IFERROR('Historical FS'!K85/'Historical FS'!K68,0)</f>
        <v>0.11721269114083545</v>
      </c>
      <c r="L39" s="22">
        <f>IFERROR('Historical FS'!L85/'Historical FS'!L68,0)</f>
        <v>9.1433447098976106E-2</v>
      </c>
      <c r="N39" s="22">
        <f t="shared" si="2"/>
        <v>8.6983421200877806E-2</v>
      </c>
      <c r="O39" s="22">
        <f t="shared" si="1"/>
        <v>8.3141091253042282E-2</v>
      </c>
    </row>
    <row r="40" spans="2:15" x14ac:dyDescent="0.3">
      <c r="B40" s="25" t="s">
        <v>142</v>
      </c>
      <c r="C40" s="26">
        <f>IFERROR('Historical FS'!C85/'Historical FS'!C55,0)</f>
        <v>7.4848735407108458E-2</v>
      </c>
      <c r="D40" s="26">
        <f>IFERROR('Historical FS'!D85/'Historical FS'!D55,0)</f>
        <v>2.8971782504872236E-2</v>
      </c>
      <c r="E40" s="26">
        <f>IFERROR('Historical FS'!E85/'Historical FS'!E55,0)</f>
        <v>6.2329301089955144E-2</v>
      </c>
      <c r="F40" s="26">
        <f>IFERROR('Historical FS'!F85/'Historical FS'!F55,0)</f>
        <v>0.12544959159401484</v>
      </c>
      <c r="G40" s="26">
        <f>IFERROR('Historical FS'!G85/'Historical FS'!G55,0)</f>
        <v>3.0212279858333073E-2</v>
      </c>
      <c r="H40" s="26">
        <f>IFERROR('Historical FS'!H85/'Historical FS'!H55,0)</f>
        <v>2.6386767730371845E-2</v>
      </c>
      <c r="I40" s="26">
        <f>IFERROR('Historical FS'!I85/'Historical FS'!I55,0)</f>
        <v>0.1469082035060725</v>
      </c>
      <c r="J40" s="26">
        <f>IFERROR('Historical FS'!J85/'Historical FS'!J55,0)</f>
        <v>0.16608141207823851</v>
      </c>
      <c r="K40" s="26">
        <f>IFERROR('Historical FS'!K85/'Historical FS'!K55,0)</f>
        <v>0.11721269114083545</v>
      </c>
      <c r="L40" s="26">
        <f>IFERROR('Historical FS'!L85/'Historical FS'!L55,0)</f>
        <v>9.1433447098976106E-2</v>
      </c>
      <c r="M40" s="25"/>
      <c r="N40" s="26">
        <f t="shared" si="2"/>
        <v>8.6983421200877806E-2</v>
      </c>
      <c r="O40" s="26">
        <f t="shared" si="1"/>
        <v>8.3141091253042282E-2</v>
      </c>
    </row>
    <row r="42" spans="2:15" ht="5.4" customHeight="1" x14ac:dyDescent="0.3">
      <c r="B42" s="59"/>
      <c r="C42" s="59"/>
      <c r="D42" s="59"/>
      <c r="E42" s="59"/>
      <c r="F42" s="59"/>
      <c r="G42" s="59"/>
      <c r="H42" s="59"/>
      <c r="I42" s="59"/>
      <c r="J42" s="59"/>
      <c r="K42" s="59"/>
      <c r="L42" s="59"/>
      <c r="M42" s="59"/>
      <c r="N42" s="59"/>
      <c r="O42" s="59"/>
    </row>
  </sheetData>
  <mergeCells count="1">
    <mergeCell ref="B2:O2"/>
  </mergeCells>
  <pageMargins left="0.7" right="0.7" top="0.75" bottom="0.75" header="0.3" footer="0.3"/>
  <pageSetup scale="50" fitToHeight="0" orientation="portrait" r:id="rId1"/>
  <extLst>
    <ext xmlns:x14="http://schemas.microsoft.com/office/spreadsheetml/2009/9/main" uri="{05C60535-1F16-4fd2-B633-F4F36F0B64E0}">
      <x14:sparklineGroups xmlns:xm="http://schemas.microsoft.com/office/excel/2006/main">
        <x14:sparklineGroup displayEmptyCellsAs="gap" markers="1" negative="1" xr2:uid="{C548C200-9FC6-43BF-AC9C-83DAA65DF138}">
          <x14:colorSeries rgb="FF002060"/>
          <x14:colorNegative theme="9"/>
          <x14:colorAxis rgb="FF000000"/>
          <x14:colorMarkers theme="8" tint="-0.499984740745262"/>
          <x14:colorFirst theme="8" tint="0.39997558519241921"/>
          <x14:colorLast theme="8" tint="0.39997558519241921"/>
          <x14:colorHigh theme="8"/>
          <x14:colorLow theme="8"/>
          <x14:sparklines>
            <x14:sparkline>
              <xm:f>'Ratio Analysis'!D5:L5</xm:f>
              <xm:sqref>M5</xm:sqref>
            </x14:sparkline>
            <x14:sparkline>
              <xm:f>'Ratio Analysis'!D6:L6</xm:f>
              <xm:sqref>M6</xm:sqref>
            </x14:sparkline>
            <x14:sparkline>
              <xm:f>'Ratio Analysis'!D7:L7</xm:f>
              <xm:sqref>M7</xm:sqref>
            </x14:sparkline>
            <x14:sparkline>
              <xm:f>'Ratio Analysis'!D8:L8</xm:f>
              <xm:sqref>M8</xm:sqref>
            </x14:sparkline>
            <x14:sparkline>
              <xm:f>'Ratio Analysis'!D9:L9</xm:f>
              <xm:sqref>M9</xm:sqref>
            </x14:sparkline>
          </x14:sparklines>
        </x14:sparklineGroup>
        <x14:sparklineGroup displayEmptyCellsAs="gap" markers="1" negative="1" xr2:uid="{B559677F-ED16-4F38-86E6-192DB3E8CB0F}">
          <x14:colorSeries rgb="FF002060"/>
          <x14:colorNegative theme="9"/>
          <x14:colorAxis rgb="FF000000"/>
          <x14:colorMarkers theme="8" tint="-0.499984740745262"/>
          <x14:colorFirst theme="8" tint="0.39997558519241921"/>
          <x14:colorLast theme="8" tint="0.39997558519241921"/>
          <x14:colorHigh theme="8"/>
          <x14:colorLow theme="8"/>
          <x14:sparklines>
            <x14:sparkline>
              <xm:f>'Ratio Analysis'!C11:L11</xm:f>
              <xm:sqref>M11</xm:sqref>
            </x14:sparkline>
            <x14:sparkline>
              <xm:f>'Ratio Analysis'!C12:L12</xm:f>
              <xm:sqref>M12</xm:sqref>
            </x14:sparkline>
            <x14:sparkline>
              <xm:f>'Ratio Analysis'!C13:L13</xm:f>
              <xm:sqref>M13</xm:sqref>
            </x14:sparkline>
            <x14:sparkline>
              <xm:f>'Ratio Analysis'!C14:L14</xm:f>
              <xm:sqref>M14</xm:sqref>
            </x14:sparkline>
            <x14:sparkline>
              <xm:f>'Ratio Analysis'!C15:L15</xm:f>
              <xm:sqref>M15</xm:sqref>
            </x14:sparkline>
          </x14:sparklines>
        </x14:sparklineGroup>
        <x14:sparklineGroup displayEmptyCellsAs="gap" markers="1" negative="1" xr2:uid="{D1539FE1-1DCA-44D3-B5FD-590208A8FA76}">
          <x14:colorSeries rgb="FF002060"/>
          <x14:colorNegative theme="9"/>
          <x14:colorAxis rgb="FF000000"/>
          <x14:colorMarkers theme="8" tint="-0.499984740745262"/>
          <x14:colorFirst theme="8" tint="0.39997558519241921"/>
          <x14:colorLast theme="8" tint="0.39997558519241921"/>
          <x14:colorHigh theme="8"/>
          <x14:colorLow theme="8"/>
          <x14:sparklines>
            <x14:sparkline>
              <xm:f>'Ratio Analysis'!C17:L17</xm:f>
              <xm:sqref>M17</xm:sqref>
            </x14:sparkline>
            <x14:sparkline>
              <xm:f>'Ratio Analysis'!C18:L18</xm:f>
              <xm:sqref>M18</xm:sqref>
            </x14:sparkline>
            <x14:sparkline>
              <xm:f>'Ratio Analysis'!C19:L19</xm:f>
              <xm:sqref>M19</xm:sqref>
            </x14:sparkline>
          </x14:sparklines>
        </x14:sparklineGroup>
        <x14:sparklineGroup displayEmptyCellsAs="gap" markers="1" negative="1" xr2:uid="{7E20B51A-CE6E-42AE-9CDE-468708F4A1F5}">
          <x14:colorSeries rgb="FF002060"/>
          <x14:colorNegative theme="9"/>
          <x14:colorAxis rgb="FF000000"/>
          <x14:colorMarkers theme="8" tint="-0.499984740745262"/>
          <x14:colorFirst theme="8" tint="0.39997558519241921"/>
          <x14:colorLast theme="8" tint="0.39997558519241921"/>
          <x14:colorHigh theme="8"/>
          <x14:colorLow theme="8"/>
          <x14:sparklines>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s>
        </x14:sparklineGroup>
        <x14:sparklineGroup displayEmptyCellsAs="gap" markers="1" negative="1" xr2:uid="{E683259A-E8A7-43F1-811F-E99FBC688875}">
          <x14:colorSeries rgb="FF002060"/>
          <x14:colorNegative theme="9"/>
          <x14:colorAxis rgb="FF000000"/>
          <x14:colorMarkers theme="8" tint="-0.499984740745262"/>
          <x14:colorFirst theme="8" tint="0.39997558519241921"/>
          <x14:colorLast theme="8" tint="0.39997558519241921"/>
          <x14:colorHigh theme="8"/>
          <x14:colorLow theme="8"/>
          <x14:sparklines>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s>
        </x14:sparklineGroup>
        <x14:sparklineGroup displayEmptyCellsAs="gap" markers="1" negative="1" xr2:uid="{9306EDC6-E147-4C30-BF15-E37E067970F1}">
          <x14:colorSeries rgb="FF002060"/>
          <x14:colorNegative theme="9"/>
          <x14:colorAxis rgb="FF000000"/>
          <x14:colorMarkers theme="8" tint="-0.499984740745262"/>
          <x14:colorFirst theme="8" tint="0.39997558519241921"/>
          <x14:colorLast theme="8" tint="0.39997558519241921"/>
          <x14:colorHigh theme="8"/>
          <x14:colorLow theme="8"/>
          <x14:sparklines>
            <x14:sparkline>
              <xm:f>'Ratio Analysis'!C33:L33</xm:f>
              <xm:sqref>M33</xm:sqref>
            </x14:sparkline>
            <x14:sparkline>
              <xm:f>'Ratio Analysis'!C34:L34</xm:f>
              <xm:sqref>M34</xm:sqref>
            </x14:sparkline>
            <x14:sparkline>
              <xm:f>'Ratio Analysis'!C35:L35</xm:f>
              <xm:sqref>M35</xm:sqref>
            </x14:sparkline>
            <x14:sparkline>
              <xm:f>'Ratio Analysis'!C36:L36</xm:f>
              <xm:sqref>M36</xm:sqref>
            </x14:sparkline>
          </x14:sparklines>
        </x14:sparklineGroup>
        <x14:sparklineGroup displayEmptyCellsAs="gap" markers="1" negative="1" xr2:uid="{7D2848FC-9809-4754-B3E1-2FAF26BC34D4}">
          <x14:colorSeries rgb="FF002060"/>
          <x14:colorNegative theme="9"/>
          <x14:colorAxis rgb="FF000000"/>
          <x14:colorMarkers theme="8" tint="-0.499984740745262"/>
          <x14:colorFirst theme="8" tint="0.39997558519241921"/>
          <x14:colorLast theme="8" tint="0.39997558519241921"/>
          <x14:colorHigh theme="8"/>
          <x14:colorLow theme="8"/>
          <x14:sparklines>
            <x14:sparkline>
              <xm:f>'Ratio Analysis'!C38:L38</xm:f>
              <xm:sqref>M38</xm:sqref>
            </x14:sparkline>
            <x14:sparkline>
              <xm:f>'Ratio Analysis'!C39:L39</xm:f>
              <xm:sqref>M39</xm:sqref>
            </x14:sparkline>
            <x14:sparkline>
              <xm:f>'Ratio Analysis'!C40:L40</xm:f>
              <xm:sqref>M40</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3E50E-565B-46F7-98CE-31842207E857}">
  <sheetPr>
    <pageSetUpPr fitToPage="1"/>
  </sheetPr>
  <dimension ref="B2:O35"/>
  <sheetViews>
    <sheetView showGridLines="0" topLeftCell="B25" workbookViewId="0">
      <selection activeCell="B2" sqref="B2:O36"/>
    </sheetView>
  </sheetViews>
  <sheetFormatPr defaultRowHeight="14.4" x14ac:dyDescent="0.3"/>
  <cols>
    <col min="1" max="1" width="2.44140625" customWidth="1"/>
    <col min="2" max="2" width="11.109375" bestFit="1" customWidth="1"/>
    <col min="3" max="3" width="12.21875" customWidth="1"/>
    <col min="4" max="5" width="14.33203125" customWidth="1"/>
    <col min="6" max="6" width="8" customWidth="1"/>
    <col min="7" max="7" width="11.109375" bestFit="1" customWidth="1"/>
    <col min="8" max="8" width="10" customWidth="1"/>
    <col min="9" max="9" width="12.88671875" customWidth="1"/>
    <col min="10" max="10" width="11.21875" customWidth="1"/>
    <col min="11" max="11" width="8.109375" customWidth="1"/>
    <col min="12" max="12" width="11.77734375" customWidth="1"/>
    <col min="13" max="13" width="7.109375" bestFit="1" customWidth="1"/>
    <col min="14" max="14" width="12.109375" customWidth="1"/>
    <col min="15" max="15" width="19.109375" customWidth="1"/>
  </cols>
  <sheetData>
    <row r="2" spans="2:15" x14ac:dyDescent="0.3">
      <c r="B2" s="270" t="s">
        <v>218</v>
      </c>
      <c r="C2" s="270"/>
      <c r="D2" s="270"/>
      <c r="E2" s="270"/>
      <c r="F2" s="270"/>
      <c r="G2" s="270"/>
      <c r="H2" s="270"/>
      <c r="I2" s="270"/>
      <c r="J2" s="270"/>
      <c r="K2" s="270"/>
      <c r="L2" s="270"/>
      <c r="M2" s="270"/>
      <c r="N2" s="270"/>
      <c r="O2" s="270"/>
    </row>
    <row r="4" spans="2:15" x14ac:dyDescent="0.3">
      <c r="B4" s="270" t="str">
        <f>'Data Sheet'!$B$1&amp;" - "&amp;'Data Sheet'!A17 &amp;" Forecasting"</f>
        <v>CIPLA LTD - Sales Forecasting</v>
      </c>
      <c r="C4" s="270"/>
      <c r="D4" s="270"/>
      <c r="E4" s="270"/>
      <c r="G4" s="270" t="str">
        <f>'Data Sheet'!$B$1&amp;" - "&amp;'Historical FS'!B19 &amp;" Forecasting"</f>
        <v>CIPLA LTD - EBITDA Forecasting</v>
      </c>
      <c r="H4" s="270"/>
      <c r="I4" s="270"/>
      <c r="J4" s="270"/>
      <c r="L4" s="270" t="str">
        <f>'Data Sheet'!$B$1&amp;" - "&amp;'Historical FS'!B39 &amp;" Forecasting"</f>
        <v>CIPLA LTD - Earning per share (EPS) Forecasting</v>
      </c>
      <c r="M4" s="270"/>
      <c r="N4" s="270"/>
      <c r="O4" s="270"/>
    </row>
    <row r="5" spans="2:15" x14ac:dyDescent="0.3">
      <c r="B5" s="77" t="s">
        <v>147</v>
      </c>
      <c r="C5" s="77" t="s">
        <v>148</v>
      </c>
      <c r="D5" s="77" t="s">
        <v>1</v>
      </c>
      <c r="E5" s="78" t="s">
        <v>219</v>
      </c>
      <c r="G5" s="77" t="s">
        <v>147</v>
      </c>
      <c r="H5" s="77" t="s">
        <v>148</v>
      </c>
      <c r="I5" s="77" t="s">
        <v>1</v>
      </c>
      <c r="J5" s="78" t="s">
        <v>219</v>
      </c>
      <c r="L5" s="77" t="s">
        <v>147</v>
      </c>
      <c r="M5" s="77" t="s">
        <v>148</v>
      </c>
      <c r="N5" s="77" t="s">
        <v>1</v>
      </c>
      <c r="O5" s="78" t="s">
        <v>219</v>
      </c>
    </row>
    <row r="6" spans="2:15" x14ac:dyDescent="0.3">
      <c r="B6" s="47">
        <v>1</v>
      </c>
      <c r="C6" s="40">
        <f>'Historical FS'!$C$3</f>
        <v>41729</v>
      </c>
      <c r="D6" s="42">
        <f t="array" ref="D6:D15">TRANSPOSE('Data Sheet'!B17:K17)</f>
        <v>10173.39</v>
      </c>
      <c r="G6" s="47">
        <v>1</v>
      </c>
      <c r="H6" s="40">
        <f>'Historical FS'!$C$3</f>
        <v>41729</v>
      </c>
      <c r="I6" s="42">
        <f t="array" ref="I6:I15">TRANSPOSE('Historical FS'!C19:L19)</f>
        <v>2146.9399999999996</v>
      </c>
      <c r="L6" s="47">
        <v>1</v>
      </c>
      <c r="M6" s="40">
        <f>'Historical FS'!$C$3</f>
        <v>41729</v>
      </c>
      <c r="N6" s="42">
        <f t="array" ref="N6:N15">TRANSPOSE('Historical FS'!C39:L39)</f>
        <v>14.512143479885406</v>
      </c>
    </row>
    <row r="7" spans="2:15" x14ac:dyDescent="0.3">
      <c r="B7" s="47">
        <v>2</v>
      </c>
      <c r="C7" s="40">
        <f>C6+365</f>
        <v>42094</v>
      </c>
      <c r="D7" s="42">
        <v>11345.44</v>
      </c>
      <c r="E7" s="43">
        <f>D7/D6-1</f>
        <v>0.11520741856942496</v>
      </c>
      <c r="G7" s="47">
        <v>2</v>
      </c>
      <c r="H7" s="40">
        <f>H6+365</f>
        <v>42094</v>
      </c>
      <c r="I7" s="42">
        <v>2162.8700000000008</v>
      </c>
      <c r="J7" s="43">
        <f>I7/I6-1</f>
        <v>7.4198626882917562E-3</v>
      </c>
      <c r="L7" s="47">
        <v>2</v>
      </c>
      <c r="M7" s="40">
        <f>M6+365</f>
        <v>42094</v>
      </c>
      <c r="N7" s="42">
        <v>13.572104607721057</v>
      </c>
      <c r="O7" s="43">
        <f>N7/N6-1</f>
        <v>-6.4776018337145858E-2</v>
      </c>
    </row>
    <row r="8" spans="2:15" x14ac:dyDescent="0.3">
      <c r="B8" s="47">
        <v>3</v>
      </c>
      <c r="C8" s="40">
        <f>C7+365</f>
        <v>42459</v>
      </c>
      <c r="D8" s="42">
        <v>13790.1</v>
      </c>
      <c r="E8" s="43">
        <f t="shared" ref="E8:E20" si="0">D8/D7-1</f>
        <v>0.21547511599373848</v>
      </c>
      <c r="G8" s="47">
        <v>3</v>
      </c>
      <c r="H8" s="40">
        <f t="shared" ref="H8:H20" si="1">H7+365</f>
        <v>42459</v>
      </c>
      <c r="I8" s="42">
        <v>2479.670000000001</v>
      </c>
      <c r="J8" s="43">
        <f t="shared" ref="J8:J20" si="2">I8/I7-1</f>
        <v>0.14647204871305264</v>
      </c>
      <c r="L8" s="47">
        <v>3</v>
      </c>
      <c r="M8" s="40">
        <f t="shared" ref="M8:M20" si="3">M7+365</f>
        <v>42459</v>
      </c>
      <c r="N8" s="42">
        <v>14.777570326114029</v>
      </c>
      <c r="O8" s="43">
        <f t="shared" ref="O8:O20" si="4">N8/N7-1</f>
        <v>8.8819365399467332E-2</v>
      </c>
    </row>
    <row r="9" spans="2:15" x14ac:dyDescent="0.3">
      <c r="B9" s="47">
        <v>4</v>
      </c>
      <c r="C9" s="40">
        <f t="shared" ref="C9:C20" si="5">C8+365</f>
        <v>42824</v>
      </c>
      <c r="D9" s="42">
        <v>14394.29</v>
      </c>
      <c r="E9" s="43">
        <f t="shared" si="0"/>
        <v>4.3813315349417348E-2</v>
      </c>
      <c r="G9" s="47">
        <v>4</v>
      </c>
      <c r="H9" s="40">
        <f t="shared" si="1"/>
        <v>42824</v>
      </c>
      <c r="I9" s="42">
        <v>2496.3100000000027</v>
      </c>
      <c r="J9" s="43">
        <f t="shared" si="2"/>
        <v>6.7105703581531451E-3</v>
      </c>
      <c r="L9" s="47">
        <v>4</v>
      </c>
      <c r="M9" s="40">
        <f t="shared" si="3"/>
        <v>42824</v>
      </c>
      <c r="N9" s="42">
        <v>10.369670602858951</v>
      </c>
      <c r="O9" s="43">
        <f t="shared" si="4"/>
        <v>-0.29828311596431412</v>
      </c>
    </row>
    <row r="10" spans="2:15" x14ac:dyDescent="0.3">
      <c r="B10" s="47">
        <v>5</v>
      </c>
      <c r="C10" s="40">
        <f t="shared" si="5"/>
        <v>43189</v>
      </c>
      <c r="D10" s="42">
        <v>15155.71</v>
      </c>
      <c r="E10" s="43">
        <f>D10/D9-1</f>
        <v>5.2897364163150717E-2</v>
      </c>
      <c r="G10" s="47">
        <v>5</v>
      </c>
      <c r="H10" s="40">
        <f t="shared" si="1"/>
        <v>43189</v>
      </c>
      <c r="I10" s="42">
        <v>2826.380000000001</v>
      </c>
      <c r="J10" s="43">
        <f t="shared" si="2"/>
        <v>0.13222316138620527</v>
      </c>
      <c r="L10" s="47">
        <v>5</v>
      </c>
      <c r="M10" s="40">
        <f t="shared" si="3"/>
        <v>43189</v>
      </c>
      <c r="N10" s="42">
        <v>14.150043472860528</v>
      </c>
      <c r="O10" s="43">
        <f t="shared" si="4"/>
        <v>0.36456055498612616</v>
      </c>
    </row>
    <row r="11" spans="2:15" x14ac:dyDescent="0.3">
      <c r="B11" s="47">
        <v>6</v>
      </c>
      <c r="C11" s="40">
        <f t="shared" si="5"/>
        <v>43554</v>
      </c>
      <c r="D11" s="42">
        <v>16362.41</v>
      </c>
      <c r="E11" s="43">
        <f t="shared" si="0"/>
        <v>7.9620156363509276E-2</v>
      </c>
      <c r="G11" s="47">
        <v>6</v>
      </c>
      <c r="H11" s="40">
        <f t="shared" si="1"/>
        <v>43554</v>
      </c>
      <c r="I11" s="42">
        <v>3097.3099999999995</v>
      </c>
      <c r="J11" s="43">
        <f t="shared" si="2"/>
        <v>9.5857598765912044E-2</v>
      </c>
      <c r="L11" s="47">
        <v>6</v>
      </c>
      <c r="M11" s="40">
        <f t="shared" si="3"/>
        <v>43554</v>
      </c>
      <c r="N11" s="42">
        <v>12.821645773861233</v>
      </c>
      <c r="O11" s="43">
        <f t="shared" si="4"/>
        <v>-9.3879407617872834E-2</v>
      </c>
    </row>
    <row r="12" spans="2:15" x14ac:dyDescent="0.3">
      <c r="B12" s="47">
        <v>7</v>
      </c>
      <c r="C12" s="40">
        <f t="shared" si="5"/>
        <v>43919</v>
      </c>
      <c r="D12" s="42">
        <v>17131.990000000002</v>
      </c>
      <c r="E12" s="43">
        <f t="shared" si="0"/>
        <v>4.7033413781955247E-2</v>
      </c>
      <c r="G12" s="47">
        <v>7</v>
      </c>
      <c r="H12" s="40">
        <f t="shared" si="1"/>
        <v>43919</v>
      </c>
      <c r="I12" s="42">
        <v>3205.9900000000011</v>
      </c>
      <c r="J12" s="43">
        <f t="shared" si="2"/>
        <v>3.5088512289697116E-2</v>
      </c>
      <c r="L12" s="47">
        <v>7</v>
      </c>
      <c r="M12" s="40">
        <f t="shared" si="3"/>
        <v>43919</v>
      </c>
      <c r="N12" s="42">
        <v>14.919126767551486</v>
      </c>
      <c r="O12" s="43">
        <f t="shared" si="4"/>
        <v>0.16358906108342741</v>
      </c>
    </row>
    <row r="13" spans="2:15" x14ac:dyDescent="0.3">
      <c r="B13" s="47">
        <v>8</v>
      </c>
      <c r="C13" s="40">
        <f t="shared" si="5"/>
        <v>44284</v>
      </c>
      <c r="D13" s="42">
        <v>19159.59</v>
      </c>
      <c r="E13" s="43">
        <f t="shared" si="0"/>
        <v>0.11835169177661187</v>
      </c>
      <c r="G13" s="47">
        <v>8</v>
      </c>
      <c r="H13" s="40">
        <f t="shared" si="1"/>
        <v>44284</v>
      </c>
      <c r="I13" s="42">
        <v>4252.4299999999976</v>
      </c>
      <c r="J13" s="43">
        <f t="shared" si="2"/>
        <v>0.32640151716006471</v>
      </c>
      <c r="L13" s="47">
        <v>8</v>
      </c>
      <c r="M13" s="40">
        <f t="shared" si="3"/>
        <v>44284</v>
      </c>
      <c r="N13" s="42">
        <v>26.476255424674488</v>
      </c>
      <c r="O13" s="43">
        <f t="shared" si="4"/>
        <v>0.77465181690521612</v>
      </c>
    </row>
    <row r="14" spans="2:15" x14ac:dyDescent="0.3">
      <c r="B14" s="47">
        <v>9</v>
      </c>
      <c r="C14" s="40">
        <f t="shared" si="5"/>
        <v>44649</v>
      </c>
      <c r="D14" s="42">
        <v>21763.34</v>
      </c>
      <c r="E14" s="43">
        <f t="shared" si="0"/>
        <v>0.13589800199273583</v>
      </c>
      <c r="G14" s="47">
        <v>9</v>
      </c>
      <c r="H14" s="40">
        <f t="shared" si="1"/>
        <v>44649</v>
      </c>
      <c r="I14" s="42">
        <v>4552.7800000000007</v>
      </c>
      <c r="J14" s="43">
        <f t="shared" si="2"/>
        <v>7.063020437726264E-2</v>
      </c>
      <c r="L14" s="47">
        <v>9</v>
      </c>
      <c r="M14" s="40">
        <f t="shared" si="3"/>
        <v>44649</v>
      </c>
      <c r="N14" s="42">
        <v>30.499256321269211</v>
      </c>
      <c r="O14" s="43">
        <f t="shared" si="4"/>
        <v>0.15194750284987424</v>
      </c>
    </row>
    <row r="15" spans="2:15" x14ac:dyDescent="0.3">
      <c r="B15" s="47">
        <v>10</v>
      </c>
      <c r="C15" s="40">
        <f t="shared" si="5"/>
        <v>45014</v>
      </c>
      <c r="D15" s="42">
        <v>22753.119999999999</v>
      </c>
      <c r="E15" s="43">
        <f t="shared" si="0"/>
        <v>4.5479232507510181E-2</v>
      </c>
      <c r="G15" s="47">
        <v>10</v>
      </c>
      <c r="H15" s="40">
        <f t="shared" si="1"/>
        <v>45014</v>
      </c>
      <c r="I15" s="42">
        <v>5026.9699999999975</v>
      </c>
      <c r="J15" s="43">
        <f t="shared" si="2"/>
        <v>0.10415394550142909</v>
      </c>
      <c r="L15" s="47">
        <v>10</v>
      </c>
      <c r="M15" s="40">
        <f t="shared" si="3"/>
        <v>45014</v>
      </c>
      <c r="N15" s="42">
        <v>31.497274529236847</v>
      </c>
      <c r="O15" s="43">
        <f t="shared" si="4"/>
        <v>3.2722706332732665E-2</v>
      </c>
    </row>
    <row r="16" spans="2:15" x14ac:dyDescent="0.3">
      <c r="B16" s="48">
        <v>11</v>
      </c>
      <c r="C16" s="44">
        <f t="shared" si="5"/>
        <v>45379</v>
      </c>
      <c r="D16" s="45">
        <f>FORECAST(B16,$D$6:$D$15,$B$6:$B$15)</f>
        <v>23616.608666666667</v>
      </c>
      <c r="E16" s="46">
        <f t="shared" si="0"/>
        <v>3.7950341169328272E-2</v>
      </c>
      <c r="G16" s="48">
        <v>11</v>
      </c>
      <c r="H16" s="44">
        <f t="shared" si="1"/>
        <v>45379</v>
      </c>
      <c r="I16" s="45">
        <f>FORECAST(G16,$I$6:$I$15,$G$6:$G$15)</f>
        <v>5021.8786666666656</v>
      </c>
      <c r="J16" s="46">
        <f t="shared" si="2"/>
        <v>-1.0128036040262245E-3</v>
      </c>
      <c r="L16" s="48">
        <v>11</v>
      </c>
      <c r="M16" s="44">
        <f t="shared" si="3"/>
        <v>45379</v>
      </c>
      <c r="N16" s="45">
        <f>FORECAST(L16,$N$6:$N$15,$L$6:$L$15)</f>
        <v>29.765163721499345</v>
      </c>
      <c r="O16" s="46">
        <f t="shared" si="4"/>
        <v>-5.4992402791222417E-2</v>
      </c>
    </row>
    <row r="17" spans="2:15" x14ac:dyDescent="0.3">
      <c r="B17" s="48">
        <v>12</v>
      </c>
      <c r="C17" s="44">
        <f t="shared" si="5"/>
        <v>45744</v>
      </c>
      <c r="D17" s="45">
        <f t="shared" ref="D17:D20" si="6">FORECAST(B17,$D$6:$D$15,$B$6:$B$15)</f>
        <v>24964.548787878786</v>
      </c>
      <c r="E17" s="46">
        <f t="shared" si="0"/>
        <v>5.7075939235706308E-2</v>
      </c>
      <c r="G17" s="48">
        <v>12</v>
      </c>
      <c r="H17" s="44">
        <f t="shared" si="1"/>
        <v>45744</v>
      </c>
      <c r="I17" s="45">
        <f t="shared" ref="I17:I20" si="7">FORECAST(G17,$I$6:$I$15,$G$6:$G$15)</f>
        <v>5348.6266060606049</v>
      </c>
      <c r="J17" s="46">
        <f t="shared" si="2"/>
        <v>6.5064881308815492E-2</v>
      </c>
      <c r="L17" s="48">
        <v>12</v>
      </c>
      <c r="M17" s="44">
        <f t="shared" si="3"/>
        <v>45744</v>
      </c>
      <c r="N17" s="45">
        <f t="shared" ref="N17:N20" si="8">FORECAST(L17,$N$6:$N$15,$L$6:$L$15)</f>
        <v>31.83891910166226</v>
      </c>
      <c r="O17" s="46">
        <f t="shared" si="4"/>
        <v>6.9670551775431466E-2</v>
      </c>
    </row>
    <row r="18" spans="2:15" x14ac:dyDescent="0.3">
      <c r="B18" s="48">
        <v>13</v>
      </c>
      <c r="C18" s="44">
        <f t="shared" si="5"/>
        <v>46109</v>
      </c>
      <c r="D18" s="45">
        <f t="shared" si="6"/>
        <v>26312.488909090909</v>
      </c>
      <c r="E18" s="46">
        <f t="shared" si="0"/>
        <v>5.3994171201147356E-2</v>
      </c>
      <c r="G18" s="48">
        <v>13</v>
      </c>
      <c r="H18" s="44">
        <f t="shared" si="1"/>
        <v>46109</v>
      </c>
      <c r="I18" s="45">
        <f t="shared" si="7"/>
        <v>5675.3745454545442</v>
      </c>
      <c r="J18" s="46">
        <f t="shared" si="2"/>
        <v>6.1090063573272513E-2</v>
      </c>
      <c r="L18" s="48">
        <v>13</v>
      </c>
      <c r="M18" s="44">
        <f t="shared" si="3"/>
        <v>46109</v>
      </c>
      <c r="N18" s="45">
        <f t="shared" si="8"/>
        <v>33.912674481825178</v>
      </c>
      <c r="O18" s="46">
        <f t="shared" si="4"/>
        <v>6.5132719284262786E-2</v>
      </c>
    </row>
    <row r="19" spans="2:15" x14ac:dyDescent="0.3">
      <c r="B19" s="48">
        <v>14</v>
      </c>
      <c r="C19" s="44">
        <f t="shared" si="5"/>
        <v>46474</v>
      </c>
      <c r="D19" s="45">
        <f t="shared" si="6"/>
        <v>27660.429030303028</v>
      </c>
      <c r="E19" s="46">
        <f t="shared" si="0"/>
        <v>5.1228149715111471E-2</v>
      </c>
      <c r="G19" s="48">
        <v>14</v>
      </c>
      <c r="H19" s="44">
        <f t="shared" si="1"/>
        <v>46474</v>
      </c>
      <c r="I19" s="45">
        <f t="shared" si="7"/>
        <v>6002.1224848484817</v>
      </c>
      <c r="J19" s="46">
        <f t="shared" si="2"/>
        <v>5.7572929641380721E-2</v>
      </c>
      <c r="L19" s="48">
        <v>14</v>
      </c>
      <c r="M19" s="44">
        <f t="shared" si="3"/>
        <v>46474</v>
      </c>
      <c r="N19" s="45">
        <f t="shared" si="8"/>
        <v>35.986429861988086</v>
      </c>
      <c r="O19" s="46">
        <f t="shared" si="4"/>
        <v>6.1149862458482751E-2</v>
      </c>
    </row>
    <row r="20" spans="2:15" x14ac:dyDescent="0.3">
      <c r="B20" s="48">
        <v>15</v>
      </c>
      <c r="C20" s="44">
        <f t="shared" si="5"/>
        <v>46839</v>
      </c>
      <c r="D20" s="45">
        <f t="shared" si="6"/>
        <v>29008.369151515148</v>
      </c>
      <c r="E20" s="46">
        <f t="shared" si="0"/>
        <v>4.8731714165944462E-2</v>
      </c>
      <c r="G20" s="48">
        <v>15</v>
      </c>
      <c r="H20" s="44">
        <f t="shared" si="1"/>
        <v>46839</v>
      </c>
      <c r="I20" s="45">
        <f t="shared" si="7"/>
        <v>6328.870424242421</v>
      </c>
      <c r="J20" s="46">
        <f t="shared" si="2"/>
        <v>5.4438732334898043E-2</v>
      </c>
      <c r="L20" s="48">
        <v>15</v>
      </c>
      <c r="M20" s="44">
        <f t="shared" si="3"/>
        <v>46839</v>
      </c>
      <c r="N20" s="45">
        <f t="shared" si="8"/>
        <v>38.060185242150993</v>
      </c>
      <c r="O20" s="46">
        <f t="shared" si="4"/>
        <v>5.7626038151491699E-2</v>
      </c>
    </row>
    <row r="21" spans="2:15" x14ac:dyDescent="0.3">
      <c r="C21" s="41"/>
    </row>
    <row r="22" spans="2:15" x14ac:dyDescent="0.3">
      <c r="C22" s="41"/>
    </row>
    <row r="25" spans="2:15" x14ac:dyDescent="0.3">
      <c r="I25" t="s">
        <v>143</v>
      </c>
    </row>
    <row r="35" spans="2:15" ht="4.8" customHeight="1" x14ac:dyDescent="0.3">
      <c r="B35" s="59"/>
      <c r="C35" s="59"/>
      <c r="D35" s="59"/>
      <c r="E35" s="59"/>
      <c r="F35" s="59"/>
      <c r="G35" s="59"/>
      <c r="H35" s="59"/>
      <c r="I35" s="59"/>
      <c r="J35" s="59"/>
      <c r="K35" s="59"/>
      <c r="L35" s="59"/>
      <c r="M35" s="59"/>
      <c r="N35" s="59"/>
      <c r="O35" s="59"/>
    </row>
  </sheetData>
  <mergeCells count="4">
    <mergeCell ref="B4:E4"/>
    <mergeCell ref="G4:J4"/>
    <mergeCell ref="L4:O4"/>
    <mergeCell ref="B2:O2"/>
  </mergeCells>
  <pageMargins left="0.7" right="0.7" top="0.75" bottom="0.75" header="0.3" footer="0.3"/>
  <pageSetup scale="51"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0BB4-5ADE-4B13-938F-B660C60EE8FF}">
  <sheetPr>
    <pageSetUpPr fitToPage="1"/>
  </sheetPr>
  <dimension ref="B2:L51"/>
  <sheetViews>
    <sheetView showGridLines="0" workbookViewId="0">
      <selection activeCell="O16" sqref="O16"/>
    </sheetView>
  </sheetViews>
  <sheetFormatPr defaultRowHeight="14.4" x14ac:dyDescent="0.3"/>
  <cols>
    <col min="1" max="1" width="2.5546875" customWidth="1"/>
    <col min="2" max="2" width="29.44140625" customWidth="1"/>
    <col min="3" max="3" width="1.5546875" customWidth="1"/>
    <col min="12" max="12" width="13.109375" bestFit="1" customWidth="1"/>
  </cols>
  <sheetData>
    <row r="2" spans="2:12" x14ac:dyDescent="0.3">
      <c r="B2" s="270" t="s">
        <v>463</v>
      </c>
      <c r="C2" s="270"/>
      <c r="D2" s="270"/>
      <c r="E2" s="270"/>
      <c r="F2" s="270"/>
      <c r="G2" s="270"/>
      <c r="H2" s="270"/>
      <c r="I2" s="270"/>
      <c r="J2" s="270"/>
      <c r="K2" s="270"/>
      <c r="L2" s="270"/>
    </row>
    <row r="3" spans="2:12" ht="6" customHeight="1" x14ac:dyDescent="0.3"/>
    <row r="4" spans="2:12" x14ac:dyDescent="0.3">
      <c r="B4" s="270" t="s">
        <v>464</v>
      </c>
      <c r="C4" s="270"/>
      <c r="D4" s="270"/>
      <c r="E4" s="270"/>
      <c r="F4" s="270"/>
      <c r="G4" s="270"/>
      <c r="H4" s="270"/>
      <c r="I4" s="270"/>
      <c r="J4" s="270"/>
      <c r="K4" s="270"/>
      <c r="L4" s="270"/>
    </row>
    <row r="5" spans="2:12" x14ac:dyDescent="0.3">
      <c r="C5" s="52"/>
      <c r="D5" s="52">
        <f>'Historical FS'!D3</f>
        <v>42094</v>
      </c>
      <c r="E5" s="52">
        <f>'Historical FS'!E3</f>
        <v>42460</v>
      </c>
      <c r="F5" s="52">
        <f>'Historical FS'!F3</f>
        <v>42825</v>
      </c>
      <c r="G5" s="52">
        <f>'Historical FS'!G3</f>
        <v>43190</v>
      </c>
      <c r="H5" s="52">
        <f>'Historical FS'!H3</f>
        <v>43555</v>
      </c>
      <c r="I5" s="52">
        <f>'Historical FS'!I3</f>
        <v>43921</v>
      </c>
      <c r="J5" s="52">
        <f>'Historical FS'!J3</f>
        <v>44286</v>
      </c>
      <c r="K5" s="52">
        <f>'Historical FS'!K3</f>
        <v>44651</v>
      </c>
      <c r="L5" s="52">
        <f>'Historical FS'!L3</f>
        <v>45016</v>
      </c>
    </row>
    <row r="6" spans="2:12" x14ac:dyDescent="0.3">
      <c r="B6" t="s">
        <v>72</v>
      </c>
      <c r="D6" s="21">
        <f>'Data Sheet'!C30</f>
        <v>1180.77</v>
      </c>
      <c r="E6" s="21">
        <f>'Data Sheet'!D30</f>
        <v>1359.99</v>
      </c>
      <c r="F6" s="21">
        <f>'Data Sheet'!E30</f>
        <v>1006.39</v>
      </c>
      <c r="G6" s="21">
        <f>'Data Sheet'!F30</f>
        <v>1410.53</v>
      </c>
      <c r="H6" s="21">
        <f>'Data Sheet'!G30</f>
        <v>1527.7</v>
      </c>
      <c r="I6" s="21">
        <f>'Data Sheet'!H30</f>
        <v>1546.52</v>
      </c>
      <c r="J6" s="21">
        <f>'Data Sheet'!I30</f>
        <v>2404.87</v>
      </c>
      <c r="K6" s="21">
        <f>'Data Sheet'!J30</f>
        <v>2516.75</v>
      </c>
      <c r="L6" s="21">
        <f>'Data Sheet'!K30</f>
        <v>2801.91</v>
      </c>
    </row>
    <row r="7" spans="2:12" x14ac:dyDescent="0.3">
      <c r="B7" t="s">
        <v>465</v>
      </c>
      <c r="D7" s="21">
        <f>(('Data Sheet'!C57+'Data Sheet'!C58)+('Data Sheet'!B57+'Data Sheet'!B58))/2</f>
        <v>10425.92</v>
      </c>
      <c r="E7" s="21">
        <f>(('Data Sheet'!D57+'Data Sheet'!D58)+('Data Sheet'!C57+'Data Sheet'!C58))/2</f>
        <v>11158.855</v>
      </c>
      <c r="F7" s="21">
        <f>(('Data Sheet'!E57+'Data Sheet'!E58)+('Data Sheet'!D57+'Data Sheet'!D58))/2</f>
        <v>12029.94</v>
      </c>
      <c r="G7" s="21">
        <f>(('Data Sheet'!F57+'Data Sheet'!F58)+('Data Sheet'!E57+'Data Sheet'!E58))/2</f>
        <v>13386.424999999999</v>
      </c>
      <c r="H7" s="21">
        <f>(('Data Sheet'!G57+'Data Sheet'!G58)+('Data Sheet'!F57+'Data Sheet'!F58))/2</f>
        <v>14620.735000000001</v>
      </c>
      <c r="I7" s="21">
        <f>(('Data Sheet'!H57+'Data Sheet'!H58)+('Data Sheet'!G57+'Data Sheet'!G58))/2</f>
        <v>15387.64</v>
      </c>
      <c r="J7" s="21">
        <f>(('Data Sheet'!I57+'Data Sheet'!I58)+('Data Sheet'!H57+'Data Sheet'!H58))/2</f>
        <v>17044.764999999999</v>
      </c>
      <c r="K7" s="21">
        <f>(('Data Sheet'!J57+'Data Sheet'!J58)+('Data Sheet'!I57+'Data Sheet'!I58))/2</f>
        <v>19584.11</v>
      </c>
      <c r="L7" s="21">
        <f>(('Data Sheet'!K57+'Data Sheet'!K58)+('Data Sheet'!J57+'Data Sheet'!J58))/2</f>
        <v>22124.735000000001</v>
      </c>
    </row>
    <row r="8" spans="2:12" x14ac:dyDescent="0.3">
      <c r="B8" s="244" t="s">
        <v>464</v>
      </c>
      <c r="C8" s="245"/>
      <c r="D8" s="246">
        <f>D6/D7</f>
        <v>0.1132533148153832</v>
      </c>
      <c r="E8" s="246">
        <f t="shared" ref="E8:L8" si="0">E6/E7</f>
        <v>0.12187540746788089</v>
      </c>
      <c r="F8" s="246">
        <f t="shared" si="0"/>
        <v>8.3657108846760656E-2</v>
      </c>
      <c r="G8" s="246">
        <f t="shared" si="0"/>
        <v>0.10537017911802442</v>
      </c>
      <c r="H8" s="246">
        <f t="shared" si="0"/>
        <v>0.10448859103184621</v>
      </c>
      <c r="I8" s="246">
        <f t="shared" si="0"/>
        <v>0.10050404090555796</v>
      </c>
      <c r="J8" s="246">
        <f t="shared" si="0"/>
        <v>0.1410914142846792</v>
      </c>
      <c r="K8" s="246">
        <f t="shared" si="0"/>
        <v>0.12850979697315834</v>
      </c>
      <c r="L8" s="246">
        <f t="shared" si="0"/>
        <v>0.12664151683624683</v>
      </c>
    </row>
    <row r="10" spans="2:12" x14ac:dyDescent="0.3">
      <c r="B10" s="270" t="s">
        <v>466</v>
      </c>
      <c r="C10" s="270"/>
      <c r="D10" s="270"/>
      <c r="E10" s="270"/>
      <c r="F10" s="270"/>
      <c r="G10" s="270"/>
      <c r="H10" s="270"/>
      <c r="I10" s="270"/>
      <c r="J10" s="270"/>
      <c r="K10" s="270"/>
      <c r="L10" s="270"/>
    </row>
    <row r="11" spans="2:12" x14ac:dyDescent="0.3">
      <c r="D11" s="52">
        <f>D5</f>
        <v>42094</v>
      </c>
      <c r="E11" s="52">
        <f t="shared" ref="E11:L11" si="1">E5</f>
        <v>42460</v>
      </c>
      <c r="F11" s="52">
        <f t="shared" si="1"/>
        <v>42825</v>
      </c>
      <c r="G11" s="52">
        <f t="shared" si="1"/>
        <v>43190</v>
      </c>
      <c r="H11" s="52">
        <f t="shared" si="1"/>
        <v>43555</v>
      </c>
      <c r="I11" s="52">
        <f t="shared" si="1"/>
        <v>43921</v>
      </c>
      <c r="J11" s="52">
        <f t="shared" si="1"/>
        <v>44286</v>
      </c>
      <c r="K11" s="52">
        <f t="shared" si="1"/>
        <v>44651</v>
      </c>
      <c r="L11" s="52">
        <f t="shared" si="1"/>
        <v>45016</v>
      </c>
    </row>
    <row r="12" spans="2:12" x14ac:dyDescent="0.3">
      <c r="B12" t="s">
        <v>72</v>
      </c>
      <c r="D12" s="21">
        <f>D6</f>
        <v>1180.77</v>
      </c>
      <c r="E12" s="21">
        <f t="shared" ref="E12:L12" si="2">E6</f>
        <v>1359.99</v>
      </c>
      <c r="F12" s="21">
        <f t="shared" si="2"/>
        <v>1006.39</v>
      </c>
      <c r="G12" s="21">
        <f t="shared" si="2"/>
        <v>1410.53</v>
      </c>
      <c r="H12" s="21">
        <f t="shared" si="2"/>
        <v>1527.7</v>
      </c>
      <c r="I12" s="21">
        <f t="shared" si="2"/>
        <v>1546.52</v>
      </c>
      <c r="J12" s="21">
        <f t="shared" si="2"/>
        <v>2404.87</v>
      </c>
      <c r="K12" s="21">
        <f t="shared" si="2"/>
        <v>2516.75</v>
      </c>
      <c r="L12" s="21">
        <f t="shared" si="2"/>
        <v>2801.91</v>
      </c>
    </row>
    <row r="13" spans="2:12" x14ac:dyDescent="0.3">
      <c r="B13" t="s">
        <v>467</v>
      </c>
      <c r="C13">
        <f>'Data Sheet'!B17</f>
        <v>10173.39</v>
      </c>
      <c r="D13" s="21">
        <f>'Data Sheet'!C17</f>
        <v>11345.44</v>
      </c>
      <c r="E13" s="21">
        <f>'Data Sheet'!D17</f>
        <v>13790.1</v>
      </c>
      <c r="F13" s="21">
        <f>'Data Sheet'!E17</f>
        <v>14394.29</v>
      </c>
      <c r="G13" s="21">
        <f>'Data Sheet'!F17</f>
        <v>15155.71</v>
      </c>
      <c r="H13" s="21">
        <f>'Data Sheet'!G17</f>
        <v>16362.41</v>
      </c>
      <c r="I13" s="21">
        <f>'Data Sheet'!H17</f>
        <v>17131.990000000002</v>
      </c>
      <c r="J13" s="21">
        <f>'Data Sheet'!I17</f>
        <v>19159.59</v>
      </c>
      <c r="K13" s="21">
        <f>'Data Sheet'!J17</f>
        <v>21763.34</v>
      </c>
      <c r="L13" s="21">
        <f>'Data Sheet'!K17</f>
        <v>22753.119999999999</v>
      </c>
    </row>
    <row r="14" spans="2:12" x14ac:dyDescent="0.3">
      <c r="B14" s="244" t="s">
        <v>468</v>
      </c>
      <c r="C14" s="245"/>
      <c r="D14" s="246">
        <f t="shared" ref="D14:K14" si="3">D12/D13</f>
        <v>0.10407441227488752</v>
      </c>
      <c r="E14" s="246">
        <f t="shared" si="3"/>
        <v>9.8620749668240262E-2</v>
      </c>
      <c r="F14" s="246">
        <f t="shared" si="3"/>
        <v>6.9915918048059328E-2</v>
      </c>
      <c r="G14" s="246">
        <f t="shared" si="3"/>
        <v>9.3069212857728206E-2</v>
      </c>
      <c r="H14" s="246">
        <f t="shared" si="3"/>
        <v>9.3366441740550449E-2</v>
      </c>
      <c r="I14" s="246">
        <f t="shared" si="3"/>
        <v>9.0270890888915989E-2</v>
      </c>
      <c r="J14" s="246">
        <f t="shared" si="3"/>
        <v>0.12551782162353162</v>
      </c>
      <c r="K14" s="246">
        <f t="shared" si="3"/>
        <v>0.11564171675854901</v>
      </c>
      <c r="L14" s="246">
        <f>L12/L13</f>
        <v>0.12314399080214054</v>
      </c>
    </row>
    <row r="16" spans="2:12" x14ac:dyDescent="0.3">
      <c r="B16" t="s">
        <v>467</v>
      </c>
      <c r="D16" s="21">
        <f>D13</f>
        <v>11345.44</v>
      </c>
      <c r="E16" s="21">
        <f t="shared" ref="E16:L16" si="4">E13</f>
        <v>13790.1</v>
      </c>
      <c r="F16" s="21">
        <f t="shared" si="4"/>
        <v>14394.29</v>
      </c>
      <c r="G16" s="21">
        <f t="shared" si="4"/>
        <v>15155.71</v>
      </c>
      <c r="H16" s="21">
        <f t="shared" si="4"/>
        <v>16362.41</v>
      </c>
      <c r="I16" s="21">
        <f t="shared" si="4"/>
        <v>17131.990000000002</v>
      </c>
      <c r="J16" s="21">
        <f t="shared" si="4"/>
        <v>19159.59</v>
      </c>
      <c r="K16" s="21">
        <f t="shared" si="4"/>
        <v>21763.34</v>
      </c>
      <c r="L16" s="21">
        <f t="shared" si="4"/>
        <v>22753.119999999999</v>
      </c>
    </row>
    <row r="17" spans="2:12" x14ac:dyDescent="0.3">
      <c r="B17" t="s">
        <v>469</v>
      </c>
      <c r="D17" s="21">
        <f>('Data Sheet'!C66+'Data Sheet'!B66)/2</f>
        <v>14535.39</v>
      </c>
      <c r="E17" s="21">
        <f>('Data Sheet'!D66+'Data Sheet'!C66)/2</f>
        <v>18359.955000000002</v>
      </c>
      <c r="F17" s="21">
        <f>('Data Sheet'!E66+'Data Sheet'!D66)/2</f>
        <v>20959.215</v>
      </c>
      <c r="G17" s="21">
        <f>('Data Sheet'!F66+'Data Sheet'!E66)/2</f>
        <v>21770.92</v>
      </c>
      <c r="H17" s="21">
        <f>('Data Sheet'!G66+'Data Sheet'!F66)/2</f>
        <v>23217.404999999999</v>
      </c>
      <c r="I17" s="21">
        <f>('Data Sheet'!H66+'Data Sheet'!G66)/2</f>
        <v>23592.35</v>
      </c>
      <c r="J17" s="21">
        <f>('Data Sheet'!I66+'Data Sheet'!H66)/2</f>
        <v>24139.035</v>
      </c>
      <c r="K17" s="21">
        <f>('Data Sheet'!J66+'Data Sheet'!I66)/2</f>
        <v>25856.22</v>
      </c>
      <c r="L17" s="21">
        <f>('Data Sheet'!K66+'Data Sheet'!J66)/2</f>
        <v>28078.58</v>
      </c>
    </row>
    <row r="18" spans="2:12" x14ac:dyDescent="0.3">
      <c r="B18" s="244" t="s">
        <v>470</v>
      </c>
      <c r="C18" s="245"/>
      <c r="D18" s="247">
        <f>D16/D17</f>
        <v>0.78053908426261698</v>
      </c>
      <c r="E18" s="247">
        <f t="shared" ref="E18" si="5">E16/E17</f>
        <v>0.75109661216489909</v>
      </c>
      <c r="F18" s="247">
        <f t="shared" ref="F18" si="6">F16/F17</f>
        <v>0.6867761984406382</v>
      </c>
      <c r="G18" s="247">
        <f t="shared" ref="G18" si="7">G16/G17</f>
        <v>0.69614467372072475</v>
      </c>
      <c r="H18" s="247">
        <f t="shared" ref="H18" si="8">H16/H17</f>
        <v>0.70474758053279429</v>
      </c>
      <c r="I18" s="247">
        <f t="shared" ref="I18" si="9">I16/I17</f>
        <v>0.72616716859490482</v>
      </c>
      <c r="J18" s="247">
        <f t="shared" ref="J18" si="10">J16/J17</f>
        <v>0.79371814159099563</v>
      </c>
      <c r="K18" s="247">
        <f t="shared" ref="K18" si="11">K16/K17</f>
        <v>0.84170617360155497</v>
      </c>
      <c r="L18" s="247">
        <f>L16/L17</f>
        <v>0.81033727489068175</v>
      </c>
    </row>
    <row r="20" spans="2:12" x14ac:dyDescent="0.3">
      <c r="B20" t="str">
        <f>B17</f>
        <v>Average Total Assets</v>
      </c>
      <c r="D20" s="21">
        <f>D17</f>
        <v>14535.39</v>
      </c>
      <c r="E20" s="21">
        <f t="shared" ref="E20:L20" si="12">E17</f>
        <v>18359.955000000002</v>
      </c>
      <c r="F20" s="21">
        <f t="shared" si="12"/>
        <v>20959.215</v>
      </c>
      <c r="G20" s="21">
        <f t="shared" si="12"/>
        <v>21770.92</v>
      </c>
      <c r="H20" s="21">
        <f t="shared" si="12"/>
        <v>23217.404999999999</v>
      </c>
      <c r="I20" s="21">
        <f t="shared" si="12"/>
        <v>23592.35</v>
      </c>
      <c r="J20" s="21">
        <f t="shared" si="12"/>
        <v>24139.035</v>
      </c>
      <c r="K20" s="21">
        <f t="shared" si="12"/>
        <v>25856.22</v>
      </c>
      <c r="L20" s="21">
        <f t="shared" si="12"/>
        <v>28078.58</v>
      </c>
    </row>
    <row r="21" spans="2:12" x14ac:dyDescent="0.3">
      <c r="B21" t="str">
        <f>B7</f>
        <v>Average Shareholder Equity</v>
      </c>
      <c r="D21" s="21">
        <f>D7</f>
        <v>10425.92</v>
      </c>
      <c r="E21" s="21">
        <f t="shared" ref="E21:L21" si="13">E7</f>
        <v>11158.855</v>
      </c>
      <c r="F21" s="21">
        <f t="shared" si="13"/>
        <v>12029.94</v>
      </c>
      <c r="G21" s="21">
        <f t="shared" si="13"/>
        <v>13386.424999999999</v>
      </c>
      <c r="H21" s="21">
        <f t="shared" si="13"/>
        <v>14620.735000000001</v>
      </c>
      <c r="I21" s="21">
        <f t="shared" si="13"/>
        <v>15387.64</v>
      </c>
      <c r="J21" s="21">
        <f t="shared" si="13"/>
        <v>17044.764999999999</v>
      </c>
      <c r="K21" s="21">
        <f t="shared" si="13"/>
        <v>19584.11</v>
      </c>
      <c r="L21" s="21">
        <f t="shared" si="13"/>
        <v>22124.735000000001</v>
      </c>
    </row>
    <row r="22" spans="2:12" x14ac:dyDescent="0.3">
      <c r="B22" s="244" t="s">
        <v>471</v>
      </c>
      <c r="C22" s="245"/>
      <c r="D22" s="247">
        <f>D20/D21</f>
        <v>1.3941589806942696</v>
      </c>
      <c r="E22" s="247">
        <f t="shared" ref="E22" si="14">E20/E21</f>
        <v>1.645326066160014</v>
      </c>
      <c r="F22" s="247">
        <f t="shared" ref="F22" si="15">F20/F21</f>
        <v>1.7422543254579823</v>
      </c>
      <c r="G22" s="247">
        <f t="shared" ref="G22" si="16">G20/G21</f>
        <v>1.6263431050485846</v>
      </c>
      <c r="H22" s="247">
        <f t="shared" ref="H22" si="17">H20/H21</f>
        <v>1.5879779641721157</v>
      </c>
      <c r="I22" s="247">
        <f t="shared" ref="I22" si="18">I20/I21</f>
        <v>1.5332013226199728</v>
      </c>
      <c r="J22" s="247">
        <f t="shared" ref="J22" si="19">J20/J21</f>
        <v>1.4162140105774412</v>
      </c>
      <c r="K22" s="247">
        <f t="shared" ref="K22" si="20">K20/K21</f>
        <v>1.3202652558630441</v>
      </c>
      <c r="L22" s="247">
        <f>L20/L21</f>
        <v>1.2691035621443603</v>
      </c>
    </row>
    <row r="24" spans="2:12" x14ac:dyDescent="0.3">
      <c r="B24" s="244" t="s">
        <v>472</v>
      </c>
      <c r="C24" s="244"/>
      <c r="D24" s="246">
        <f t="shared" ref="D24:K24" si="21">D22*D18*D14</f>
        <v>0.11325331481538317</v>
      </c>
      <c r="E24" s="246">
        <f t="shared" si="21"/>
        <v>0.12187540746788091</v>
      </c>
      <c r="F24" s="246">
        <f t="shared" si="21"/>
        <v>8.3657108846760669E-2</v>
      </c>
      <c r="G24" s="246">
        <f t="shared" si="21"/>
        <v>0.10537017911802442</v>
      </c>
      <c r="H24" s="246">
        <f t="shared" si="21"/>
        <v>0.10448859103184621</v>
      </c>
      <c r="I24" s="246">
        <f t="shared" si="21"/>
        <v>0.10050404090555796</v>
      </c>
      <c r="J24" s="246">
        <f t="shared" si="21"/>
        <v>0.1410914142846792</v>
      </c>
      <c r="K24" s="246">
        <f t="shared" si="21"/>
        <v>0.12850979697315834</v>
      </c>
      <c r="L24" s="246">
        <f>L22*L18*L14</f>
        <v>0.12664151683624686</v>
      </c>
    </row>
    <row r="26" spans="2:12" x14ac:dyDescent="0.3">
      <c r="B26" s="270" t="s">
        <v>473</v>
      </c>
      <c r="C26" s="270"/>
      <c r="D26" s="270"/>
      <c r="E26" s="270"/>
      <c r="F26" s="270"/>
      <c r="G26" s="270"/>
      <c r="H26" s="270"/>
      <c r="I26" s="270"/>
      <c r="J26" s="270"/>
      <c r="K26" s="270"/>
      <c r="L26" s="270"/>
    </row>
    <row r="27" spans="2:12" x14ac:dyDescent="0.3">
      <c r="C27" s="52"/>
      <c r="D27" s="52">
        <f>D11</f>
        <v>42094</v>
      </c>
      <c r="E27" s="52">
        <f t="shared" ref="E27:L27" si="22">E11</f>
        <v>42460</v>
      </c>
      <c r="F27" s="52">
        <f t="shared" si="22"/>
        <v>42825</v>
      </c>
      <c r="G27" s="52">
        <f t="shared" si="22"/>
        <v>43190</v>
      </c>
      <c r="H27" s="52">
        <f t="shared" si="22"/>
        <v>43555</v>
      </c>
      <c r="I27" s="52">
        <f t="shared" si="22"/>
        <v>43921</v>
      </c>
      <c r="J27" s="52">
        <f t="shared" si="22"/>
        <v>44286</v>
      </c>
      <c r="K27" s="52">
        <f t="shared" si="22"/>
        <v>44651</v>
      </c>
      <c r="L27" s="52">
        <f t="shared" si="22"/>
        <v>45016</v>
      </c>
    </row>
    <row r="28" spans="2:12" x14ac:dyDescent="0.3">
      <c r="B28" t="s">
        <v>72</v>
      </c>
      <c r="D28" s="21">
        <f>D12</f>
        <v>1180.77</v>
      </c>
      <c r="E28" s="21">
        <f t="shared" ref="E28:L28" si="23">E12</f>
        <v>1359.99</v>
      </c>
      <c r="F28" s="21">
        <f t="shared" si="23"/>
        <v>1006.39</v>
      </c>
      <c r="G28" s="21">
        <f t="shared" si="23"/>
        <v>1410.53</v>
      </c>
      <c r="H28" s="21">
        <f t="shared" si="23"/>
        <v>1527.7</v>
      </c>
      <c r="I28" s="21">
        <f t="shared" si="23"/>
        <v>1546.52</v>
      </c>
      <c r="J28" s="21">
        <f t="shared" si="23"/>
        <v>2404.87</v>
      </c>
      <c r="K28" s="21">
        <f t="shared" si="23"/>
        <v>2516.75</v>
      </c>
      <c r="L28" s="21">
        <f t="shared" si="23"/>
        <v>2801.91</v>
      </c>
    </row>
    <row r="29" spans="2:12" x14ac:dyDescent="0.3">
      <c r="B29" t="s">
        <v>469</v>
      </c>
      <c r="D29" s="21">
        <f>D20</f>
        <v>14535.39</v>
      </c>
      <c r="E29" s="21">
        <f t="shared" ref="E29:L29" si="24">E20</f>
        <v>18359.955000000002</v>
      </c>
      <c r="F29" s="21">
        <f t="shared" si="24"/>
        <v>20959.215</v>
      </c>
      <c r="G29" s="21">
        <f t="shared" si="24"/>
        <v>21770.92</v>
      </c>
      <c r="H29" s="21">
        <f t="shared" si="24"/>
        <v>23217.404999999999</v>
      </c>
      <c r="I29" s="21">
        <f t="shared" si="24"/>
        <v>23592.35</v>
      </c>
      <c r="J29" s="21">
        <f t="shared" si="24"/>
        <v>24139.035</v>
      </c>
      <c r="K29" s="21">
        <f t="shared" si="24"/>
        <v>25856.22</v>
      </c>
      <c r="L29" s="21">
        <f t="shared" si="24"/>
        <v>28078.58</v>
      </c>
    </row>
    <row r="30" spans="2:12" x14ac:dyDescent="0.3">
      <c r="B30" s="244" t="s">
        <v>473</v>
      </c>
      <c r="C30" s="245"/>
      <c r="D30" s="246">
        <f>D28/D29</f>
        <v>8.1234146452210776E-2</v>
      </c>
      <c r="E30" s="246">
        <f t="shared" ref="E30" si="25">E28/E29</f>
        <v>7.4073710964977849E-2</v>
      </c>
      <c r="F30" s="246">
        <f t="shared" ref="F30" si="26">F28/F29</f>
        <v>4.8016588407533395E-2</v>
      </c>
      <c r="G30" s="246">
        <f t="shared" ref="G30" si="27">G28/G29</f>
        <v>6.478963681828788E-2</v>
      </c>
      <c r="H30" s="246">
        <f t="shared" ref="H30" si="28">H28/H29</f>
        <v>6.579977391960902E-2</v>
      </c>
      <c r="I30" s="246">
        <f t="shared" ref="I30" si="29">I28/I29</f>
        <v>6.5551757243343708E-2</v>
      </c>
      <c r="J30" s="246">
        <f t="shared" ref="J30" si="30">J28/J29</f>
        <v>9.9625772115579589E-2</v>
      </c>
      <c r="K30" s="246">
        <f t="shared" ref="K30" si="31">K28/K29</f>
        <v>9.7336346921553102E-2</v>
      </c>
      <c r="L30" s="246">
        <f t="shared" ref="L30" si="32">L28/L29</f>
        <v>9.9788165925769737E-2</v>
      </c>
    </row>
    <row r="32" spans="2:12" x14ac:dyDescent="0.3">
      <c r="B32" s="270" t="s">
        <v>474</v>
      </c>
      <c r="C32" s="270"/>
      <c r="D32" s="270"/>
      <c r="E32" s="270"/>
      <c r="F32" s="270"/>
      <c r="G32" s="270"/>
      <c r="H32" s="270"/>
      <c r="I32" s="270"/>
      <c r="J32" s="270"/>
      <c r="K32" s="270"/>
      <c r="L32" s="270"/>
    </row>
    <row r="33" spans="2:12" x14ac:dyDescent="0.3">
      <c r="D33" s="52">
        <f>D27</f>
        <v>42094</v>
      </c>
      <c r="E33" s="52">
        <f t="shared" ref="E33:L33" si="33">E27</f>
        <v>42460</v>
      </c>
      <c r="F33" s="52">
        <f t="shared" si="33"/>
        <v>42825</v>
      </c>
      <c r="G33" s="52">
        <f t="shared" si="33"/>
        <v>43190</v>
      </c>
      <c r="H33" s="52">
        <f t="shared" si="33"/>
        <v>43555</v>
      </c>
      <c r="I33" s="52">
        <f t="shared" si="33"/>
        <v>43921</v>
      </c>
      <c r="J33" s="52">
        <f t="shared" si="33"/>
        <v>44286</v>
      </c>
      <c r="K33" s="52">
        <f t="shared" si="33"/>
        <v>44651</v>
      </c>
      <c r="L33" s="52">
        <f t="shared" si="33"/>
        <v>45016</v>
      </c>
    </row>
    <row r="34" spans="2:12" x14ac:dyDescent="0.3">
      <c r="B34" t="s">
        <v>72</v>
      </c>
      <c r="D34" s="21">
        <f>D28</f>
        <v>1180.77</v>
      </c>
      <c r="E34" s="21">
        <f t="shared" ref="E34:L34" si="34">E28</f>
        <v>1359.99</v>
      </c>
      <c r="F34" s="21">
        <f t="shared" si="34"/>
        <v>1006.39</v>
      </c>
      <c r="G34" s="21">
        <f t="shared" si="34"/>
        <v>1410.53</v>
      </c>
      <c r="H34" s="21">
        <f t="shared" si="34"/>
        <v>1527.7</v>
      </c>
      <c r="I34" s="21">
        <f t="shared" si="34"/>
        <v>1546.52</v>
      </c>
      <c r="J34" s="21">
        <f t="shared" si="34"/>
        <v>2404.87</v>
      </c>
      <c r="K34" s="21">
        <f t="shared" si="34"/>
        <v>2516.75</v>
      </c>
      <c r="L34" s="21">
        <f t="shared" si="34"/>
        <v>2801.91</v>
      </c>
    </row>
    <row r="35" spans="2:12" x14ac:dyDescent="0.3">
      <c r="B35" t="s">
        <v>467</v>
      </c>
      <c r="C35">
        <f>'Data Sheet'!B39</f>
        <v>0</v>
      </c>
      <c r="D35" s="21">
        <f>D13</f>
        <v>11345.44</v>
      </c>
      <c r="E35" s="21">
        <f t="shared" ref="E35:L35" si="35">E13</f>
        <v>13790.1</v>
      </c>
      <c r="F35" s="21">
        <f t="shared" si="35"/>
        <v>14394.29</v>
      </c>
      <c r="G35" s="21">
        <f t="shared" si="35"/>
        <v>15155.71</v>
      </c>
      <c r="H35" s="21">
        <f t="shared" si="35"/>
        <v>16362.41</v>
      </c>
      <c r="I35" s="21">
        <f t="shared" si="35"/>
        <v>17131.990000000002</v>
      </c>
      <c r="J35" s="21">
        <f t="shared" si="35"/>
        <v>19159.59</v>
      </c>
      <c r="K35" s="21">
        <f t="shared" si="35"/>
        <v>21763.34</v>
      </c>
      <c r="L35" s="21">
        <f t="shared" si="35"/>
        <v>22753.119999999999</v>
      </c>
    </row>
    <row r="36" spans="2:12" x14ac:dyDescent="0.3">
      <c r="B36" s="244" t="s">
        <v>468</v>
      </c>
      <c r="C36" s="245"/>
      <c r="D36" s="246">
        <f t="shared" ref="D36" si="36">D34/D35</f>
        <v>0.10407441227488752</v>
      </c>
      <c r="E36" s="246">
        <f t="shared" ref="E36" si="37">E34/E35</f>
        <v>9.8620749668240262E-2</v>
      </c>
      <c r="F36" s="246">
        <f t="shared" ref="F36" si="38">F34/F35</f>
        <v>6.9915918048059328E-2</v>
      </c>
      <c r="G36" s="246">
        <f t="shared" ref="G36" si="39">G34/G35</f>
        <v>9.3069212857728206E-2</v>
      </c>
      <c r="H36" s="246">
        <f t="shared" ref="H36" si="40">H34/H35</f>
        <v>9.3366441740550449E-2</v>
      </c>
      <c r="I36" s="246">
        <f t="shared" ref="I36" si="41">I34/I35</f>
        <v>9.0270890888915989E-2</v>
      </c>
      <c r="J36" s="246">
        <f t="shared" ref="J36" si="42">J34/J35</f>
        <v>0.12551782162353162</v>
      </c>
      <c r="K36" s="246">
        <f t="shared" ref="K36" si="43">K34/K35</f>
        <v>0.11564171675854901</v>
      </c>
      <c r="L36" s="246">
        <f t="shared" ref="L36" si="44">L34/L35</f>
        <v>0.12314399080214054</v>
      </c>
    </row>
    <row r="38" spans="2:12" x14ac:dyDescent="0.3">
      <c r="B38" t="s">
        <v>467</v>
      </c>
      <c r="D38" s="21">
        <f>D35</f>
        <v>11345.44</v>
      </c>
      <c r="E38" s="21">
        <f t="shared" ref="E38:L38" si="45">E35</f>
        <v>13790.1</v>
      </c>
      <c r="F38" s="21">
        <f t="shared" si="45"/>
        <v>14394.29</v>
      </c>
      <c r="G38" s="21">
        <f t="shared" si="45"/>
        <v>15155.71</v>
      </c>
      <c r="H38" s="21">
        <f t="shared" si="45"/>
        <v>16362.41</v>
      </c>
      <c r="I38" s="21">
        <f t="shared" si="45"/>
        <v>17131.990000000002</v>
      </c>
      <c r="J38" s="21">
        <f t="shared" si="45"/>
        <v>19159.59</v>
      </c>
      <c r="K38" s="21">
        <f t="shared" si="45"/>
        <v>21763.34</v>
      </c>
      <c r="L38" s="21">
        <f t="shared" si="45"/>
        <v>22753.119999999999</v>
      </c>
    </row>
    <row r="39" spans="2:12" x14ac:dyDescent="0.3">
      <c r="B39" t="s">
        <v>469</v>
      </c>
      <c r="D39" s="21">
        <f>D29</f>
        <v>14535.39</v>
      </c>
      <c r="E39" s="21">
        <f t="shared" ref="E39:L39" si="46">E29</f>
        <v>18359.955000000002</v>
      </c>
      <c r="F39" s="21">
        <f t="shared" si="46"/>
        <v>20959.215</v>
      </c>
      <c r="G39" s="21">
        <f t="shared" si="46"/>
        <v>21770.92</v>
      </c>
      <c r="H39" s="21">
        <f t="shared" si="46"/>
        <v>23217.404999999999</v>
      </c>
      <c r="I39" s="21">
        <f t="shared" si="46"/>
        <v>23592.35</v>
      </c>
      <c r="J39" s="21">
        <f t="shared" si="46"/>
        <v>24139.035</v>
      </c>
      <c r="K39" s="21">
        <f t="shared" si="46"/>
        <v>25856.22</v>
      </c>
      <c r="L39" s="21">
        <f t="shared" si="46"/>
        <v>28078.58</v>
      </c>
    </row>
    <row r="40" spans="2:12" x14ac:dyDescent="0.3">
      <c r="B40" s="244" t="s">
        <v>470</v>
      </c>
      <c r="C40" s="245"/>
      <c r="D40" s="247">
        <f>D38/D39</f>
        <v>0.78053908426261698</v>
      </c>
      <c r="E40" s="247">
        <f t="shared" ref="E40:L40" si="47">E38/E39</f>
        <v>0.75109661216489909</v>
      </c>
      <c r="F40" s="247">
        <f t="shared" si="47"/>
        <v>0.6867761984406382</v>
      </c>
      <c r="G40" s="247">
        <f t="shared" si="47"/>
        <v>0.69614467372072475</v>
      </c>
      <c r="H40" s="247">
        <f t="shared" si="47"/>
        <v>0.70474758053279429</v>
      </c>
      <c r="I40" s="247">
        <f t="shared" si="47"/>
        <v>0.72616716859490482</v>
      </c>
      <c r="J40" s="247">
        <f t="shared" si="47"/>
        <v>0.79371814159099563</v>
      </c>
      <c r="K40" s="247">
        <f t="shared" si="47"/>
        <v>0.84170617360155497</v>
      </c>
      <c r="L40" s="247">
        <f t="shared" si="47"/>
        <v>0.81033727489068175</v>
      </c>
    </row>
    <row r="42" spans="2:12" x14ac:dyDescent="0.3">
      <c r="B42" s="244" t="s">
        <v>475</v>
      </c>
      <c r="C42" s="245"/>
      <c r="D42" s="246">
        <f>D36*D40</f>
        <v>8.1234146452210776E-2</v>
      </c>
      <c r="E42" s="246">
        <f t="shared" ref="E42:L42" si="48">E36*E40</f>
        <v>7.4073710964977862E-2</v>
      </c>
      <c r="F42" s="246">
        <f t="shared" si="48"/>
        <v>4.8016588407533388E-2</v>
      </c>
      <c r="G42" s="246">
        <f t="shared" si="48"/>
        <v>6.478963681828788E-2</v>
      </c>
      <c r="H42" s="246">
        <f t="shared" si="48"/>
        <v>6.579977391960902E-2</v>
      </c>
      <c r="I42" s="246">
        <f t="shared" si="48"/>
        <v>6.5551757243343708E-2</v>
      </c>
      <c r="J42" s="246">
        <f t="shared" si="48"/>
        <v>9.9625772115579603E-2</v>
      </c>
      <c r="K42" s="246">
        <f t="shared" si="48"/>
        <v>9.7336346921553102E-2</v>
      </c>
      <c r="L42" s="246">
        <f t="shared" si="48"/>
        <v>9.9788165925769751E-2</v>
      </c>
    </row>
    <row r="44" spans="2:12" x14ac:dyDescent="0.3">
      <c r="B44" s="268" t="s">
        <v>476</v>
      </c>
      <c r="C44" s="268"/>
      <c r="D44" s="268"/>
      <c r="E44" s="268"/>
      <c r="F44" s="268"/>
      <c r="G44" s="268"/>
      <c r="H44" s="268"/>
      <c r="I44" s="268"/>
      <c r="J44" s="268"/>
      <c r="K44" s="268"/>
      <c r="L44" s="268"/>
    </row>
    <row r="45" spans="2:12" ht="3.6" customHeight="1" x14ac:dyDescent="0.3"/>
    <row r="46" spans="2:12" ht="32.4" customHeight="1" x14ac:dyDescent="0.3">
      <c r="B46" s="269" t="s">
        <v>477</v>
      </c>
      <c r="C46" s="269"/>
      <c r="D46" s="269"/>
      <c r="E46" s="269"/>
      <c r="F46" s="269"/>
      <c r="G46" s="269"/>
      <c r="H46" s="269"/>
      <c r="I46" s="269"/>
      <c r="J46" s="269"/>
      <c r="K46" s="269"/>
      <c r="L46" s="269"/>
    </row>
    <row r="47" spans="2:12" ht="4.2" customHeight="1" x14ac:dyDescent="0.3"/>
    <row r="48" spans="2:12" ht="31.8" customHeight="1" x14ac:dyDescent="0.3">
      <c r="B48" s="269" t="s">
        <v>478</v>
      </c>
      <c r="C48" s="269"/>
      <c r="D48" s="269"/>
      <c r="E48" s="269"/>
      <c r="F48" s="269"/>
      <c r="G48" s="269"/>
      <c r="H48" s="269"/>
      <c r="I48" s="269"/>
      <c r="J48" s="269"/>
      <c r="K48" s="269"/>
      <c r="L48" s="269"/>
    </row>
    <row r="49" spans="2:12" ht="4.8" customHeight="1" x14ac:dyDescent="0.3"/>
    <row r="50" spans="2:12" ht="33" customHeight="1" x14ac:dyDescent="0.3">
      <c r="B50" s="269" t="s">
        <v>479</v>
      </c>
      <c r="C50" s="269"/>
      <c r="D50" s="269"/>
      <c r="E50" s="269"/>
      <c r="F50" s="269"/>
      <c r="G50" s="269"/>
      <c r="H50" s="269"/>
      <c r="I50" s="269"/>
      <c r="J50" s="269"/>
      <c r="K50" s="269"/>
      <c r="L50" s="269"/>
    </row>
    <row r="51" spans="2:12" ht="6.6" customHeight="1" x14ac:dyDescent="0.3">
      <c r="B51" s="248"/>
      <c r="C51" s="248"/>
      <c r="D51" s="248"/>
      <c r="E51" s="248"/>
      <c r="F51" s="248"/>
      <c r="G51" s="248"/>
      <c r="H51" s="248"/>
      <c r="I51" s="248"/>
      <c r="J51" s="248"/>
      <c r="K51" s="248"/>
      <c r="L51" s="248"/>
    </row>
  </sheetData>
  <mergeCells count="9">
    <mergeCell ref="B44:L44"/>
    <mergeCell ref="B46:L46"/>
    <mergeCell ref="B48:L48"/>
    <mergeCell ref="B50:L50"/>
    <mergeCell ref="B2:L2"/>
    <mergeCell ref="B4:L4"/>
    <mergeCell ref="B10:L10"/>
    <mergeCell ref="B26:L26"/>
    <mergeCell ref="B32:L32"/>
  </mergeCells>
  <pageMargins left="0.7" right="0.7" top="0.75" bottom="0.75" header="0.3" footer="0.3"/>
  <pageSetup scale="7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1975F-68F9-4F2A-BC30-46A301FFFDBE}">
  <sheetPr>
    <pageSetUpPr fitToPage="1"/>
  </sheetPr>
  <dimension ref="B2:M42"/>
  <sheetViews>
    <sheetView showGridLines="0" workbookViewId="0">
      <selection activeCell="B42" sqref="B2:L42"/>
    </sheetView>
  </sheetViews>
  <sheetFormatPr defaultRowHeight="14.4" x14ac:dyDescent="0.3"/>
  <cols>
    <col min="1" max="1" width="1.77734375" customWidth="1"/>
    <col min="2" max="2" width="21" bestFit="1" customWidth="1"/>
    <col min="3" max="3" width="13.6640625" bestFit="1" customWidth="1"/>
    <col min="6" max="6" width="11.21875" customWidth="1"/>
  </cols>
  <sheetData>
    <row r="2" spans="2:13" x14ac:dyDescent="0.3">
      <c r="B2" s="270" t="str">
        <f>"Common Size Income Statement"&amp;" "&amp;"- "&amp;'Data Sheet'!$B$1</f>
        <v>Common Size Income Statement - CIPLA LTD</v>
      </c>
      <c r="C2" s="270"/>
      <c r="D2" s="270"/>
      <c r="E2" s="270"/>
      <c r="F2" s="270"/>
      <c r="G2" s="270"/>
      <c r="H2" s="270"/>
      <c r="I2" s="270"/>
      <c r="J2" s="270"/>
      <c r="K2" s="270"/>
      <c r="L2" s="270"/>
    </row>
    <row r="4" spans="2:13" x14ac:dyDescent="0.3">
      <c r="B4" s="50" t="s">
        <v>149</v>
      </c>
      <c r="C4" s="51">
        <f>'Data Sheet'!B16</f>
        <v>41729</v>
      </c>
      <c r="D4" s="51">
        <f>'Data Sheet'!C16</f>
        <v>42094</v>
      </c>
      <c r="E4" s="51">
        <f>'Data Sheet'!D16</f>
        <v>42460</v>
      </c>
      <c r="F4" s="51">
        <f>'Data Sheet'!E16</f>
        <v>42825</v>
      </c>
      <c r="G4" s="51">
        <f>'Data Sheet'!F16</f>
        <v>43190</v>
      </c>
      <c r="H4" s="51">
        <f>'Data Sheet'!G16</f>
        <v>43555</v>
      </c>
      <c r="I4" s="51">
        <f>'Data Sheet'!H16</f>
        <v>43921</v>
      </c>
      <c r="J4" s="51">
        <f>'Data Sheet'!I16</f>
        <v>44286</v>
      </c>
      <c r="K4" s="51">
        <f>'Data Sheet'!J16</f>
        <v>44651</v>
      </c>
      <c r="L4" s="51">
        <f>'Data Sheet'!K16</f>
        <v>45016</v>
      </c>
      <c r="M4" s="49"/>
    </row>
    <row r="6" spans="2:13" x14ac:dyDescent="0.3">
      <c r="B6" s="2" t="str">
        <f>'Data Sheet'!A17</f>
        <v>Sales</v>
      </c>
      <c r="C6" s="72">
        <f>'Data Sheet'!B17/'Data Sheet'!B$17</f>
        <v>1</v>
      </c>
      <c r="D6" s="72">
        <f>'Data Sheet'!C17/'Data Sheet'!C$17</f>
        <v>1</v>
      </c>
      <c r="E6" s="72">
        <f>'Data Sheet'!D17/'Data Sheet'!D$17</f>
        <v>1</v>
      </c>
      <c r="F6" s="72">
        <f>'Data Sheet'!E17/'Data Sheet'!E$17</f>
        <v>1</v>
      </c>
      <c r="G6" s="72">
        <f>'Data Sheet'!F17/'Data Sheet'!F$17</f>
        <v>1</v>
      </c>
      <c r="H6" s="72">
        <f>'Data Sheet'!G17/'Data Sheet'!G$17</f>
        <v>1</v>
      </c>
      <c r="I6" s="72">
        <f>'Data Sheet'!H17/'Data Sheet'!H$17</f>
        <v>1</v>
      </c>
      <c r="J6" s="72">
        <f>'Data Sheet'!I17/'Data Sheet'!I$17</f>
        <v>1</v>
      </c>
      <c r="K6" s="72">
        <f>'Data Sheet'!J17/'Data Sheet'!J$17</f>
        <v>1</v>
      </c>
      <c r="L6" s="72">
        <f>'Data Sheet'!K17/'Data Sheet'!K$17</f>
        <v>1</v>
      </c>
    </row>
    <row r="7" spans="2:13" x14ac:dyDescent="0.3">
      <c r="B7" t="str">
        <f>'Data Sheet'!A18</f>
        <v>Raw Material Cost</v>
      </c>
      <c r="C7" s="73">
        <f>'Data Sheet'!B18/'Data Sheet'!B$17</f>
        <v>0.38719443567974887</v>
      </c>
      <c r="D7" s="73">
        <f>'Data Sheet'!C18/'Data Sheet'!C$17</f>
        <v>0.39962487131393759</v>
      </c>
      <c r="E7" s="73">
        <f>'Data Sheet'!D18/'Data Sheet'!D$17</f>
        <v>0.36448684200984766</v>
      </c>
      <c r="F7" s="73">
        <f>'Data Sheet'!E18/'Data Sheet'!E$17</f>
        <v>0.36168230596993667</v>
      </c>
      <c r="G7" s="73">
        <f>'Data Sheet'!F18/'Data Sheet'!F$17</f>
        <v>0.37420615728329454</v>
      </c>
      <c r="H7" s="73">
        <f>'Data Sheet'!G18/'Data Sheet'!G$17</f>
        <v>0.35064822358075615</v>
      </c>
      <c r="I7" s="73">
        <f>'Data Sheet'!H18/'Data Sheet'!H$17</f>
        <v>0.36400791735227489</v>
      </c>
      <c r="J7" s="73">
        <f>'Data Sheet'!I18/'Data Sheet'!I$17</f>
        <v>0.39377669355137557</v>
      </c>
      <c r="K7" s="73">
        <f>'Data Sheet'!J18/'Data Sheet'!J$17</f>
        <v>0.42366153356975539</v>
      </c>
      <c r="L7" s="73">
        <f>'Data Sheet'!K18/'Data Sheet'!K$17</f>
        <v>0.3669070439570486</v>
      </c>
    </row>
    <row r="8" spans="2:13" x14ac:dyDescent="0.3">
      <c r="B8" t="str">
        <f>'Data Sheet'!A19</f>
        <v>Change in Inventory</v>
      </c>
      <c r="C8" s="73">
        <f>'Data Sheet'!B19/'Data Sheet'!B$17</f>
        <v>6.3154956214201956E-3</v>
      </c>
      <c r="D8" s="73">
        <f>'Data Sheet'!C19/'Data Sheet'!C$17</f>
        <v>3.033994274351634E-2</v>
      </c>
      <c r="E8" s="73">
        <f>'Data Sheet'!D19/'Data Sheet'!D$17</f>
        <v>-4.6083784744128031E-3</v>
      </c>
      <c r="F8" s="73">
        <f>'Data Sheet'!E19/'Data Sheet'!E$17</f>
        <v>-7.7086122344346255E-3</v>
      </c>
      <c r="G8" s="73">
        <f>'Data Sheet'!F19/'Data Sheet'!F$17</f>
        <v>1.5369784721402033E-2</v>
      </c>
      <c r="H8" s="73">
        <f>'Data Sheet'!G19/'Data Sheet'!G$17</f>
        <v>-2.8748821231102265E-3</v>
      </c>
      <c r="I8" s="73">
        <f>'Data Sheet'!H19/'Data Sheet'!H$17</f>
        <v>1.4286723258652378E-2</v>
      </c>
      <c r="J8" s="73">
        <f>'Data Sheet'!I19/'Data Sheet'!I$17</f>
        <v>1.0058148425931871E-2</v>
      </c>
      <c r="K8" s="73">
        <f>'Data Sheet'!J19/'Data Sheet'!J$17</f>
        <v>3.3298657283303022E-2</v>
      </c>
      <c r="L8" s="73">
        <f>'Data Sheet'!K19/'Data Sheet'!K$17</f>
        <v>4.219201586419797E-3</v>
      </c>
    </row>
    <row r="9" spans="2:13" x14ac:dyDescent="0.3">
      <c r="B9" t="str">
        <f>'Data Sheet'!A20</f>
        <v>Power and Fuel</v>
      </c>
      <c r="C9" s="73">
        <f>'Data Sheet'!B20/'Data Sheet'!B$17</f>
        <v>2.149037833013381E-2</v>
      </c>
      <c r="D9" s="73">
        <f>'Data Sheet'!C20/'Data Sheet'!C$17</f>
        <v>2.0120859129306574E-2</v>
      </c>
      <c r="E9" s="73">
        <f>'Data Sheet'!D20/'Data Sheet'!D$17</f>
        <v>1.783308315385675E-2</v>
      </c>
      <c r="F9" s="73">
        <f>'Data Sheet'!E20/'Data Sheet'!E$17</f>
        <v>1.7488184550957356E-2</v>
      </c>
      <c r="G9" s="73">
        <f>'Data Sheet'!F20/'Data Sheet'!F$17</f>
        <v>1.9716661245167664E-2</v>
      </c>
      <c r="H9" s="73">
        <f>'Data Sheet'!G20/'Data Sheet'!G$17</f>
        <v>2.0480479342590733E-2</v>
      </c>
      <c r="I9" s="73">
        <f>'Data Sheet'!H20/'Data Sheet'!H$17</f>
        <v>1.9112198874736676E-2</v>
      </c>
      <c r="J9" s="73">
        <f>'Data Sheet'!I20/'Data Sheet'!I$17</f>
        <v>1.6089070799531723E-2</v>
      </c>
      <c r="K9" s="73">
        <f>'Data Sheet'!J20/'Data Sheet'!J$17</f>
        <v>1.5210441044435273E-2</v>
      </c>
      <c r="L9" s="73">
        <f>'Data Sheet'!K20/'Data Sheet'!K$17</f>
        <v>1.554116534347817E-2</v>
      </c>
    </row>
    <row r="10" spans="2:13" x14ac:dyDescent="0.3">
      <c r="B10" t="str">
        <f>'Data Sheet'!A21</f>
        <v>Other Mfr. Exp</v>
      </c>
      <c r="C10" s="73">
        <f>'Data Sheet'!B21/'Data Sheet'!B$17</f>
        <v>5.294007209003096E-2</v>
      </c>
      <c r="D10" s="73">
        <f>'Data Sheet'!C21/'Data Sheet'!C$17</f>
        <v>6.2232932349913263E-2</v>
      </c>
      <c r="E10" s="73">
        <f>'Data Sheet'!D21/'Data Sheet'!D$17</f>
        <v>7.2516515471243867E-2</v>
      </c>
      <c r="F10" s="73">
        <f>'Data Sheet'!E21/'Data Sheet'!E$17</f>
        <v>6.3393192717390023E-2</v>
      </c>
      <c r="G10" s="73">
        <f>'Data Sheet'!F21/'Data Sheet'!F$17</f>
        <v>6.2815928781957436E-2</v>
      </c>
      <c r="H10" s="73">
        <f>'Data Sheet'!G21/'Data Sheet'!G$17</f>
        <v>5.6720250867690031E-2</v>
      </c>
      <c r="I10" s="73">
        <f>'Data Sheet'!H21/'Data Sheet'!H$17</f>
        <v>5.9392399832126908E-2</v>
      </c>
      <c r="J10" s="73">
        <f>'Data Sheet'!I21/'Data Sheet'!I$17</f>
        <v>5.6034601993048903E-2</v>
      </c>
      <c r="K10" s="73">
        <f>'Data Sheet'!J21/'Data Sheet'!J$17</f>
        <v>5.4566073038421488E-2</v>
      </c>
      <c r="L10" s="73">
        <f>'Data Sheet'!K21/'Data Sheet'!K$17</f>
        <v>5.2938234404776137E-2</v>
      </c>
    </row>
    <row r="11" spans="2:13" x14ac:dyDescent="0.3">
      <c r="B11" t="str">
        <f>'Data Sheet'!A22</f>
        <v>Employee Cost</v>
      </c>
      <c r="C11" s="73">
        <f>'Data Sheet'!B22/'Data Sheet'!B$17</f>
        <v>0.15167903717443251</v>
      </c>
      <c r="D11" s="73">
        <f>'Data Sheet'!C22/'Data Sheet'!C$17</f>
        <v>0.1739782679208563</v>
      </c>
      <c r="E11" s="73">
        <f>'Data Sheet'!D22/'Data Sheet'!D$17</f>
        <v>0.17667964699313274</v>
      </c>
      <c r="F11" s="73">
        <f>'Data Sheet'!E22/'Data Sheet'!E$17</f>
        <v>0.18346302596376757</v>
      </c>
      <c r="G11" s="73">
        <f>'Data Sheet'!F22/'Data Sheet'!F$17</f>
        <v>0.17810580962554709</v>
      </c>
      <c r="H11" s="73">
        <f>'Data Sheet'!G22/'Data Sheet'!G$17</f>
        <v>0.17516307194355846</v>
      </c>
      <c r="I11" s="73">
        <f>'Data Sheet'!H22/'Data Sheet'!H$17</f>
        <v>0.17723626969196221</v>
      </c>
      <c r="J11" s="73">
        <f>'Data Sheet'!I22/'Data Sheet'!I$17</f>
        <v>0.17024633616898899</v>
      </c>
      <c r="K11" s="73">
        <f>'Data Sheet'!J22/'Data Sheet'!J$17</f>
        <v>0.16276178196912788</v>
      </c>
      <c r="L11" s="73">
        <f>'Data Sheet'!K22/'Data Sheet'!K$17</f>
        <v>0.16888804700190568</v>
      </c>
    </row>
    <row r="12" spans="2:13" x14ac:dyDescent="0.3">
      <c r="B12" t="str">
        <f>'Data Sheet'!A23</f>
        <v>Selling and admin</v>
      </c>
      <c r="C12" s="73">
        <f>'Data Sheet'!B23/'Data Sheet'!B$17</f>
        <v>0.14096481113964962</v>
      </c>
      <c r="D12" s="73">
        <f>'Data Sheet'!C23/'Data Sheet'!C$17</f>
        <v>0.14111043732107348</v>
      </c>
      <c r="E12" s="73">
        <f>'Data Sheet'!D23/'Data Sheet'!D$17</f>
        <v>0.13789457654404247</v>
      </c>
      <c r="F12" s="73">
        <f>'Data Sheet'!E23/'Data Sheet'!E$17</f>
        <v>0.1494196657146688</v>
      </c>
      <c r="G12" s="73">
        <f>'Data Sheet'!F23/'Data Sheet'!F$17</f>
        <v>0.15471132662211143</v>
      </c>
      <c r="H12" s="73">
        <f>'Data Sheet'!G23/'Data Sheet'!G$17</f>
        <v>0.16654575945719488</v>
      </c>
      <c r="I12" s="73">
        <f>'Data Sheet'!H23/'Data Sheet'!H$17</f>
        <v>0.16847371496247662</v>
      </c>
      <c r="J12" s="73">
        <f>'Data Sheet'!I23/'Data Sheet'!I$17</f>
        <v>0.12564673878720786</v>
      </c>
      <c r="K12" s="73">
        <f>'Data Sheet'!J23/'Data Sheet'!J$17</f>
        <v>0.14379318615616904</v>
      </c>
      <c r="L12" s="73">
        <f>'Data Sheet'!K23/'Data Sheet'!K$17</f>
        <v>0.15339742417743149</v>
      </c>
    </row>
    <row r="13" spans="2:13" x14ac:dyDescent="0.3">
      <c r="B13" t="str">
        <f>'Data Sheet'!A24</f>
        <v>Other Expenses</v>
      </c>
      <c r="C13" s="73">
        <f>'Data Sheet'!B24/'Data Sheet'!B$17</f>
        <v>4.1011894756811648E-2</v>
      </c>
      <c r="D13" s="73">
        <f>'Data Sheet'!C24/'Data Sheet'!C$17</f>
        <v>4.2634750172756627E-2</v>
      </c>
      <c r="E13" s="73">
        <f>'Data Sheet'!D24/'Data Sheet'!D$17</f>
        <v>4.6165727587182105E-2</v>
      </c>
      <c r="F13" s="73">
        <f>'Data Sheet'!E24/'Data Sheet'!E$17</f>
        <v>4.3421384451751352E-2</v>
      </c>
      <c r="G13" s="73">
        <f>'Data Sheet'!F24/'Data Sheet'!F$17</f>
        <v>3.9324452632044295E-2</v>
      </c>
      <c r="H13" s="73">
        <f>'Data Sheet'!G24/'Data Sheet'!G$17</f>
        <v>3.8273090577732746E-2</v>
      </c>
      <c r="I13" s="73">
        <f>'Data Sheet'!H24/'Data Sheet'!H$17</f>
        <v>3.8929511399434624E-2</v>
      </c>
      <c r="J13" s="73">
        <f>'Data Sheet'!I24/'Data Sheet'!I$17</f>
        <v>2.631684707240604E-2</v>
      </c>
      <c r="K13" s="73">
        <f>'Data Sheet'!J24/'Data Sheet'!J$17</f>
        <v>2.4110729327391844E-2</v>
      </c>
      <c r="L13" s="73">
        <f>'Data Sheet'!K24/'Data Sheet'!K$17</f>
        <v>2.5611872130063922E-2</v>
      </c>
    </row>
    <row r="14" spans="2:13" x14ac:dyDescent="0.3">
      <c r="B14" t="str">
        <f>'Data Sheet'!A25</f>
        <v>Other Income</v>
      </c>
      <c r="C14" s="73">
        <f>'Data Sheet'!B25/'Data Sheet'!B$17</f>
        <v>2.471939048832297E-2</v>
      </c>
      <c r="D14" s="73">
        <f>'Data Sheet'!C25/'Data Sheet'!C$17</f>
        <v>1.4488640370051755E-2</v>
      </c>
      <c r="E14" s="73">
        <f>'Data Sheet'!D25/'Data Sheet'!D$17</f>
        <v>1.5098512701140673E-2</v>
      </c>
      <c r="F14" s="73">
        <f>'Data Sheet'!E25/'Data Sheet'!E$17</f>
        <v>1.446198457860721E-2</v>
      </c>
      <c r="G14" s="73">
        <f>'Data Sheet'!F25/'Data Sheet'!F$17</f>
        <v>1.8483462668525592E-2</v>
      </c>
      <c r="H14" s="73">
        <f>'Data Sheet'!G25/'Data Sheet'!G$17</f>
        <v>2.9125905046994912E-2</v>
      </c>
      <c r="I14" s="73">
        <f>'Data Sheet'!H25/'Data Sheet'!H$17</f>
        <v>2.0091069397075292E-2</v>
      </c>
      <c r="J14" s="73">
        <f>'Data Sheet'!I25/'Data Sheet'!I$17</f>
        <v>1.3882864925606446E-2</v>
      </c>
      <c r="K14" s="73">
        <f>'Data Sheet'!J25/'Data Sheet'!J$17</f>
        <v>4.5392848707964863E-3</v>
      </c>
      <c r="L14" s="73">
        <f>'Data Sheet'!K25/'Data Sheet'!K$17</f>
        <v>1.2878673342381176E-2</v>
      </c>
    </row>
    <row r="15" spans="2:13" x14ac:dyDescent="0.3">
      <c r="B15" t="str">
        <f>'Data Sheet'!A26</f>
        <v>Depreciation</v>
      </c>
      <c r="C15" s="73">
        <f>'Data Sheet'!B26/'Data Sheet'!B$17</f>
        <v>3.662889164772018E-2</v>
      </c>
      <c r="D15" s="73">
        <f>'Data Sheet'!C26/'Data Sheet'!C$17</f>
        <v>4.4485714084248819E-2</v>
      </c>
      <c r="E15" s="73">
        <f>'Data Sheet'!D26/'Data Sheet'!D$17</f>
        <v>5.4692859370127848E-2</v>
      </c>
      <c r="F15" s="73">
        <f>'Data Sheet'!E26/'Data Sheet'!E$17</f>
        <v>9.1906582401771811E-2</v>
      </c>
      <c r="G15" s="73">
        <f>'Data Sheet'!F26/'Data Sheet'!F$17</f>
        <v>8.7281955117906054E-2</v>
      </c>
      <c r="H15" s="73">
        <f>'Data Sheet'!G26/'Data Sheet'!G$17</f>
        <v>8.105835265098478E-2</v>
      </c>
      <c r="I15" s="73">
        <f>'Data Sheet'!H26/'Data Sheet'!H$17</f>
        <v>6.8564714315149614E-2</v>
      </c>
      <c r="J15" s="73">
        <f>'Data Sheet'!I26/'Data Sheet'!I$17</f>
        <v>5.5724574482021803E-2</v>
      </c>
      <c r="K15" s="73">
        <f>'Data Sheet'!J26/'Data Sheet'!J$17</f>
        <v>4.8335871240351894E-2</v>
      </c>
      <c r="L15" s="73">
        <f>'Data Sheet'!K26/'Data Sheet'!K$17</f>
        <v>5.1514253869359455E-2</v>
      </c>
    </row>
    <row r="16" spans="2:13" x14ac:dyDescent="0.3">
      <c r="B16" t="str">
        <f>'Data Sheet'!A27</f>
        <v>Interest</v>
      </c>
      <c r="C16" s="73">
        <f>'Data Sheet'!B27/'Data Sheet'!B$17</f>
        <v>1.4325608278066605E-2</v>
      </c>
      <c r="D16" s="73">
        <f>'Data Sheet'!C27/'Data Sheet'!C$17</f>
        <v>1.4833272222143873E-2</v>
      </c>
      <c r="E16" s="73">
        <f>'Data Sheet'!D27/'Data Sheet'!D$17</f>
        <v>1.4983937752445595E-2</v>
      </c>
      <c r="F16" s="73">
        <f>'Data Sheet'!E27/'Data Sheet'!E$17</f>
        <v>1.1072446087997392E-2</v>
      </c>
      <c r="G16" s="73">
        <f>'Data Sheet'!F27/'Data Sheet'!F$17</f>
        <v>7.5370932803544019E-3</v>
      </c>
      <c r="H16" s="73">
        <f>'Data Sheet'!G27/'Data Sheet'!G$17</f>
        <v>1.0293715901263933E-2</v>
      </c>
      <c r="I16" s="73">
        <f>'Data Sheet'!H27/'Data Sheet'!H$17</f>
        <v>1.1519969367248055E-2</v>
      </c>
      <c r="J16" s="73">
        <f>'Data Sheet'!I27/'Data Sheet'!I$17</f>
        <v>8.3874446165079723E-3</v>
      </c>
      <c r="K16" s="73">
        <f>'Data Sheet'!J27/'Data Sheet'!J$17</f>
        <v>4.8866580221602011E-3</v>
      </c>
      <c r="L16" s="73">
        <f>'Data Sheet'!K27/'Data Sheet'!K$17</f>
        <v>4.8142848101710893E-3</v>
      </c>
    </row>
    <row r="17" spans="2:12" x14ac:dyDescent="0.3">
      <c r="B17" t="str">
        <f>'Data Sheet'!A28</f>
        <v>Profit before tax</v>
      </c>
      <c r="C17" s="73">
        <f>'Data Sheet'!B28/'Data Sheet'!B$17</f>
        <v>0.18479975701314902</v>
      </c>
      <c r="D17" s="73">
        <f>'Data Sheet'!C28/'Data Sheet'!C$17</f>
        <v>0.14580747859933152</v>
      </c>
      <c r="E17" s="73">
        <f>'Data Sheet'!D28/'Data Sheet'!D$17</f>
        <v>0.12523694534484883</v>
      </c>
      <c r="F17" s="73">
        <f>'Data Sheet'!E28/'Data Sheet'!E$17</f>
        <v>8.490658448593158E-2</v>
      </c>
      <c r="G17" s="73">
        <f>'Data Sheet'!F28/'Data Sheet'!F$17</f>
        <v>0.11015386280154477</v>
      </c>
      <c r="H17" s="73">
        <f>'Data Sheet'!G28/'Data Sheet'!G$17</f>
        <v>0.127068078602113</v>
      </c>
      <c r="I17" s="73">
        <f>'Data Sheet'!H28/'Data Sheet'!H$17</f>
        <v>0.12714109686031802</v>
      </c>
      <c r="J17" s="73">
        <f>'Data Sheet'!I28/'Data Sheet'!I$17</f>
        <v>0.17171870588044941</v>
      </c>
      <c r="K17" s="73">
        <f>'Data Sheet'!J28/'Data Sheet'!J$17</f>
        <v>0.16051166778628648</v>
      </c>
      <c r="L17" s="73">
        <f>'Data Sheet'!K28/'Data Sheet'!K$17</f>
        <v>0.17748554923456653</v>
      </c>
    </row>
    <row r="18" spans="2:12" x14ac:dyDescent="0.3">
      <c r="B18" t="str">
        <f>'Data Sheet'!A29</f>
        <v>Tax</v>
      </c>
      <c r="C18" s="73">
        <f>'Data Sheet'!B29/'Data Sheet'!B$17</f>
        <v>4.5548239082547709E-2</v>
      </c>
      <c r="D18" s="73">
        <f>'Data Sheet'!C29/'Data Sheet'!C$17</f>
        <v>3.5259099691153449E-2</v>
      </c>
      <c r="E18" s="73">
        <f>'Data Sheet'!D29/'Data Sheet'!D$17</f>
        <v>2.404551091000065E-2</v>
      </c>
      <c r="F18" s="73">
        <f>'Data Sheet'!E29/'Data Sheet'!E$17</f>
        <v>1.2488285285345785E-2</v>
      </c>
      <c r="G18" s="73">
        <f>'Data Sheet'!F29/'Data Sheet'!F$17</f>
        <v>1.6502691064951759E-2</v>
      </c>
      <c r="H18" s="73">
        <f>'Data Sheet'!G29/'Data Sheet'!G$17</f>
        <v>3.4807219718855593E-2</v>
      </c>
      <c r="I18" s="73">
        <f>'Data Sheet'!H29/'Data Sheet'!H$17</f>
        <v>3.6843355617181654E-2</v>
      </c>
      <c r="J18" s="73">
        <f>'Data Sheet'!I29/'Data Sheet'!I$17</f>
        <v>4.6387213922636131E-2</v>
      </c>
      <c r="K18" s="73">
        <f>'Data Sheet'!J29/'Data Sheet'!J$17</f>
        <v>4.2907017029555204E-2</v>
      </c>
      <c r="L18" s="73">
        <f>'Data Sheet'!K29/'Data Sheet'!K$17</f>
        <v>5.2865716877509544E-2</v>
      </c>
    </row>
    <row r="19" spans="2:12" x14ac:dyDescent="0.3">
      <c r="B19" t="str">
        <f>'Data Sheet'!A30</f>
        <v>Net profit</v>
      </c>
      <c r="C19" s="73">
        <f>'Data Sheet'!B30/'Data Sheet'!B$17</f>
        <v>0.13647466577021033</v>
      </c>
      <c r="D19" s="73">
        <f>'Data Sheet'!C30/'Data Sheet'!C$17</f>
        <v>0.10407441227488752</v>
      </c>
      <c r="E19" s="73">
        <f>'Data Sheet'!D30/'Data Sheet'!D$17</f>
        <v>9.8620749668240262E-2</v>
      </c>
      <c r="F19" s="73">
        <f>'Data Sheet'!E30/'Data Sheet'!E$17</f>
        <v>6.9915918048059328E-2</v>
      </c>
      <c r="G19" s="73">
        <f>'Data Sheet'!F30/'Data Sheet'!F$17</f>
        <v>9.3069212857728206E-2</v>
      </c>
      <c r="H19" s="73">
        <f>'Data Sheet'!G30/'Data Sheet'!G$17</f>
        <v>9.3366441740550449E-2</v>
      </c>
      <c r="I19" s="73">
        <f>'Data Sheet'!H30/'Data Sheet'!H$17</f>
        <v>9.0270890888915989E-2</v>
      </c>
      <c r="J19" s="73">
        <f>'Data Sheet'!I30/'Data Sheet'!I$17</f>
        <v>0.12551782162353162</v>
      </c>
      <c r="K19" s="73">
        <f>'Data Sheet'!J30/'Data Sheet'!J$17</f>
        <v>0.11564171675854901</v>
      </c>
      <c r="L19" s="73">
        <f>'Data Sheet'!K30/'Data Sheet'!K$17</f>
        <v>0.12314399080214054</v>
      </c>
    </row>
    <row r="20" spans="2:12" x14ac:dyDescent="0.3">
      <c r="B20" t="str">
        <f>'Data Sheet'!A31</f>
        <v>Dividend Amount</v>
      </c>
      <c r="C20" s="73">
        <f>'Data Sheet'!B31/'Data Sheet'!B$17</f>
        <v>1.5784315749224204E-2</v>
      </c>
      <c r="D20" s="73">
        <f>'Data Sheet'!C31/'Data Sheet'!C$17</f>
        <v>1.4154585454596736E-2</v>
      </c>
      <c r="E20" s="73">
        <f>'Data Sheet'!D31/'Data Sheet'!D$17</f>
        <v>1.1651837187547589E-2</v>
      </c>
      <c r="F20" s="73">
        <f>'Data Sheet'!E31/'Data Sheet'!E$17</f>
        <v>1.117804351586636E-2</v>
      </c>
      <c r="G20" s="73">
        <f>'Data Sheet'!F31/'Data Sheet'!F$17</f>
        <v>1.5936567801838383E-2</v>
      </c>
      <c r="H20" s="73">
        <f>'Data Sheet'!G31/'Data Sheet'!G$17</f>
        <v>1.4772273766517281E-2</v>
      </c>
      <c r="I20" s="73">
        <f>'Data Sheet'!H31/'Data Sheet'!H$17</f>
        <v>1.8824433121896522E-2</v>
      </c>
      <c r="J20" s="73">
        <f>'Data Sheet'!I31/'Data Sheet'!I$17</f>
        <v>2.1045335521271594E-2</v>
      </c>
      <c r="K20" s="73">
        <f>'Data Sheet'!J31/'Data Sheet'!J$17</f>
        <v>1.8535757838640574E-2</v>
      </c>
      <c r="L20" s="73">
        <f>'Data Sheet'!K31/'Data Sheet'!K$17</f>
        <v>3.0153227337613484E-2</v>
      </c>
    </row>
    <row r="21" spans="2:12" x14ac:dyDescent="0.3">
      <c r="B21" t="str">
        <f>'Data Sheet'!A33</f>
        <v>EBITDA</v>
      </c>
      <c r="C21" s="73">
        <f>'Data Sheet'!B33/'Data Sheet'!B$17</f>
        <v>0.23297740477854484</v>
      </c>
      <c r="D21" s="73">
        <f>'Data Sheet'!C33/'Data Sheet'!C$17</f>
        <v>0.19865249827243364</v>
      </c>
      <c r="E21" s="73">
        <f>'Data Sheet'!D33/'Data Sheet'!D$17</f>
        <v>0.19234305770081436</v>
      </c>
      <c r="F21" s="73">
        <f>'Data Sheet'!E33/'Data Sheet'!E$17</f>
        <v>0.18538323182317432</v>
      </c>
      <c r="G21" s="73">
        <f>'Data Sheet'!F33/'Data Sheet'!F$17</f>
        <v>0.2043909523209404</v>
      </c>
      <c r="H21" s="73">
        <f>'Data Sheet'!G33/'Data Sheet'!G$17</f>
        <v>0.21952573001165476</v>
      </c>
      <c r="I21" s="73">
        <f>'Data Sheet'!H33/'Data Sheet'!H$17</f>
        <v>0.20719893018849533</v>
      </c>
      <c r="J21" s="73">
        <f>'Data Sheet'!I33/'Data Sheet'!I$17</f>
        <v>0.23601705464469749</v>
      </c>
      <c r="K21" s="73">
        <f>'Data Sheet'!J33/'Data Sheet'!J$17</f>
        <v>0.21177126305061633</v>
      </c>
      <c r="L21" s="73">
        <f>'Data Sheet'!K33/'Data Sheet'!K$17</f>
        <v>0.2323382463591806</v>
      </c>
    </row>
    <row r="23" spans="2:12" x14ac:dyDescent="0.3">
      <c r="B23" s="270" t="str">
        <f>"Common Size Balance Sheet"&amp;" "&amp;"- "&amp;'Data Sheet'!$B$1</f>
        <v>Common Size Balance Sheet - CIPLA LTD</v>
      </c>
      <c r="C23" s="270"/>
      <c r="D23" s="270"/>
      <c r="E23" s="270"/>
      <c r="F23" s="270"/>
      <c r="G23" s="270"/>
      <c r="H23" s="270"/>
      <c r="I23" s="270"/>
      <c r="J23" s="270"/>
      <c r="K23" s="270"/>
      <c r="L23" s="270"/>
    </row>
    <row r="25" spans="2:12" x14ac:dyDescent="0.3">
      <c r="B25" s="50" t="s">
        <v>149</v>
      </c>
      <c r="C25" s="51">
        <f>'Data Sheet'!B56</f>
        <v>41729</v>
      </c>
      <c r="D25" s="51">
        <f>'Data Sheet'!C56</f>
        <v>42094</v>
      </c>
      <c r="E25" s="51">
        <f>'Data Sheet'!D56</f>
        <v>42460</v>
      </c>
      <c r="F25" s="51">
        <f>'Data Sheet'!E56</f>
        <v>42825</v>
      </c>
      <c r="G25" s="51">
        <f>'Data Sheet'!F56</f>
        <v>43190</v>
      </c>
      <c r="H25" s="51">
        <f>'Data Sheet'!G56</f>
        <v>43555</v>
      </c>
      <c r="I25" s="51">
        <f>'Data Sheet'!H56</f>
        <v>43921</v>
      </c>
      <c r="J25" s="51">
        <f>'Data Sheet'!I56</f>
        <v>44286</v>
      </c>
      <c r="K25" s="51">
        <f>'Data Sheet'!J56</f>
        <v>44651</v>
      </c>
      <c r="L25" s="51">
        <f>'Data Sheet'!K56</f>
        <v>45016</v>
      </c>
    </row>
    <row r="26" spans="2:12" x14ac:dyDescent="0.3">
      <c r="B26" s="2"/>
      <c r="C26" s="52"/>
      <c r="D26" s="52"/>
      <c r="E26" s="52"/>
      <c r="F26" s="52"/>
      <c r="G26" s="52"/>
      <c r="H26" s="52"/>
      <c r="I26" s="52"/>
      <c r="J26" s="52"/>
      <c r="K26" s="52"/>
      <c r="L26" s="52"/>
    </row>
    <row r="27" spans="2:12" x14ac:dyDescent="0.3">
      <c r="B27" s="2" t="s">
        <v>81</v>
      </c>
      <c r="C27" s="70">
        <f>'Data Sheet'!B61/'Data Sheet'!B$61</f>
        <v>1</v>
      </c>
      <c r="D27" s="70">
        <f>'Data Sheet'!C61/'Data Sheet'!C$61</f>
        <v>1</v>
      </c>
      <c r="E27" s="70">
        <f>'Data Sheet'!D61/'Data Sheet'!D$61</f>
        <v>1</v>
      </c>
      <c r="F27" s="70">
        <f>'Data Sheet'!E61/'Data Sheet'!E$61</f>
        <v>1</v>
      </c>
      <c r="G27" s="70">
        <f>'Data Sheet'!F61/'Data Sheet'!F$61</f>
        <v>1</v>
      </c>
      <c r="H27" s="70">
        <f>'Data Sheet'!G61/'Data Sheet'!G$61</f>
        <v>1</v>
      </c>
      <c r="I27" s="70">
        <f>'Data Sheet'!H61/'Data Sheet'!H$61</f>
        <v>1</v>
      </c>
      <c r="J27" s="70">
        <f>'Data Sheet'!I61/'Data Sheet'!I$61</f>
        <v>1</v>
      </c>
      <c r="K27" s="70">
        <f>'Data Sheet'!J61/'Data Sheet'!J$61</f>
        <v>1</v>
      </c>
      <c r="L27" s="70">
        <f>'Data Sheet'!K61/'Data Sheet'!K$61</f>
        <v>1</v>
      </c>
    </row>
    <row r="28" spans="2:12" x14ac:dyDescent="0.3">
      <c r="B28" t="str">
        <f>'Data Sheet'!A57</f>
        <v>Equity Share Capital</v>
      </c>
      <c r="C28" s="43">
        <f>'Data Sheet'!B57/'Data Sheet'!B$61</f>
        <v>1.1983260151219819E-2</v>
      </c>
      <c r="D28" s="43">
        <f>'Data Sheet'!C57/'Data Sheet'!C$61</f>
        <v>1.0247970379862187E-2</v>
      </c>
      <c r="E28" s="43">
        <f>'Data Sheet'!D57/'Data Sheet'!D$61</f>
        <v>7.6334390999496897E-3</v>
      </c>
      <c r="F28" s="43">
        <f>'Data Sheet'!E57/'Data Sheet'!E$61</f>
        <v>7.7100226460951066E-3</v>
      </c>
      <c r="G28" s="43">
        <f>'Data Sheet'!F57/'Data Sheet'!F$61</f>
        <v>7.1018705150201339E-3</v>
      </c>
      <c r="H28" s="43">
        <f>'Data Sheet'!G57/'Data Sheet'!G$61</f>
        <v>6.7814413908646228E-3</v>
      </c>
      <c r="I28" s="43">
        <f>'Data Sheet'!H57/'Data Sheet'!H$61</f>
        <v>6.8843207833054901E-3</v>
      </c>
      <c r="J28" s="43">
        <f>'Data Sheet'!I57/'Data Sheet'!I$61</f>
        <v>6.4891644753147021E-3</v>
      </c>
      <c r="K28" s="43">
        <f>'Data Sheet'!J57/'Data Sheet'!J$61</f>
        <v>6.0080812714374873E-3</v>
      </c>
      <c r="L28" s="43">
        <f>'Data Sheet'!K57/'Data Sheet'!K$61</f>
        <v>5.509556313993174E-3</v>
      </c>
    </row>
    <row r="29" spans="2:12" x14ac:dyDescent="0.3">
      <c r="B29" t="str">
        <f>'Data Sheet'!A58</f>
        <v>Reserves</v>
      </c>
      <c r="C29" s="43">
        <f>'Data Sheet'!B58/'Data Sheet'!B$61</f>
        <v>0.73802270983764617</v>
      </c>
      <c r="D29" s="43">
        <f>'Data Sheet'!C58/'Data Sheet'!C$61</f>
        <v>0.67904370144514314</v>
      </c>
      <c r="E29" s="43">
        <f>'Data Sheet'!D58/'Data Sheet'!D$61</f>
        <v>0.53946865220962603</v>
      </c>
      <c r="F29" s="43">
        <f>'Data Sheet'!E58/'Data Sheet'!E$61</f>
        <v>0.59335835936084924</v>
      </c>
      <c r="G29" s="43">
        <f>'Data Sheet'!F58/'Data Sheet'!F$61</f>
        <v>0.62048392574394984</v>
      </c>
      <c r="H29" s="43">
        <f>'Data Sheet'!G58/'Data Sheet'!G$61</f>
        <v>0.62499773797645053</v>
      </c>
      <c r="I29" s="43">
        <f>'Data Sheet'!H58/'Data Sheet'!H$61</f>
        <v>0.66609272422286159</v>
      </c>
      <c r="J29" s="43">
        <f>'Data Sheet'!I58/'Data Sheet'!I$61</f>
        <v>0.73084028826068359</v>
      </c>
      <c r="K29" s="43">
        <f>'Data Sheet'!J58/'Data Sheet'!J$61</f>
        <v>0.77001179573715173</v>
      </c>
      <c r="L29" s="43">
        <f>'Data Sheet'!K58/'Data Sheet'!K$61</f>
        <v>0.79339078498293514</v>
      </c>
    </row>
    <row r="30" spans="2:12" x14ac:dyDescent="0.3">
      <c r="B30" t="str">
        <f>'Data Sheet'!A59</f>
        <v>Borrowings</v>
      </c>
      <c r="C30" s="43">
        <f>'Data Sheet'!B59/'Data Sheet'!B$61</f>
        <v>9.3125110071669723E-2</v>
      </c>
      <c r="D30" s="43">
        <f>'Data Sheet'!C59/'Data Sheet'!C$61</f>
        <v>0.10869715042736569</v>
      </c>
      <c r="E30" s="43">
        <f>'Data Sheet'!D59/'Data Sheet'!D$61</f>
        <v>0.24712807768739289</v>
      </c>
      <c r="F30" s="43">
        <f>'Data Sheet'!E59/'Data Sheet'!E$61</f>
        <v>0.19707086224791484</v>
      </c>
      <c r="G30" s="43">
        <f>'Data Sheet'!F59/'Data Sheet'!F$61</f>
        <v>0.18074661820940419</v>
      </c>
      <c r="H30" s="43">
        <f>'Data Sheet'!G59/'Data Sheet'!G$61</f>
        <v>0.18164490985783549</v>
      </c>
      <c r="I30" s="43">
        <f>'Data Sheet'!H59/'Data Sheet'!H$61</f>
        <v>0.120243147806047</v>
      </c>
      <c r="J30" s="43">
        <f>'Data Sheet'!I59/'Data Sheet'!I$61</f>
        <v>8.1045556517568909E-2</v>
      </c>
      <c r="K30" s="43">
        <f>'Data Sheet'!J59/'Data Sheet'!J$61</f>
        <v>3.9310932354724028E-2</v>
      </c>
      <c r="L30" s="43">
        <f>'Data Sheet'!K59/'Data Sheet'!K$61</f>
        <v>2.741023890784983E-2</v>
      </c>
    </row>
    <row r="31" spans="2:12" x14ac:dyDescent="0.3">
      <c r="B31" t="str">
        <f>'Data Sheet'!A60</f>
        <v>Other Liabilities</v>
      </c>
      <c r="C31" s="43">
        <f>'Data Sheet'!B60/'Data Sheet'!B$61</f>
        <v>0.15686891993946431</v>
      </c>
      <c r="D31" s="43">
        <f>'Data Sheet'!C60/'Data Sheet'!C$61</f>
        <v>0.20201117774762897</v>
      </c>
      <c r="E31" s="43">
        <f>'Data Sheet'!D60/'Data Sheet'!D$61</f>
        <v>0.20576983100303142</v>
      </c>
      <c r="F31" s="43">
        <f>'Data Sheet'!E60/'Data Sheet'!E$61</f>
        <v>0.20186075574514087</v>
      </c>
      <c r="G31" s="43">
        <f>'Data Sheet'!F60/'Data Sheet'!F$61</f>
        <v>0.19166758553162586</v>
      </c>
      <c r="H31" s="43">
        <f>'Data Sheet'!G60/'Data Sheet'!G$61</f>
        <v>0.18657591077484931</v>
      </c>
      <c r="I31" s="43">
        <f>'Data Sheet'!H60/'Data Sheet'!H$61</f>
        <v>0.20677980718778588</v>
      </c>
      <c r="J31" s="43">
        <f>'Data Sheet'!I60/'Data Sheet'!I$61</f>
        <v>0.18162499074643296</v>
      </c>
      <c r="K31" s="43">
        <f>'Data Sheet'!J60/'Data Sheet'!J$61</f>
        <v>0.18466919063668683</v>
      </c>
      <c r="L31" s="43">
        <f>'Data Sheet'!K60/'Data Sheet'!K$61</f>
        <v>0.17368941979522184</v>
      </c>
    </row>
    <row r="33" spans="2:12" x14ac:dyDescent="0.3">
      <c r="B33" s="2" t="s">
        <v>83</v>
      </c>
      <c r="C33" s="70">
        <f>'Data Sheet'!B75/'Data Sheet'!B$75</f>
        <v>1</v>
      </c>
      <c r="D33" s="70">
        <f>'Data Sheet'!C75/'Data Sheet'!C$75</f>
        <v>1</v>
      </c>
      <c r="E33" s="70">
        <f>'Data Sheet'!D75/'Data Sheet'!D$75</f>
        <v>1</v>
      </c>
      <c r="F33" s="70">
        <f>'Data Sheet'!E75/'Data Sheet'!E$75</f>
        <v>1</v>
      </c>
      <c r="G33" s="70">
        <f>'Data Sheet'!F75/'Data Sheet'!F$75</f>
        <v>1</v>
      </c>
      <c r="H33" s="70">
        <f>'Data Sheet'!G75/'Data Sheet'!G$75</f>
        <v>1</v>
      </c>
      <c r="I33" s="70">
        <f>'Data Sheet'!H75/'Data Sheet'!H$75</f>
        <v>1</v>
      </c>
      <c r="J33" s="70">
        <f>'Data Sheet'!I75/'Data Sheet'!I$75</f>
        <v>1</v>
      </c>
      <c r="K33" s="70">
        <f>'Data Sheet'!J75/'Data Sheet'!J$75</f>
        <v>1</v>
      </c>
      <c r="L33" s="70">
        <f>'Data Sheet'!K75/'Data Sheet'!K$75</f>
        <v>1</v>
      </c>
    </row>
    <row r="34" spans="2:12" x14ac:dyDescent="0.3">
      <c r="B34" t="str">
        <f>'Data Sheet'!A62</f>
        <v>Net Block</v>
      </c>
      <c r="C34" s="43">
        <f>'Data Sheet'!B62/'Data Sheet'!B$75</f>
        <v>0.4847981696014137</v>
      </c>
      <c r="D34" s="43">
        <f>'Data Sheet'!C62/'Data Sheet'!C$75</f>
        <v>0.43583005433166438</v>
      </c>
      <c r="E34" s="43">
        <f>'Data Sheet'!D62/'Data Sheet'!D$75</f>
        <v>0.44506161431939678</v>
      </c>
      <c r="F34" s="43">
        <f>'Data Sheet'!E62/'Data Sheet'!E$75</f>
        <v>0.45483766784513252</v>
      </c>
      <c r="G34" s="43">
        <f>'Data Sheet'!F62/'Data Sheet'!F$75</f>
        <v>0.43885740244962046</v>
      </c>
      <c r="H34" s="43">
        <f>'Data Sheet'!G62/'Data Sheet'!G$75</f>
        <v>0.40435975054193879</v>
      </c>
      <c r="I34" s="43">
        <f>'Data Sheet'!H62/'Data Sheet'!H$75</f>
        <v>0.41339609841526131</v>
      </c>
      <c r="J34" s="43">
        <f>'Data Sheet'!I62/'Data Sheet'!I$75</f>
        <v>0.38283696663244193</v>
      </c>
      <c r="K34" s="43">
        <f>'Data Sheet'!J62/'Data Sheet'!J$75</f>
        <v>0.36054929113875034</v>
      </c>
      <c r="L34" s="43">
        <f>'Data Sheet'!K62/'Data Sheet'!K$75</f>
        <v>0.31264436860068257</v>
      </c>
    </row>
    <row r="35" spans="2:12" x14ac:dyDescent="0.3">
      <c r="B35" t="str">
        <f>'Data Sheet'!A63</f>
        <v>Capital Work in Progress</v>
      </c>
      <c r="C35" s="43">
        <f>'Data Sheet'!B63/'Data Sheet'!B$75</f>
        <v>3.2972248506756528E-2</v>
      </c>
      <c r="D35" s="43">
        <f>'Data Sheet'!C63/'Data Sheet'!C$75</f>
        <v>3.7069842416476394E-2</v>
      </c>
      <c r="E35" s="43">
        <f>'Data Sheet'!D63/'Data Sheet'!D$75</f>
        <v>9.7905935013152326E-2</v>
      </c>
      <c r="F35" s="43">
        <f>'Data Sheet'!E63/'Data Sheet'!E$75</f>
        <v>8.0645207662679561E-2</v>
      </c>
      <c r="G35" s="43">
        <f>'Data Sheet'!F63/'Data Sheet'!F$75</f>
        <v>4.3282068019529919E-2</v>
      </c>
      <c r="H35" s="43">
        <f>'Data Sheet'!G63/'Data Sheet'!G$75</f>
        <v>2.8456466672923175E-2</v>
      </c>
      <c r="I35" s="43">
        <f>'Data Sheet'!H63/'Data Sheet'!H$75</f>
        <v>3.5202040405946516E-2</v>
      </c>
      <c r="J35" s="43">
        <f>'Data Sheet'!I63/'Data Sheet'!I$75</f>
        <v>3.8981254687132878E-2</v>
      </c>
      <c r="K35" s="43">
        <f>'Data Sheet'!J63/'Data Sheet'!J$75</f>
        <v>2.8527960514067755E-2</v>
      </c>
      <c r="L35" s="43">
        <f>'Data Sheet'!K63/'Data Sheet'!K$75</f>
        <v>3.7313993174061429E-2</v>
      </c>
    </row>
    <row r="36" spans="2:12" x14ac:dyDescent="0.3">
      <c r="B36" t="str">
        <f>'Data Sheet'!A64</f>
        <v>Investments</v>
      </c>
      <c r="C36" s="43">
        <f>'Data Sheet'!B64/'Data Sheet'!B$75</f>
        <v>5.287693763451131E-2</v>
      </c>
      <c r="D36" s="43">
        <f>'Data Sheet'!C64/'Data Sheet'!C$75</f>
        <v>4.0827240112262464E-2</v>
      </c>
      <c r="E36" s="43">
        <f>'Data Sheet'!D64/'Data Sheet'!D$75</f>
        <v>3.6043153539586946E-2</v>
      </c>
      <c r="F36" s="43">
        <f>'Data Sheet'!E64/'Data Sheet'!E$75</f>
        <v>4.6624792634412673E-2</v>
      </c>
      <c r="G36" s="43">
        <f>'Data Sheet'!F64/'Data Sheet'!F$75</f>
        <v>5.5521790331188328E-2</v>
      </c>
      <c r="H36" s="43">
        <f>'Data Sheet'!G64/'Data Sheet'!G$75</f>
        <v>0.10748883402049751</v>
      </c>
      <c r="I36" s="43">
        <f>'Data Sheet'!H64/'Data Sheet'!H$75</f>
        <v>6.2802936797879322E-2</v>
      </c>
      <c r="J36" s="43">
        <f>'Data Sheet'!I64/'Data Sheet'!I$75</f>
        <v>0.10903317122156742</v>
      </c>
      <c r="K36" s="43">
        <f>'Data Sheet'!J64/'Data Sheet'!J$75</f>
        <v>9.4969088317603201E-2</v>
      </c>
      <c r="L36" s="43">
        <f>'Data Sheet'!K64/'Data Sheet'!K$75</f>
        <v>0.12499590443686007</v>
      </c>
    </row>
    <row r="37" spans="2:12" x14ac:dyDescent="0.3">
      <c r="B37" t="str">
        <f>'Data Sheet'!A65</f>
        <v>Other Assets</v>
      </c>
      <c r="C37" s="43">
        <f>'Data Sheet'!B74/'Data Sheet'!B$75</f>
        <v>7.7876266010763792E-2</v>
      </c>
      <c r="D37" s="43">
        <f>'Data Sheet'!C74/'Data Sheet'!C$75</f>
        <v>8.1523022356771543E-2</v>
      </c>
      <c r="E37" s="43">
        <f>'Data Sheet'!D74/'Data Sheet'!D$75</f>
        <v>8.6742719182270028E-2</v>
      </c>
      <c r="F37" s="43">
        <f>'Data Sheet'!E74/'Data Sheet'!E$75</f>
        <v>9.8156878116473556E-2</v>
      </c>
      <c r="G37" s="43">
        <f>'Data Sheet'!F74/'Data Sheet'!F$75</f>
        <v>0.10452125665442004</v>
      </c>
      <c r="H37" s="43">
        <f>'Data Sheet'!G74/'Data Sheet'!G$75</f>
        <v>9.2116753240795837E-2</v>
      </c>
      <c r="I37" s="43">
        <f>'Data Sheet'!H74/'Data Sheet'!H$75</f>
        <v>9.2710134019047291E-2</v>
      </c>
      <c r="J37" s="43">
        <f>'Data Sheet'!I74/'Data Sheet'!I$75</f>
        <v>8.6288708073294682E-2</v>
      </c>
      <c r="K37" s="43">
        <f>'Data Sheet'!J74/'Data Sheet'!J$75</f>
        <v>0.11743199951148965</v>
      </c>
      <c r="L37" s="43">
        <f>'Data Sheet'!K74/'Data Sheet'!K$75</f>
        <v>0.15719419795221845</v>
      </c>
    </row>
    <row r="38" spans="2:12" x14ac:dyDescent="0.3">
      <c r="B38" t="str">
        <f>'Data Sheet'!A67</f>
        <v>Receivables</v>
      </c>
      <c r="C38" s="43">
        <f>'Data Sheet'!B67/'Data Sheet'!B$75</f>
        <v>0.12230193815688534</v>
      </c>
      <c r="D38" s="43">
        <f>'Data Sheet'!C67/'Data Sheet'!C$75</f>
        <v>0.12748350076130696</v>
      </c>
      <c r="E38" s="43">
        <f>'Data Sheet'!D67/'Data Sheet'!D$75</f>
        <v>0.11193952917624131</v>
      </c>
      <c r="F38" s="43">
        <f>'Data Sheet'!E67/'Data Sheet'!E$75</f>
        <v>0.12281649187740251</v>
      </c>
      <c r="G38" s="43">
        <f>'Data Sheet'!F67/'Data Sheet'!F$75</f>
        <v>0.136835164447424</v>
      </c>
      <c r="H38" s="43">
        <f>'Data Sheet'!G67/'Data Sheet'!G$75</f>
        <v>0.17467956069188043</v>
      </c>
      <c r="I38" s="43">
        <f>'Data Sheet'!H67/'Data Sheet'!H$75</f>
        <v>0.16613349647928363</v>
      </c>
      <c r="J38" s="43">
        <f>'Data Sheet'!I67/'Data Sheet'!I$75</f>
        <v>0.13862969960507385</v>
      </c>
      <c r="K38" s="43">
        <f>'Data Sheet'!J67/'Data Sheet'!J$75</f>
        <v>0.12750566329425747</v>
      </c>
      <c r="L38" s="43">
        <f>'Data Sheet'!K67/'Data Sheet'!K$75</f>
        <v>0.1384641638225256</v>
      </c>
    </row>
    <row r="39" spans="2:12" x14ac:dyDescent="0.3">
      <c r="B39" t="str">
        <f>'Data Sheet'!A68</f>
        <v>Inventory</v>
      </c>
      <c r="C39" s="43">
        <f>'Data Sheet'!B68/'Data Sheet'!B$75</f>
        <v>0.21605837455113147</v>
      </c>
      <c r="D39" s="43">
        <f>'Data Sheet'!C68/'Data Sheet'!C$75</f>
        <v>0.24125837086689444</v>
      </c>
      <c r="E39" s="43">
        <f>'Data Sheet'!D68/'Data Sheet'!D$75</f>
        <v>0.18090937120091746</v>
      </c>
      <c r="F39" s="43">
        <f>'Data Sheet'!E68/'Data Sheet'!E$75</f>
        <v>0.16700800328143167</v>
      </c>
      <c r="G39" s="43">
        <f>'Data Sheet'!F68/'Data Sheet'!F$75</f>
        <v>0.17839358882189749</v>
      </c>
      <c r="H39" s="43">
        <f>'Data Sheet'!G68/'Data Sheet'!G$75</f>
        <v>0.16685653636429057</v>
      </c>
      <c r="I39" s="43">
        <f>'Data Sheet'!H68/'Data Sheet'!H$75</f>
        <v>0.18689490022324412</v>
      </c>
      <c r="J39" s="43">
        <f>'Data Sheet'!I68/'Data Sheet'!I$75</f>
        <v>0.18785465301537543</v>
      </c>
      <c r="K39" s="43">
        <f>'Data Sheet'!J68/'Data Sheet'!J$75</f>
        <v>0.19921093667387021</v>
      </c>
      <c r="L39" s="43">
        <f>'Data Sheet'!K68/'Data Sheet'!K$75</f>
        <v>0.17598737201365189</v>
      </c>
    </row>
    <row r="40" spans="2:12" x14ac:dyDescent="0.3">
      <c r="B40" t="str">
        <f>'Data Sheet'!A69</f>
        <v>Cash &amp; Bank</v>
      </c>
      <c r="C40" s="43">
        <f>'Data Sheet'!B69/'Data Sheet'!B$75</f>
        <v>1.311606553853777E-2</v>
      </c>
      <c r="D40" s="43">
        <f>'Data Sheet'!C69/'Data Sheet'!C$75</f>
        <v>3.6007969154623808E-2</v>
      </c>
      <c r="E40" s="43">
        <f>'Data Sheet'!D69/'Data Sheet'!D$75</f>
        <v>4.1397677568435147E-2</v>
      </c>
      <c r="F40" s="43">
        <f>'Data Sheet'!E69/'Data Sheet'!E$75</f>
        <v>2.9910958582467537E-2</v>
      </c>
      <c r="G40" s="43">
        <f>'Data Sheet'!F69/'Data Sheet'!F$75</f>
        <v>4.2588729275919709E-2</v>
      </c>
      <c r="H40" s="43">
        <f>'Data Sheet'!G69/'Data Sheet'!G$75</f>
        <v>2.6042098467673681E-2</v>
      </c>
      <c r="I40" s="43">
        <f>'Data Sheet'!H69/'Data Sheet'!H$75</f>
        <v>4.2860393659337762E-2</v>
      </c>
      <c r="J40" s="43">
        <f>'Data Sheet'!I69/'Data Sheet'!I$75</f>
        <v>5.6375546765113894E-2</v>
      </c>
      <c r="K40" s="43">
        <f>'Data Sheet'!J69/'Data Sheet'!J$75</f>
        <v>7.1805060549961358E-2</v>
      </c>
      <c r="L40" s="43">
        <f>'Data Sheet'!K69/'Data Sheet'!K$75</f>
        <v>5.3399999999999996E-2</v>
      </c>
    </row>
    <row r="42" spans="2:12" ht="6.6" customHeight="1" x14ac:dyDescent="0.3">
      <c r="B42" s="271"/>
      <c r="C42" s="271"/>
      <c r="D42" s="271"/>
      <c r="E42" s="271"/>
      <c r="F42" s="271"/>
      <c r="G42" s="271"/>
      <c r="H42" s="271"/>
      <c r="I42" s="271"/>
      <c r="J42" s="271"/>
      <c r="K42" s="271"/>
      <c r="L42" s="271"/>
    </row>
  </sheetData>
  <mergeCells count="3">
    <mergeCell ref="B2:L2"/>
    <mergeCell ref="B23:L23"/>
    <mergeCell ref="B42:L42"/>
  </mergeCells>
  <pageMargins left="0.7" right="0.7" top="0.75" bottom="0.75" header="0.3" footer="0.3"/>
  <pageSetup scale="76"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0EA4-CCF9-4748-9261-B15C56B13272}">
  <sheetPr>
    <pageSetUpPr fitToPage="1"/>
  </sheetPr>
  <dimension ref="A2:M64"/>
  <sheetViews>
    <sheetView showGridLines="0" workbookViewId="0">
      <pane ySplit="2" topLeftCell="A41" activePane="bottomLeft" state="frozen"/>
      <selection activeCell="I41" sqref="I41"/>
      <selection pane="bottomLeft" activeCell="B2" sqref="B2:K64"/>
    </sheetView>
  </sheetViews>
  <sheetFormatPr defaultRowHeight="14.4" x14ac:dyDescent="0.3"/>
  <cols>
    <col min="1" max="1" width="2.109375" customWidth="1"/>
    <col min="2" max="2" width="17.33203125" style="79" bestFit="1" customWidth="1"/>
    <col min="3" max="5" width="8.88671875" style="79"/>
    <col min="6" max="6" width="8.33203125" style="79" customWidth="1"/>
    <col min="7" max="7" width="11.5546875" style="79" bestFit="1" customWidth="1"/>
    <col min="8" max="8" width="21" style="79" bestFit="1" customWidth="1"/>
    <col min="9" max="9" width="20.21875" style="79" bestFit="1" customWidth="1"/>
    <col min="10" max="10" width="19.21875" style="79" bestFit="1" customWidth="1"/>
    <col min="11" max="11" width="20.88671875" style="79" bestFit="1" customWidth="1"/>
    <col min="12" max="16384" width="8.88671875" style="79"/>
  </cols>
  <sheetData>
    <row r="2" spans="2:13" x14ac:dyDescent="0.3">
      <c r="B2" s="129" t="s">
        <v>397</v>
      </c>
      <c r="C2" s="129"/>
      <c r="D2" s="129"/>
      <c r="E2" s="129"/>
      <c r="F2" s="129"/>
      <c r="G2" s="189" t="e">
        <f>#REF!</f>
        <v>#REF!</v>
      </c>
      <c r="H2" s="189" t="e">
        <f>#REF!</f>
        <v>#REF!</v>
      </c>
      <c r="I2" s="189" t="e">
        <f>#REF!</f>
        <v>#REF!</v>
      </c>
      <c r="J2" s="189" t="e">
        <f>#REF!</f>
        <v>#REF!</v>
      </c>
      <c r="K2" s="189" t="e">
        <f>#REF!</f>
        <v>#REF!</v>
      </c>
    </row>
    <row r="4" spans="2:13" x14ac:dyDescent="0.3">
      <c r="B4" s="81" t="s">
        <v>290</v>
      </c>
    </row>
    <row r="5" spans="2:13" x14ac:dyDescent="0.3">
      <c r="B5" s="111" t="e">
        <f>#REF!</f>
        <v>#REF!</v>
      </c>
      <c r="C5" s="114"/>
      <c r="D5" s="114"/>
      <c r="E5" s="114"/>
      <c r="F5" s="114"/>
      <c r="G5" s="112">
        <f>Rough!D119</f>
        <v>3965</v>
      </c>
      <c r="H5" s="112">
        <f>Rough!E119</f>
        <v>4378</v>
      </c>
      <c r="I5" s="112">
        <f>Rough!F119</f>
        <v>4669</v>
      </c>
      <c r="J5" s="112">
        <f>Rough!G119</f>
        <v>5350</v>
      </c>
      <c r="K5" s="112">
        <f>Rough!H119</f>
        <v>5156</v>
      </c>
    </row>
    <row r="6" spans="2:13" x14ac:dyDescent="0.3">
      <c r="B6" s="111" t="e">
        <f>#REF!</f>
        <v>#REF!</v>
      </c>
      <c r="C6" s="114"/>
      <c r="D6" s="114"/>
      <c r="E6" s="114"/>
      <c r="F6" s="114"/>
      <c r="G6" s="112">
        <f>Rough!D120</f>
        <v>4151</v>
      </c>
      <c r="H6" s="112">
        <f>Rough!E120</f>
        <v>3891</v>
      </c>
      <c r="I6" s="112">
        <f>Rough!F120</f>
        <v>3446</v>
      </c>
      <c r="J6" s="112">
        <f>Rough!G120</f>
        <v>3424</v>
      </c>
      <c r="K6" s="112">
        <f>Rough!H120</f>
        <v>4057</v>
      </c>
    </row>
    <row r="7" spans="2:13" x14ac:dyDescent="0.3">
      <c r="B7" s="111" t="e">
        <f>#REF!</f>
        <v>#REF!</v>
      </c>
      <c r="C7" s="114"/>
      <c r="D7" s="114"/>
      <c r="E7" s="114"/>
      <c r="F7" s="114"/>
      <c r="G7" s="112">
        <f>Rough!D122</f>
        <v>9</v>
      </c>
      <c r="H7" s="112">
        <f>Rough!E122</f>
        <v>8</v>
      </c>
      <c r="I7" s="112">
        <f>Rough!F122</f>
        <v>1</v>
      </c>
      <c r="J7" s="112">
        <f>Rough!G122</f>
        <v>13</v>
      </c>
      <c r="K7" s="112">
        <f>Rough!H122</f>
        <v>8</v>
      </c>
    </row>
    <row r="8" spans="2:13" ht="15" thickBot="1" x14ac:dyDescent="0.35">
      <c r="B8" s="115" t="e">
        <f>#REF!</f>
        <v>#REF!</v>
      </c>
      <c r="C8" s="116"/>
      <c r="D8" s="116"/>
      <c r="E8" s="116"/>
      <c r="F8" s="116"/>
      <c r="G8" s="192">
        <f>Rough!D123</f>
        <v>2180</v>
      </c>
      <c r="H8" s="192">
        <f>Rough!E123</f>
        <v>2164</v>
      </c>
      <c r="I8" s="192">
        <f>Rough!F123</f>
        <v>2144</v>
      </c>
      <c r="J8" s="192">
        <f>Rough!G123</f>
        <v>3141</v>
      </c>
      <c r="K8" s="192">
        <f>Rough!H123</f>
        <v>4598</v>
      </c>
    </row>
    <row r="9" spans="2:13" ht="15" thickBot="1" x14ac:dyDescent="0.35">
      <c r="B9" s="118" t="s">
        <v>291</v>
      </c>
      <c r="C9" s="121"/>
      <c r="D9" s="121"/>
      <c r="E9" s="121"/>
      <c r="F9" s="121"/>
      <c r="G9" s="118">
        <f>SUM(G5:G8)</f>
        <v>10305</v>
      </c>
      <c r="H9" s="118">
        <f t="shared" ref="H9:K9" si="0">SUM(H5:H8)</f>
        <v>10441</v>
      </c>
      <c r="I9" s="118">
        <f t="shared" si="0"/>
        <v>10260</v>
      </c>
      <c r="J9" s="118">
        <f t="shared" si="0"/>
        <v>11928</v>
      </c>
      <c r="K9" s="118">
        <f t="shared" si="0"/>
        <v>13819</v>
      </c>
    </row>
    <row r="11" spans="2:13" x14ac:dyDescent="0.3">
      <c r="B11" s="81" t="s">
        <v>292</v>
      </c>
    </row>
    <row r="12" spans="2:13" x14ac:dyDescent="0.3">
      <c r="B12" s="111" t="e">
        <f>#REF!</f>
        <v>#REF!</v>
      </c>
      <c r="C12" s="114"/>
      <c r="D12" s="114"/>
      <c r="E12" s="114"/>
      <c r="F12" s="114"/>
      <c r="G12" s="112">
        <f>Rough!D100</f>
        <v>1948</v>
      </c>
      <c r="H12" s="112">
        <f>Rough!E100</f>
        <v>2282</v>
      </c>
      <c r="I12" s="112">
        <f>Rough!F100</f>
        <v>2067</v>
      </c>
      <c r="J12" s="112">
        <f>Rough!G100</f>
        <v>2508</v>
      </c>
      <c r="K12" s="112">
        <f>Rough!H100</f>
        <v>2457</v>
      </c>
    </row>
    <row r="13" spans="2:13" x14ac:dyDescent="0.3">
      <c r="B13" s="111" t="e">
        <f>#REF!</f>
        <v>#REF!</v>
      </c>
      <c r="C13" s="114"/>
      <c r="D13" s="114"/>
      <c r="E13" s="114"/>
      <c r="F13" s="114"/>
      <c r="G13" s="112">
        <f>Rough!D101</f>
        <v>44</v>
      </c>
      <c r="H13" s="112">
        <f>Rough!E101</f>
        <v>34</v>
      </c>
      <c r="I13" s="112">
        <f>Rough!F101</f>
        <v>40</v>
      </c>
      <c r="J13" s="112">
        <f>Rough!G101</f>
        <v>74</v>
      </c>
      <c r="K13" s="112">
        <f>Rough!H101</f>
        <v>63</v>
      </c>
    </row>
    <row r="14" spans="2:13" ht="15" thickBot="1" x14ac:dyDescent="0.35">
      <c r="B14" s="115" t="e">
        <f>#REF!</f>
        <v>#REF!</v>
      </c>
      <c r="C14" s="116"/>
      <c r="D14" s="116"/>
      <c r="E14" s="116"/>
      <c r="F14" s="116"/>
      <c r="G14" s="113">
        <f>Rough!D102</f>
        <v>2109</v>
      </c>
      <c r="H14" s="113">
        <f>Rough!E102</f>
        <v>2233</v>
      </c>
      <c r="I14" s="113">
        <f>Rough!F102</f>
        <v>2149</v>
      </c>
      <c r="J14" s="113">
        <f>Rough!G102</f>
        <v>2102</v>
      </c>
      <c r="K14" s="113">
        <f>Rough!H102</f>
        <v>2264</v>
      </c>
    </row>
    <row r="15" spans="2:13" ht="15" thickBot="1" x14ac:dyDescent="0.35">
      <c r="B15" s="118" t="s">
        <v>398</v>
      </c>
      <c r="C15" s="121"/>
      <c r="D15" s="121"/>
      <c r="E15" s="121"/>
      <c r="F15" s="121"/>
      <c r="G15" s="118">
        <f>SUM(G12:G14)</f>
        <v>4101</v>
      </c>
      <c r="H15" s="118">
        <f>SUM(H12:H14)</f>
        <v>4549</v>
      </c>
      <c r="I15" s="118">
        <f>SUM(I12:I14)</f>
        <v>4256</v>
      </c>
      <c r="J15" s="118">
        <f>SUM(J12:J14)</f>
        <v>4684</v>
      </c>
      <c r="K15" s="118">
        <f>SUM(K12:K14)</f>
        <v>4784</v>
      </c>
      <c r="M15" s="79" t="s">
        <v>143</v>
      </c>
    </row>
    <row r="16" spans="2:13" ht="15" thickBot="1" x14ac:dyDescent="0.35"/>
    <row r="17" spans="2:12" ht="15" thickBot="1" x14ac:dyDescent="0.35">
      <c r="B17" s="118" t="s">
        <v>293</v>
      </c>
      <c r="C17" s="118"/>
      <c r="D17" s="118"/>
      <c r="E17" s="118"/>
      <c r="F17" s="118"/>
      <c r="G17" s="119">
        <f>G9-G15</f>
        <v>6204</v>
      </c>
      <c r="H17" s="119">
        <f>H9-H15</f>
        <v>5892</v>
      </c>
      <c r="I17" s="119">
        <f t="shared" ref="I17:K17" si="1">I9-I15</f>
        <v>6004</v>
      </c>
      <c r="J17" s="119">
        <f t="shared" si="1"/>
        <v>7244</v>
      </c>
      <c r="K17" s="119">
        <f t="shared" si="1"/>
        <v>9035</v>
      </c>
    </row>
    <row r="19" spans="2:12" x14ac:dyDescent="0.3">
      <c r="B19" s="81" t="s">
        <v>294</v>
      </c>
    </row>
    <row r="20" spans="2:12" x14ac:dyDescent="0.3">
      <c r="B20" s="111" t="s">
        <v>275</v>
      </c>
      <c r="C20" s="114"/>
      <c r="D20" s="114"/>
      <c r="E20" s="114"/>
      <c r="F20" s="114"/>
      <c r="G20" s="112">
        <f>Rough!D105</f>
        <v>115</v>
      </c>
      <c r="H20" s="112">
        <f>Rough!E105</f>
        <v>161</v>
      </c>
      <c r="I20" s="112">
        <f>Rough!F105</f>
        <v>194</v>
      </c>
      <c r="J20" s="112">
        <f>Rough!G105</f>
        <v>219</v>
      </c>
      <c r="K20" s="112">
        <f>Rough!H105</f>
        <v>251</v>
      </c>
    </row>
    <row r="21" spans="2:12" x14ac:dyDescent="0.3">
      <c r="B21" s="111" t="s">
        <v>276</v>
      </c>
      <c r="C21" s="114"/>
      <c r="D21" s="114"/>
      <c r="E21" s="114"/>
      <c r="F21" s="114"/>
      <c r="G21" s="112">
        <f>Rough!D106</f>
        <v>2547</v>
      </c>
      <c r="H21" s="112">
        <f>Rough!E106</f>
        <v>2866</v>
      </c>
      <c r="I21" s="112">
        <f>Rough!F106</f>
        <v>2805</v>
      </c>
      <c r="J21" s="112">
        <f>Rough!G106</f>
        <v>3051</v>
      </c>
      <c r="K21" s="112">
        <f>Rough!H106</f>
        <v>3116</v>
      </c>
    </row>
    <row r="22" spans="2:12" x14ac:dyDescent="0.3">
      <c r="B22" s="111" t="s">
        <v>277</v>
      </c>
      <c r="C22" s="114"/>
      <c r="D22" s="114"/>
      <c r="E22" s="114"/>
      <c r="F22" s="114"/>
      <c r="G22" s="112">
        <f>Rough!D107</f>
        <v>4585</v>
      </c>
      <c r="H22" s="112">
        <f>Rough!E107</f>
        <v>4916</v>
      </c>
      <c r="I22" s="112">
        <f>Rough!F107</f>
        <v>5291</v>
      </c>
      <c r="J22" s="112">
        <f>Rough!G107</f>
        <v>5811</v>
      </c>
      <c r="K22" s="112">
        <f>Rough!H107</f>
        <v>5931</v>
      </c>
    </row>
    <row r="23" spans="2:12" x14ac:dyDescent="0.3">
      <c r="B23" s="111" t="s">
        <v>278</v>
      </c>
      <c r="C23" s="114"/>
      <c r="D23" s="114"/>
      <c r="E23" s="114"/>
      <c r="F23" s="114"/>
      <c r="G23" s="112">
        <f>Rough!D108</f>
        <v>98</v>
      </c>
      <c r="H23" s="112">
        <f>Rough!E108</f>
        <v>103</v>
      </c>
      <c r="I23" s="112">
        <f>Rough!F108</f>
        <v>92</v>
      </c>
      <c r="J23" s="112">
        <f>Rough!G108</f>
        <v>99</v>
      </c>
      <c r="K23" s="112">
        <f>Rough!H108</f>
        <v>109</v>
      </c>
    </row>
    <row r="24" spans="2:12" x14ac:dyDescent="0.3">
      <c r="B24" s="111" t="s">
        <v>403</v>
      </c>
      <c r="C24" s="114"/>
      <c r="D24" s="114"/>
      <c r="E24" s="114"/>
      <c r="F24" s="114"/>
      <c r="G24" s="112">
        <f>Rough!D109</f>
        <v>0</v>
      </c>
      <c r="H24" s="112">
        <f>Rough!E109</f>
        <v>35</v>
      </c>
      <c r="I24" s="112">
        <f>Rough!F109</f>
        <v>8</v>
      </c>
      <c r="J24" s="112">
        <f>Rough!G109</f>
        <v>1</v>
      </c>
      <c r="K24" s="112">
        <f>Rough!H109</f>
        <v>0</v>
      </c>
    </row>
    <row r="25" spans="2:12" x14ac:dyDescent="0.3">
      <c r="B25" s="111" t="s">
        <v>279</v>
      </c>
      <c r="C25" s="114"/>
      <c r="D25" s="114"/>
      <c r="E25" s="114"/>
      <c r="F25" s="114"/>
      <c r="G25" s="112">
        <f>Rough!D110</f>
        <v>150</v>
      </c>
      <c r="H25" s="112">
        <f>Rough!E110</f>
        <v>156</v>
      </c>
      <c r="I25" s="112">
        <f>Rough!F110</f>
        <v>147</v>
      </c>
      <c r="J25" s="112">
        <f>Rough!G110</f>
        <v>156</v>
      </c>
      <c r="K25" s="112">
        <f>Rough!H110</f>
        <v>159</v>
      </c>
    </row>
    <row r="26" spans="2:12" x14ac:dyDescent="0.3">
      <c r="B26" s="111" t="s">
        <v>280</v>
      </c>
      <c r="C26" s="114"/>
      <c r="D26" s="114"/>
      <c r="E26" s="114"/>
      <c r="F26" s="114"/>
      <c r="G26" s="112">
        <f>Rough!D111</f>
        <v>11</v>
      </c>
      <c r="H26" s="112">
        <f>Rough!E111</f>
        <v>13</v>
      </c>
      <c r="I26" s="112">
        <f>Rough!F111</f>
        <v>12</v>
      </c>
      <c r="J26" s="112">
        <f>Rough!G111</f>
        <v>14</v>
      </c>
      <c r="K26" s="112">
        <f>Rough!H111</f>
        <v>10</v>
      </c>
    </row>
    <row r="27" spans="2:12" x14ac:dyDescent="0.3">
      <c r="B27" s="115" t="s">
        <v>281</v>
      </c>
      <c r="C27" s="116"/>
      <c r="D27" s="116"/>
      <c r="E27" s="116"/>
      <c r="F27" s="116"/>
      <c r="G27" s="112">
        <f>Rough!D112</f>
        <v>3427</v>
      </c>
      <c r="H27" s="112">
        <f>Rough!E112</f>
        <v>3566</v>
      </c>
      <c r="I27" s="112">
        <f>Rough!F112</f>
        <v>3779</v>
      </c>
      <c r="J27" s="112">
        <f>Rough!G112</f>
        <v>3951</v>
      </c>
      <c r="K27" s="112">
        <f>Rough!H112</f>
        <v>3825</v>
      </c>
    </row>
    <row r="28" spans="2:12" ht="15" thickBot="1" x14ac:dyDescent="0.35">
      <c r="B28" s="115" t="s">
        <v>282</v>
      </c>
      <c r="C28" s="116"/>
      <c r="D28" s="116"/>
      <c r="E28" s="116"/>
      <c r="F28" s="116"/>
      <c r="G28" s="112">
        <f>Rough!D113</f>
        <v>2925</v>
      </c>
      <c r="H28" s="112">
        <f>Rough!E113</f>
        <v>3336</v>
      </c>
      <c r="I28" s="112">
        <f>Rough!F113</f>
        <v>3458</v>
      </c>
      <c r="J28" s="112">
        <f>Rough!G113</f>
        <v>3666</v>
      </c>
      <c r="K28" s="112">
        <f>Rough!H113</f>
        <v>3721</v>
      </c>
    </row>
    <row r="29" spans="2:12" ht="15" thickBot="1" x14ac:dyDescent="0.35">
      <c r="B29" s="118" t="s">
        <v>283</v>
      </c>
      <c r="C29" s="121"/>
      <c r="D29" s="121"/>
      <c r="E29" s="121"/>
      <c r="F29" s="121"/>
      <c r="G29" s="119">
        <f>SUM(G20:G28)</f>
        <v>13858</v>
      </c>
      <c r="H29" s="119">
        <f>SUM(H20:H28)</f>
        <v>15152</v>
      </c>
      <c r="I29" s="119">
        <f>SUM(I20:I28)</f>
        <v>15786</v>
      </c>
      <c r="J29" s="119">
        <f>SUM(J20:J28)</f>
        <v>16968</v>
      </c>
      <c r="K29" s="119">
        <f>SUM(K20:K28)</f>
        <v>17122</v>
      </c>
    </row>
    <row r="30" spans="2:12" ht="15" thickBot="1" x14ac:dyDescent="0.35">
      <c r="B30" s="79" t="s">
        <v>295</v>
      </c>
      <c r="G30" s="120">
        <f>Rough!D115</f>
        <v>4250</v>
      </c>
      <c r="H30" s="120">
        <f>Rough!E115</f>
        <v>5468</v>
      </c>
      <c r="I30" s="120">
        <f>Rough!F115</f>
        <v>6271</v>
      </c>
      <c r="J30" s="120">
        <f>Rough!G115</f>
        <v>7285</v>
      </c>
      <c r="K30" s="120">
        <f>Rough!H115</f>
        <v>7962</v>
      </c>
      <c r="L30" s="79" t="s">
        <v>143</v>
      </c>
    </row>
    <row r="31" spans="2:12" ht="15" thickBot="1" x14ac:dyDescent="0.35">
      <c r="B31" s="118" t="s">
        <v>296</v>
      </c>
      <c r="C31" s="121"/>
      <c r="D31" s="121"/>
      <c r="E31" s="121"/>
      <c r="F31" s="121"/>
      <c r="G31" s="119">
        <f>G29-G30</f>
        <v>9608</v>
      </c>
      <c r="H31" s="119">
        <f t="shared" ref="H31:K31" si="2">H29-H30</f>
        <v>9684</v>
      </c>
      <c r="I31" s="119">
        <f t="shared" si="2"/>
        <v>9515</v>
      </c>
      <c r="J31" s="119">
        <f t="shared" si="2"/>
        <v>9683</v>
      </c>
      <c r="K31" s="119">
        <f t="shared" si="2"/>
        <v>9160</v>
      </c>
    </row>
    <row r="33" spans="2:12" x14ac:dyDescent="0.3">
      <c r="B33" s="122" t="s">
        <v>297</v>
      </c>
      <c r="C33" s="122"/>
      <c r="D33" s="122"/>
      <c r="E33" s="122"/>
      <c r="F33" s="122"/>
      <c r="G33" s="122">
        <f>G31+G17</f>
        <v>15812</v>
      </c>
      <c r="H33" s="122">
        <f>H31+H17</f>
        <v>15576</v>
      </c>
      <c r="I33" s="122">
        <f>I31+I17</f>
        <v>15519</v>
      </c>
      <c r="J33" s="122">
        <f>J31+J17</f>
        <v>16927</v>
      </c>
      <c r="K33" s="122">
        <f>K31+K17</f>
        <v>18195</v>
      </c>
    </row>
    <row r="34" spans="2:12" x14ac:dyDescent="0.3">
      <c r="B34" s="122" t="s">
        <v>186</v>
      </c>
      <c r="C34" s="122"/>
      <c r="D34" s="122"/>
      <c r="E34" s="122"/>
      <c r="F34" s="122"/>
      <c r="G34" s="122">
        <f>'Historical FS'!H19-'Historical FS'!H25</f>
        <v>1770.9999999999995</v>
      </c>
      <c r="H34" s="122">
        <f>'Historical FS'!I19-'Historical FS'!I25</f>
        <v>2031.3400000000011</v>
      </c>
      <c r="I34" s="122">
        <f>'Historical FS'!J19-'Historical FS'!J25</f>
        <v>3184.7699999999977</v>
      </c>
      <c r="J34" s="122">
        <f>'Historical FS'!K19-'Historical FS'!K25</f>
        <v>3500.8300000000008</v>
      </c>
      <c r="K34" s="122">
        <f>'Historical FS'!L19-'Historical FS'!L25</f>
        <v>3854.8599999999979</v>
      </c>
      <c r="L34"/>
    </row>
    <row r="35" spans="2:12" x14ac:dyDescent="0.3">
      <c r="B35" s="122"/>
      <c r="C35" s="122"/>
      <c r="D35" s="122"/>
      <c r="E35" s="122"/>
      <c r="F35" s="122"/>
      <c r="G35" s="122"/>
      <c r="H35" s="122"/>
      <c r="I35" s="122"/>
      <c r="J35" s="122"/>
      <c r="K35" s="122"/>
    </row>
    <row r="36" spans="2:12" x14ac:dyDescent="0.3">
      <c r="B36" s="122" t="s">
        <v>298</v>
      </c>
      <c r="C36" s="122"/>
      <c r="D36" s="122"/>
      <c r="E36" s="122"/>
      <c r="F36" s="122"/>
      <c r="G36" s="123">
        <f>G34/G33</f>
        <v>0.11200354161396404</v>
      </c>
      <c r="H36" s="123">
        <f t="shared" ref="H36:J36" si="3">H34/H33</f>
        <v>0.1304147406266051</v>
      </c>
      <c r="I36" s="123">
        <f t="shared" si="3"/>
        <v>0.20521747535279319</v>
      </c>
      <c r="J36" s="123">
        <f t="shared" si="3"/>
        <v>0.20681928280262307</v>
      </c>
      <c r="K36" s="123">
        <f>K34/K33</f>
        <v>0.21186369881835657</v>
      </c>
    </row>
    <row r="37" spans="2:12" x14ac:dyDescent="0.3">
      <c r="B37" s="81"/>
      <c r="C37" s="81"/>
      <c r="D37" s="81"/>
      <c r="E37" s="81"/>
      <c r="F37" s="81"/>
      <c r="G37" s="81"/>
      <c r="H37" s="81"/>
      <c r="I37" s="81"/>
      <c r="J37" s="81"/>
      <c r="K37" s="81"/>
    </row>
    <row r="38" spans="2:12" x14ac:dyDescent="0.3">
      <c r="B38" s="129" t="s">
        <v>399</v>
      </c>
      <c r="C38" s="129"/>
      <c r="D38" s="129"/>
      <c r="E38" s="129"/>
      <c r="F38" s="129"/>
      <c r="G38" s="189" t="e">
        <f>#REF!</f>
        <v>#REF!</v>
      </c>
      <c r="H38" s="189" t="e">
        <f>#REF!</f>
        <v>#REF!</v>
      </c>
      <c r="I38" s="189" t="e">
        <f>#REF!</f>
        <v>#REF!</v>
      </c>
      <c r="J38" s="189" t="e">
        <f>#REF!</f>
        <v>#REF!</v>
      </c>
      <c r="K38" s="189" t="e">
        <f>#REF!</f>
        <v>#REF!</v>
      </c>
    </row>
    <row r="40" spans="2:12" x14ac:dyDescent="0.3">
      <c r="B40" s="112" t="s">
        <v>299</v>
      </c>
      <c r="C40" s="112"/>
      <c r="D40" s="112"/>
      <c r="E40" s="112"/>
      <c r="F40" s="112"/>
      <c r="G40" s="112">
        <v>504</v>
      </c>
      <c r="H40" s="112">
        <v>986</v>
      </c>
      <c r="I40" s="112">
        <v>791</v>
      </c>
      <c r="J40" s="112">
        <v>681</v>
      </c>
      <c r="K40" s="112">
        <v>1136</v>
      </c>
    </row>
    <row r="41" spans="2:12" x14ac:dyDescent="0.3">
      <c r="B41" s="112" t="s">
        <v>300</v>
      </c>
      <c r="C41" s="112"/>
      <c r="D41" s="112"/>
      <c r="E41" s="112"/>
      <c r="F41" s="112"/>
      <c r="H41" s="112">
        <f>H17-G17</f>
        <v>-312</v>
      </c>
      <c r="I41" s="112">
        <f>I17-H17</f>
        <v>112</v>
      </c>
      <c r="J41" s="112">
        <f>J17-I17</f>
        <v>1240</v>
      </c>
      <c r="K41" s="112">
        <f>K17-J17</f>
        <v>1791</v>
      </c>
    </row>
    <row r="42" spans="2:12" x14ac:dyDescent="0.3">
      <c r="B42" s="112"/>
      <c r="C42" s="112"/>
      <c r="D42" s="112"/>
      <c r="E42" s="112"/>
      <c r="F42" s="112"/>
      <c r="G42" s="112"/>
      <c r="H42" s="112"/>
      <c r="I42" s="112"/>
      <c r="J42" s="112"/>
      <c r="K42" s="112"/>
    </row>
    <row r="43" spans="2:12" x14ac:dyDescent="0.3">
      <c r="B43" s="112" t="s">
        <v>186</v>
      </c>
      <c r="C43" s="112"/>
      <c r="D43" s="112"/>
      <c r="E43" s="112"/>
      <c r="F43" s="112"/>
      <c r="G43" s="112">
        <f>G34</f>
        <v>1770.9999999999995</v>
      </c>
      <c r="H43" s="112">
        <f t="shared" ref="H43:J43" si="4">H34</f>
        <v>2031.3400000000011</v>
      </c>
      <c r="I43" s="112">
        <f t="shared" si="4"/>
        <v>3184.7699999999977</v>
      </c>
      <c r="J43" s="112">
        <f t="shared" si="4"/>
        <v>3500.8300000000008</v>
      </c>
      <c r="K43" s="112">
        <f>K34</f>
        <v>3854.8599999999979</v>
      </c>
    </row>
    <row r="44" spans="2:12" x14ac:dyDescent="0.3">
      <c r="B44" s="112" t="s">
        <v>301</v>
      </c>
      <c r="C44" s="112"/>
      <c r="D44" s="112"/>
      <c r="E44" s="112"/>
      <c r="F44" s="112"/>
      <c r="G44" s="124">
        <v>0.25</v>
      </c>
      <c r="H44" s="124">
        <v>0.25</v>
      </c>
      <c r="I44" s="124">
        <v>0.25</v>
      </c>
      <c r="J44" s="124">
        <v>0.25</v>
      </c>
      <c r="K44" s="124">
        <v>0.25</v>
      </c>
    </row>
    <row r="45" spans="2:12" x14ac:dyDescent="0.3">
      <c r="B45" s="112" t="s">
        <v>302</v>
      </c>
      <c r="C45" s="112"/>
      <c r="D45" s="112"/>
      <c r="E45" s="112"/>
      <c r="F45" s="112"/>
      <c r="G45" s="112">
        <f>G43*(1-G44)</f>
        <v>1328.2499999999995</v>
      </c>
      <c r="H45" s="112">
        <f t="shared" ref="H45:K45" si="5">H43*(1-H44)</f>
        <v>1523.5050000000008</v>
      </c>
      <c r="I45" s="112">
        <f t="shared" si="5"/>
        <v>2388.5774999999985</v>
      </c>
      <c r="J45" s="112">
        <f t="shared" si="5"/>
        <v>2625.6225000000004</v>
      </c>
      <c r="K45" s="112">
        <f t="shared" si="5"/>
        <v>2891.1449999999986</v>
      </c>
    </row>
    <row r="46" spans="2:12" x14ac:dyDescent="0.3">
      <c r="B46" s="112"/>
      <c r="C46" s="112"/>
      <c r="D46" s="112"/>
      <c r="E46" s="112"/>
      <c r="F46" s="112"/>
      <c r="G46" s="112"/>
      <c r="H46" s="112"/>
      <c r="I46" s="112"/>
      <c r="J46" s="112"/>
      <c r="K46" s="112"/>
    </row>
    <row r="47" spans="2:12" x14ac:dyDescent="0.3">
      <c r="B47" s="112" t="s">
        <v>303</v>
      </c>
      <c r="C47" s="112"/>
      <c r="D47" s="112"/>
      <c r="E47" s="112"/>
      <c r="F47" s="112"/>
      <c r="G47" s="112"/>
      <c r="H47" s="112">
        <f>SUM(H40:H41)</f>
        <v>674</v>
      </c>
      <c r="I47" s="112">
        <f t="shared" ref="I47:K47" si="6">SUM(I40:I41)</f>
        <v>903</v>
      </c>
      <c r="J47" s="112">
        <f t="shared" si="6"/>
        <v>1921</v>
      </c>
      <c r="K47" s="112">
        <f t="shared" si="6"/>
        <v>2927</v>
      </c>
    </row>
    <row r="48" spans="2:12" x14ac:dyDescent="0.3">
      <c r="B48" s="112"/>
      <c r="C48" s="112"/>
      <c r="D48" s="112"/>
      <c r="E48" s="112"/>
      <c r="F48" s="112"/>
      <c r="G48" s="112"/>
      <c r="H48" s="112"/>
      <c r="I48" s="112"/>
      <c r="J48" s="112"/>
      <c r="K48" s="112"/>
    </row>
    <row r="49" spans="2:11" x14ac:dyDescent="0.3">
      <c r="B49" s="122" t="s">
        <v>304</v>
      </c>
      <c r="C49" s="122"/>
      <c r="D49" s="122"/>
      <c r="E49" s="122"/>
      <c r="F49" s="122"/>
      <c r="G49" s="122"/>
      <c r="H49" s="123">
        <f>H47/H45</f>
        <v>0.44240091105706886</v>
      </c>
      <c r="I49" s="123">
        <f t="shared" ref="I49:K49" si="7">I47/I45</f>
        <v>0.37804927828383234</v>
      </c>
      <c r="J49" s="123">
        <f t="shared" si="7"/>
        <v>0.73163602155298402</v>
      </c>
      <c r="K49" s="123">
        <f t="shared" si="7"/>
        <v>1.0124016609336444</v>
      </c>
    </row>
    <row r="50" spans="2:11" x14ac:dyDescent="0.3">
      <c r="H50" s="125"/>
      <c r="I50" s="125"/>
      <c r="J50" s="125"/>
      <c r="K50" s="125"/>
    </row>
    <row r="51" spans="2:11" x14ac:dyDescent="0.3">
      <c r="J51" s="126" t="s">
        <v>305</v>
      </c>
      <c r="K51" s="265">
        <f>AVERAGE(H49:K49)</f>
        <v>0.64112196795688237</v>
      </c>
    </row>
    <row r="52" spans="2:11" x14ac:dyDescent="0.3">
      <c r="J52" s="126" t="s">
        <v>306</v>
      </c>
      <c r="K52" s="265">
        <f>MEDIAN(H49:K49)</f>
        <v>0.58701846630502641</v>
      </c>
    </row>
    <row r="54" spans="2:11" x14ac:dyDescent="0.3">
      <c r="B54" s="129" t="s">
        <v>400</v>
      </c>
      <c r="C54" s="129"/>
      <c r="D54" s="129"/>
      <c r="E54" s="129"/>
      <c r="F54" s="129"/>
      <c r="G54" s="189" t="e">
        <f>#REF!</f>
        <v>#REF!</v>
      </c>
      <c r="H54" s="189" t="e">
        <f>#REF!</f>
        <v>#REF!</v>
      </c>
      <c r="I54" s="189" t="e">
        <f>#REF!</f>
        <v>#REF!</v>
      </c>
      <c r="J54" s="189" t="e">
        <f>#REF!</f>
        <v>#REF!</v>
      </c>
      <c r="K54" s="189" t="e">
        <f>#REF!</f>
        <v>#REF!</v>
      </c>
    </row>
    <row r="56" spans="2:11" x14ac:dyDescent="0.3">
      <c r="B56" s="112" t="s">
        <v>304</v>
      </c>
      <c r="C56" s="112"/>
      <c r="D56" s="112"/>
      <c r="E56" s="112"/>
      <c r="F56" s="112"/>
      <c r="G56" s="112"/>
      <c r="H56" s="127">
        <f>H49</f>
        <v>0.44240091105706886</v>
      </c>
      <c r="I56" s="127">
        <f t="shared" ref="I56:K56" si="8">I49</f>
        <v>0.37804927828383234</v>
      </c>
      <c r="J56" s="127">
        <f t="shared" si="8"/>
        <v>0.73163602155298402</v>
      </c>
      <c r="K56" s="127">
        <f t="shared" si="8"/>
        <v>1.0124016609336444</v>
      </c>
    </row>
    <row r="57" spans="2:11" x14ac:dyDescent="0.3">
      <c r="B57" s="112" t="s">
        <v>298</v>
      </c>
      <c r="C57" s="112"/>
      <c r="D57" s="112"/>
      <c r="E57" s="112"/>
      <c r="F57" s="112"/>
      <c r="G57" s="112"/>
      <c r="H57" s="127">
        <f>H36</f>
        <v>0.1304147406266051</v>
      </c>
      <c r="I57" s="127">
        <f>I36</f>
        <v>0.20521747535279319</v>
      </c>
      <c r="J57" s="127">
        <f t="shared" ref="J57:K57" si="9">J36</f>
        <v>0.20681928280262307</v>
      </c>
      <c r="K57" s="127">
        <f t="shared" si="9"/>
        <v>0.21186369881835657</v>
      </c>
    </row>
    <row r="58" spans="2:11" ht="15" thickBot="1" x14ac:dyDescent="0.35"/>
    <row r="59" spans="2:11" ht="15" thickBot="1" x14ac:dyDescent="0.35">
      <c r="B59" s="118" t="s">
        <v>307</v>
      </c>
      <c r="C59" s="118"/>
      <c r="D59" s="118"/>
      <c r="E59" s="118"/>
      <c r="F59" s="118"/>
      <c r="G59" s="118"/>
      <c r="H59" s="128">
        <f>H56*H57</f>
        <v>5.7695600068481429E-2</v>
      </c>
      <c r="I59" s="128">
        <f>I56*I57</f>
        <v>7.7582318448353615E-2</v>
      </c>
      <c r="J59" s="128">
        <f t="shared" ref="J59:K59" si="10">J56*J57</f>
        <v>0.15131643725015262</v>
      </c>
      <c r="K59" s="128">
        <f t="shared" si="10"/>
        <v>0.21449116057524958</v>
      </c>
    </row>
    <row r="61" spans="2:11" x14ac:dyDescent="0.3">
      <c r="J61" s="126" t="s">
        <v>305</v>
      </c>
      <c r="K61" s="265">
        <f>AVERAGE(H59:K59)</f>
        <v>0.1252713790855593</v>
      </c>
    </row>
    <row r="62" spans="2:11" x14ac:dyDescent="0.3">
      <c r="J62" s="126" t="s">
        <v>306</v>
      </c>
      <c r="K62" s="265">
        <f>MEDIAN(H59:K59)</f>
        <v>0.11444937784925312</v>
      </c>
    </row>
    <row r="64" spans="2:11" ht="7.8" customHeight="1" x14ac:dyDescent="0.3">
      <c r="B64" s="272"/>
      <c r="C64" s="272"/>
      <c r="D64" s="272"/>
      <c r="E64" s="272"/>
      <c r="F64" s="272"/>
      <c r="G64" s="272"/>
      <c r="H64" s="272"/>
      <c r="I64" s="272"/>
      <c r="J64" s="272"/>
      <c r="K64" s="272"/>
    </row>
  </sheetData>
  <mergeCells count="1">
    <mergeCell ref="B64:K64"/>
  </mergeCells>
  <pageMargins left="0.7" right="0.7" top="0.75" bottom="0.75" header="0.3" footer="0.3"/>
  <pageSetup scale="54"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DFA80-D4E1-41DB-9724-1BBDA480D2F4}">
  <sheetPr>
    <pageSetUpPr fitToPage="1"/>
  </sheetPr>
  <dimension ref="B2:L44"/>
  <sheetViews>
    <sheetView showGridLines="0" topLeftCell="A19" zoomScaleNormal="100" workbookViewId="0">
      <selection activeCell="B2" sqref="B2:J44"/>
    </sheetView>
  </sheetViews>
  <sheetFormatPr defaultRowHeight="14.4" x14ac:dyDescent="0.3"/>
  <cols>
    <col min="1" max="1" width="2.109375" style="79" customWidth="1"/>
    <col min="2" max="2" width="38.33203125" style="79" bestFit="1" customWidth="1"/>
    <col min="3" max="3" width="10" style="79" bestFit="1" customWidth="1"/>
    <col min="4" max="4" width="9.5546875" style="79" bestFit="1" customWidth="1"/>
    <col min="5" max="5" width="10.6640625" style="79" bestFit="1" customWidth="1"/>
    <col min="6" max="6" width="8.88671875" style="79"/>
    <col min="7" max="7" width="11.5546875" style="79" bestFit="1" customWidth="1"/>
    <col min="8" max="8" width="16" style="79" customWidth="1"/>
    <col min="9" max="9" width="11.5546875" style="79" bestFit="1" customWidth="1"/>
    <col min="10" max="10" width="20.21875" style="79" bestFit="1" customWidth="1"/>
    <col min="11" max="11" width="19.21875" style="79" bestFit="1" customWidth="1"/>
    <col min="12" max="16384" width="8.88671875" style="79"/>
  </cols>
  <sheetData>
    <row r="2" spans="2:12" x14ac:dyDescent="0.3">
      <c r="B2" s="273" t="s">
        <v>345</v>
      </c>
      <c r="C2" s="273"/>
      <c r="D2" s="273"/>
      <c r="E2" s="273"/>
      <c r="F2" s="273"/>
      <c r="G2" s="273"/>
      <c r="H2" s="273"/>
      <c r="I2" s="273"/>
      <c r="J2" s="273"/>
    </row>
    <row r="3" spans="2:12" ht="9.6" customHeight="1" x14ac:dyDescent="0.3"/>
    <row r="4" spans="2:12" ht="11.4" customHeight="1" x14ac:dyDescent="0.3">
      <c r="B4" s="107" t="s">
        <v>220</v>
      </c>
    </row>
    <row r="5" spans="2:12" ht="6" customHeight="1" x14ac:dyDescent="0.3"/>
    <row r="6" spans="2:12" ht="15" thickBot="1" x14ac:dyDescent="0.35">
      <c r="B6" s="81" t="s">
        <v>221</v>
      </c>
      <c r="C6" s="81"/>
      <c r="D6" s="81"/>
      <c r="E6" s="81"/>
      <c r="F6" s="81"/>
      <c r="G6" s="81"/>
      <c r="H6" s="81"/>
      <c r="I6" s="81"/>
      <c r="J6" s="81"/>
    </row>
    <row r="7" spans="2:12" x14ac:dyDescent="0.3">
      <c r="B7" s="117"/>
      <c r="C7" s="150"/>
      <c r="D7" s="150"/>
      <c r="E7" s="150"/>
      <c r="F7" s="150"/>
      <c r="G7" s="150" t="s">
        <v>222</v>
      </c>
      <c r="H7" s="150" t="s">
        <v>222</v>
      </c>
      <c r="I7" s="150" t="s">
        <v>223</v>
      </c>
      <c r="J7" s="150" t="s">
        <v>224</v>
      </c>
    </row>
    <row r="8" spans="2:12" ht="16.8" thickBot="1" x14ac:dyDescent="0.35">
      <c r="B8" s="92" t="s">
        <v>225</v>
      </c>
      <c r="C8" s="151" t="s">
        <v>226</v>
      </c>
      <c r="D8" s="151" t="s">
        <v>227</v>
      </c>
      <c r="E8" s="151" t="s">
        <v>228</v>
      </c>
      <c r="F8" s="151" t="s">
        <v>352</v>
      </c>
      <c r="G8" s="151" t="s">
        <v>229</v>
      </c>
      <c r="H8" s="151" t="s">
        <v>230</v>
      </c>
      <c r="I8" s="151" t="s">
        <v>353</v>
      </c>
      <c r="J8" s="151" t="s">
        <v>354</v>
      </c>
    </row>
    <row r="10" spans="2:12" x14ac:dyDescent="0.3">
      <c r="B10" s="156" t="s">
        <v>347</v>
      </c>
      <c r="C10" s="156" t="s">
        <v>232</v>
      </c>
      <c r="D10" s="157">
        <f>'Beta - Comp.'!F5</f>
        <v>960.89</v>
      </c>
      <c r="E10" s="157">
        <f>'Beta - Comp.'!E5</f>
        <v>119186.41</v>
      </c>
      <c r="F10" s="158">
        <v>0.3</v>
      </c>
      <c r="G10" s="159">
        <f>D10/E10</f>
        <v>8.0620768760465214E-3</v>
      </c>
      <c r="H10" s="159">
        <f>D10/(D10+E10)</f>
        <v>7.9975996131415351E-3</v>
      </c>
      <c r="I10" s="160">
        <v>0.27</v>
      </c>
      <c r="J10" s="161">
        <f>I10/(1+(1-F10)*G10)</f>
        <v>0.26848481832821064</v>
      </c>
      <c r="K10" s="85"/>
      <c r="L10" s="85"/>
    </row>
    <row r="11" spans="2:12" x14ac:dyDescent="0.3">
      <c r="B11" s="152" t="s">
        <v>346</v>
      </c>
      <c r="C11" s="152" t="s">
        <v>232</v>
      </c>
      <c r="D11" s="153">
        <f>'Beta - Comp.'!F6</f>
        <v>1928.23</v>
      </c>
      <c r="E11" s="153">
        <f>'Beta - Comp.'!E6</f>
        <v>376815.55</v>
      </c>
      <c r="F11" s="154">
        <v>0.3</v>
      </c>
      <c r="G11" s="83">
        <f t="shared" ref="G11:G14" si="0">D11/E11</f>
        <v>5.1171720487649727E-3</v>
      </c>
      <c r="H11" s="83">
        <f t="shared" ref="H11:H14" si="1">D11/(D11+E11)</f>
        <v>5.0911199122530811E-3</v>
      </c>
      <c r="I11" s="160">
        <v>0.57999999999999996</v>
      </c>
      <c r="J11" s="84">
        <f>I11/(1+(1-F11)*G11)</f>
        <v>0.57792984349111809</v>
      </c>
      <c r="K11" s="85"/>
      <c r="L11" s="85"/>
    </row>
    <row r="12" spans="2:12" x14ac:dyDescent="0.3">
      <c r="B12" s="152" t="s">
        <v>348</v>
      </c>
      <c r="C12" s="152" t="s">
        <v>232</v>
      </c>
      <c r="D12" s="153">
        <f>'Beta - Comp.'!F7</f>
        <v>1323</v>
      </c>
      <c r="E12" s="153">
        <f>'Beta - Comp.'!E7</f>
        <v>107103.35</v>
      </c>
      <c r="F12" s="154">
        <v>0.3</v>
      </c>
      <c r="G12" s="83">
        <f t="shared" si="0"/>
        <v>1.2352554798706108E-2</v>
      </c>
      <c r="H12" s="83">
        <f t="shared" si="1"/>
        <v>1.2201831012479899E-2</v>
      </c>
      <c r="I12" s="160">
        <v>0.48</v>
      </c>
      <c r="J12" s="84">
        <v>0.89700000000000002</v>
      </c>
      <c r="K12" s="85"/>
      <c r="L12" s="85"/>
    </row>
    <row r="13" spans="2:12" x14ac:dyDescent="0.3">
      <c r="B13" s="152" t="s">
        <v>349</v>
      </c>
      <c r="C13" s="152" t="s">
        <v>232</v>
      </c>
      <c r="D13" s="153">
        <f>'Beta - Comp.'!F8</f>
        <v>191.9</v>
      </c>
      <c r="E13" s="153">
        <f>'Beta - Comp.'!E8</f>
        <v>94261.54</v>
      </c>
      <c r="F13" s="154">
        <v>0.3</v>
      </c>
      <c r="G13" s="83">
        <f t="shared" si="0"/>
        <v>2.0358250034955934E-3</v>
      </c>
      <c r="H13" s="83">
        <f t="shared" si="1"/>
        <v>2.0316888405546695E-3</v>
      </c>
      <c r="I13" s="160">
        <v>0.69</v>
      </c>
      <c r="J13" s="84">
        <f t="shared" ref="J13:J14" si="2">I13/(1+(1-F13)*G13)</f>
        <v>0.68901809581287821</v>
      </c>
      <c r="K13" s="85"/>
      <c r="L13" s="85"/>
    </row>
    <row r="14" spans="2:12" x14ac:dyDescent="0.3">
      <c r="B14" s="152" t="s">
        <v>351</v>
      </c>
      <c r="C14" s="152" t="s">
        <v>232</v>
      </c>
      <c r="D14" s="153">
        <f>'Beta - Comp.'!F9</f>
        <v>3784.61</v>
      </c>
      <c r="E14" s="153">
        <f>'Beta - Comp.'!E9</f>
        <v>73360.45</v>
      </c>
      <c r="F14" s="154">
        <v>0.3</v>
      </c>
      <c r="G14" s="83">
        <f t="shared" si="0"/>
        <v>5.1589241887147641E-2</v>
      </c>
      <c r="H14" s="83">
        <f t="shared" si="1"/>
        <v>4.9058358370581347E-2</v>
      </c>
      <c r="I14" s="160">
        <v>0.27</v>
      </c>
      <c r="J14" s="84">
        <f t="shared" si="2"/>
        <v>0.26058947073278582</v>
      </c>
      <c r="K14" s="85"/>
      <c r="L14" s="85"/>
    </row>
    <row r="15" spans="2:12" x14ac:dyDescent="0.3">
      <c r="F15" s="155"/>
      <c r="G15" s="85"/>
      <c r="H15" s="85"/>
      <c r="I15" s="155"/>
      <c r="J15" s="85"/>
      <c r="K15" s="85"/>
      <c r="L15" s="85"/>
    </row>
    <row r="16" spans="2:12" x14ac:dyDescent="0.3">
      <c r="D16" s="85"/>
      <c r="E16" s="85"/>
      <c r="F16" s="85"/>
      <c r="G16" s="85"/>
      <c r="H16" s="85"/>
      <c r="I16" s="85"/>
      <c r="J16" s="85"/>
      <c r="K16" s="85"/>
      <c r="L16" s="85"/>
    </row>
    <row r="17" spans="2:11" x14ac:dyDescent="0.3">
      <c r="E17" s="86" t="s">
        <v>237</v>
      </c>
      <c r="F17" s="87">
        <f>AVERAGE(F10:F14)</f>
        <v>0.3</v>
      </c>
      <c r="G17" s="87">
        <f>AVERAGE(G10:G14)</f>
        <v>1.5831374122832167E-2</v>
      </c>
      <c r="H17" s="87">
        <f>AVERAGE(H10:H14)</f>
        <v>1.5276119549802106E-2</v>
      </c>
      <c r="I17" s="88">
        <f>AVERAGE(I10:I14)</f>
        <v>0.45800000000000002</v>
      </c>
      <c r="J17" s="88">
        <f>AVERAGE(J10:J14)</f>
        <v>0.53860444567299859</v>
      </c>
    </row>
    <row r="18" spans="2:11" x14ac:dyDescent="0.3">
      <c r="E18" s="89" t="s">
        <v>146</v>
      </c>
      <c r="F18" s="90">
        <f>MEDIAN(F10:F14)</f>
        <v>0.3</v>
      </c>
      <c r="G18" s="90">
        <f t="shared" ref="G18:J18" si="3">MEDIAN(G10:G14)</f>
        <v>8.0620768760465214E-3</v>
      </c>
      <c r="H18" s="90">
        <f t="shared" si="3"/>
        <v>7.9975996131415351E-3</v>
      </c>
      <c r="I18" s="91">
        <f t="shared" si="3"/>
        <v>0.48</v>
      </c>
      <c r="J18" s="91">
        <f t="shared" si="3"/>
        <v>0.57792984349111809</v>
      </c>
      <c r="K18" s="79" t="s">
        <v>143</v>
      </c>
    </row>
    <row r="21" spans="2:11" ht="15" thickBot="1" x14ac:dyDescent="0.35">
      <c r="B21" s="92" t="s">
        <v>238</v>
      </c>
      <c r="C21" s="82"/>
      <c r="D21" s="82"/>
      <c r="E21" s="82"/>
      <c r="G21" s="92" t="s">
        <v>239</v>
      </c>
      <c r="H21" s="82"/>
      <c r="I21" s="82"/>
      <c r="J21" s="82"/>
    </row>
    <row r="23" spans="2:11" x14ac:dyDescent="0.3">
      <c r="B23" s="79" t="s">
        <v>240</v>
      </c>
      <c r="D23" s="93">
        <v>0.1145</v>
      </c>
      <c r="G23" s="79" t="s">
        <v>241</v>
      </c>
      <c r="J23" s="94">
        <v>7.2300000000000003E-2</v>
      </c>
    </row>
    <row r="24" spans="2:11" x14ac:dyDescent="0.3">
      <c r="B24" s="95" t="s">
        <v>242</v>
      </c>
      <c r="C24" s="95"/>
      <c r="D24" s="96">
        <f>F18</f>
        <v>0.3</v>
      </c>
      <c r="E24" s="95"/>
      <c r="G24" s="79" t="s">
        <v>243</v>
      </c>
      <c r="J24" s="97">
        <f>'Return on Market(Rm)'!F7-WACC!J23</f>
        <v>8.3791666666666653E-2</v>
      </c>
    </row>
    <row r="25" spans="2:11" ht="16.2" x14ac:dyDescent="0.3">
      <c r="B25" s="81" t="s">
        <v>244</v>
      </c>
      <c r="D25" s="170">
        <f>D23*(1-D24)</f>
        <v>8.0149999999999999E-2</v>
      </c>
      <c r="G25" s="79" t="s">
        <v>245</v>
      </c>
      <c r="J25" s="98">
        <f>J34</f>
        <v>0.58420568171246057</v>
      </c>
    </row>
    <row r="26" spans="2:11" x14ac:dyDescent="0.3">
      <c r="G26" s="163" t="s">
        <v>239</v>
      </c>
      <c r="H26" s="99"/>
      <c r="I26" s="99"/>
      <c r="J26" s="169">
        <f>J23+(J24*J25)</f>
        <v>0.12125156774682325</v>
      </c>
    </row>
    <row r="29" spans="2:11" ht="15" thickBot="1" x14ac:dyDescent="0.35">
      <c r="B29" s="92" t="s">
        <v>246</v>
      </c>
      <c r="C29" s="82"/>
      <c r="D29" s="82"/>
      <c r="E29" s="82"/>
      <c r="G29" s="92" t="s">
        <v>247</v>
      </c>
      <c r="H29" s="82"/>
      <c r="I29" s="82"/>
      <c r="J29" s="82"/>
    </row>
    <row r="31" spans="2:11" x14ac:dyDescent="0.3">
      <c r="D31" s="162" t="s">
        <v>248</v>
      </c>
      <c r="E31" s="162" t="s">
        <v>249</v>
      </c>
      <c r="G31" s="79" t="s">
        <v>250</v>
      </c>
      <c r="J31" s="101">
        <f>J18</f>
        <v>0.57792984349111809</v>
      </c>
    </row>
    <row r="32" spans="2:11" x14ac:dyDescent="0.3">
      <c r="B32" s="79" t="s">
        <v>227</v>
      </c>
      <c r="C32" s="102">
        <f>D10</f>
        <v>960.89</v>
      </c>
      <c r="D32" s="103">
        <f>C32/$C$34</f>
        <v>7.9975996131415351E-3</v>
      </c>
      <c r="E32" s="97">
        <f>H17</f>
        <v>1.5276119549802106E-2</v>
      </c>
      <c r="G32" s="79" t="s">
        <v>251</v>
      </c>
      <c r="J32" s="104">
        <f>E36</f>
        <v>1.5513099512543701E-2</v>
      </c>
    </row>
    <row r="33" spans="2:11" x14ac:dyDescent="0.3">
      <c r="B33" s="79" t="s">
        <v>252</v>
      </c>
      <c r="C33" s="102">
        <f>E10</f>
        <v>119186.41</v>
      </c>
      <c r="D33" s="105">
        <f>C33/$C$34</f>
        <v>0.9920024003868585</v>
      </c>
      <c r="E33" s="105">
        <f>E34-E32</f>
        <v>0.98472388045019787</v>
      </c>
      <c r="G33" s="79" t="s">
        <v>253</v>
      </c>
      <c r="J33" s="106">
        <f>D24</f>
        <v>0.3</v>
      </c>
    </row>
    <row r="34" spans="2:11" x14ac:dyDescent="0.3">
      <c r="B34" s="163" t="s">
        <v>254</v>
      </c>
      <c r="C34" s="166">
        <f>SUM(C32:C33)</f>
        <v>120147.3</v>
      </c>
      <c r="D34" s="167">
        <f>C34/$C$34</f>
        <v>1</v>
      </c>
      <c r="E34" s="168">
        <v>1</v>
      </c>
      <c r="G34" s="163" t="s">
        <v>247</v>
      </c>
      <c r="H34" s="99"/>
      <c r="I34" s="99"/>
      <c r="J34" s="164">
        <f>J31*(1+(1-J33)*J32)</f>
        <v>0.58420568171246057</v>
      </c>
    </row>
    <row r="36" spans="2:11" ht="15" thickBot="1" x14ac:dyDescent="0.35">
      <c r="B36" s="81" t="s">
        <v>255</v>
      </c>
      <c r="D36" s="165">
        <f>D32/D33</f>
        <v>8.0620768760465214E-3</v>
      </c>
      <c r="E36" s="165">
        <f>E32/E33</f>
        <v>1.5513099512543701E-2</v>
      </c>
      <c r="G36" s="92" t="s">
        <v>256</v>
      </c>
      <c r="H36" s="82"/>
      <c r="I36" s="82"/>
      <c r="J36" s="82"/>
    </row>
    <row r="38" spans="2:11" x14ac:dyDescent="0.3">
      <c r="B38" s="107" t="s">
        <v>257</v>
      </c>
      <c r="I38" s="108" t="s">
        <v>258</v>
      </c>
      <c r="J38" s="108" t="s">
        <v>259</v>
      </c>
    </row>
    <row r="39" spans="2:11" x14ac:dyDescent="0.3">
      <c r="B39" s="109" t="s">
        <v>260</v>
      </c>
      <c r="G39" s="79" t="s">
        <v>261</v>
      </c>
      <c r="I39" s="97">
        <f>D25</f>
        <v>8.0149999999999999E-2</v>
      </c>
      <c r="J39" s="97">
        <f>E33</f>
        <v>0.98472388045019787</v>
      </c>
    </row>
    <row r="40" spans="2:11" x14ac:dyDescent="0.3">
      <c r="B40" s="109" t="s">
        <v>262</v>
      </c>
      <c r="G40" s="79" t="s">
        <v>229</v>
      </c>
      <c r="I40" s="97">
        <f>J26</f>
        <v>0.12125156774682325</v>
      </c>
      <c r="J40" s="104">
        <f>E32</f>
        <v>1.5276119549802106E-2</v>
      </c>
    </row>
    <row r="41" spans="2:11" x14ac:dyDescent="0.3">
      <c r="B41" s="109" t="s">
        <v>263</v>
      </c>
      <c r="G41" s="163" t="s">
        <v>256</v>
      </c>
      <c r="H41" s="99"/>
      <c r="I41" s="99"/>
      <c r="J41" s="110">
        <f>SUMPRODUCT(I39:I40,J39:J40)</f>
        <v>8.0777872462584763E-2</v>
      </c>
      <c r="K41" s="80"/>
    </row>
    <row r="42" spans="2:11" x14ac:dyDescent="0.3">
      <c r="B42" s="109" t="s">
        <v>264</v>
      </c>
      <c r="G42" s="79" t="s">
        <v>143</v>
      </c>
      <c r="J42" s="97"/>
      <c r="K42" s="80"/>
    </row>
    <row r="44" spans="2:11" ht="7.8" customHeight="1" x14ac:dyDescent="0.3">
      <c r="B44" s="146"/>
      <c r="C44" s="146"/>
      <c r="D44" s="146"/>
      <c r="E44" s="146"/>
      <c r="F44" s="146"/>
      <c r="G44" s="146"/>
      <c r="H44" s="146"/>
      <c r="I44" s="146"/>
      <c r="J44" s="146"/>
    </row>
  </sheetData>
  <mergeCells count="1">
    <mergeCell ref="B2:J2"/>
  </mergeCells>
  <pageMargins left="0.7" right="0.7" top="0.75" bottom="0.75" header="0.3" footer="0.3"/>
  <pageSetup scale="57"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0F8A-B3B7-4035-97D5-30B47232886C}">
  <sheetPr>
    <pageSetUpPr fitToPage="1"/>
  </sheetPr>
  <dimension ref="B2:N42"/>
  <sheetViews>
    <sheetView showGridLines="0" topLeftCell="A17" workbookViewId="0">
      <selection activeCell="L26" sqref="L26"/>
    </sheetView>
  </sheetViews>
  <sheetFormatPr defaultRowHeight="14.4" x14ac:dyDescent="0.3"/>
  <cols>
    <col min="1" max="1" width="3.21875" customWidth="1"/>
    <col min="2" max="2" width="33.109375" bestFit="1" customWidth="1"/>
    <col min="3" max="3" width="12.5546875" bestFit="1" customWidth="1"/>
    <col min="4" max="4" width="10.77734375" customWidth="1"/>
    <col min="5" max="5" width="13.109375" bestFit="1" customWidth="1"/>
    <col min="6" max="6" width="12" bestFit="1" customWidth="1"/>
    <col min="7" max="7" width="13.109375" bestFit="1" customWidth="1"/>
    <col min="8" max="8" width="12" bestFit="1" customWidth="1"/>
    <col min="9" max="9" width="12.6640625" customWidth="1"/>
    <col min="10" max="11" width="12" bestFit="1" customWidth="1"/>
  </cols>
  <sheetData>
    <row r="2" spans="2:11" x14ac:dyDescent="0.3">
      <c r="B2" s="193" t="s">
        <v>406</v>
      </c>
      <c r="C2" s="193"/>
      <c r="D2" s="193"/>
      <c r="E2" s="193"/>
      <c r="F2" s="194">
        <v>44986</v>
      </c>
      <c r="G2" s="195">
        <v>45352</v>
      </c>
      <c r="H2" s="195">
        <v>45717</v>
      </c>
      <c r="I2" s="195">
        <v>46082</v>
      </c>
      <c r="J2" s="195">
        <v>46447</v>
      </c>
      <c r="K2" s="195">
        <v>46813</v>
      </c>
    </row>
    <row r="4" spans="2:11" x14ac:dyDescent="0.3">
      <c r="B4" t="s">
        <v>186</v>
      </c>
      <c r="F4" s="259">
        <f>'Data Sheet'!K34</f>
        <v>4114.3099999999995</v>
      </c>
      <c r="G4" s="42">
        <f>F4*(1+$D$14)</f>
        <v>4584.9870639999999</v>
      </c>
      <c r="H4" s="42">
        <f>G4*(1+$D$14)</f>
        <v>5109.5095841215998</v>
      </c>
      <c r="I4" s="42">
        <f>H4*(1+$D$14)</f>
        <v>5694.0374805451111</v>
      </c>
      <c r="J4" s="42">
        <f>I4*(1+$D$14)</f>
        <v>6345.4353683194722</v>
      </c>
      <c r="K4" s="42">
        <f>J4*(1+$D$14)</f>
        <v>7071.3531744552201</v>
      </c>
    </row>
    <row r="5" spans="2:11" x14ac:dyDescent="0.3">
      <c r="B5" t="s">
        <v>253</v>
      </c>
      <c r="F5" s="207">
        <v>0.25</v>
      </c>
      <c r="G5" s="208">
        <f>F5</f>
        <v>0.25</v>
      </c>
      <c r="H5" s="208">
        <f t="shared" ref="H5:K5" si="0">G5</f>
        <v>0.25</v>
      </c>
      <c r="I5" s="208">
        <f t="shared" si="0"/>
        <v>0.25</v>
      </c>
      <c r="J5" s="208">
        <f t="shared" si="0"/>
        <v>0.25</v>
      </c>
      <c r="K5" s="208">
        <f t="shared" si="0"/>
        <v>0.25</v>
      </c>
    </row>
    <row r="6" spans="2:11" x14ac:dyDescent="0.3">
      <c r="B6" t="s">
        <v>302</v>
      </c>
      <c r="F6" s="259">
        <f>F4*(1-F5)</f>
        <v>3085.7324999999996</v>
      </c>
      <c r="G6" s="42">
        <f t="shared" ref="G6:K6" si="1">G4*(1-G5)</f>
        <v>3438.7402979999997</v>
      </c>
      <c r="H6" s="42">
        <f t="shared" si="1"/>
        <v>3832.1321880912001</v>
      </c>
      <c r="I6" s="42">
        <f t="shared" si="1"/>
        <v>4270.5281104088335</v>
      </c>
      <c r="J6" s="42">
        <f t="shared" si="1"/>
        <v>4759.0765262396044</v>
      </c>
      <c r="K6" s="42">
        <f t="shared" si="1"/>
        <v>5303.5148808414151</v>
      </c>
    </row>
    <row r="7" spans="2:11" x14ac:dyDescent="0.3">
      <c r="B7" t="s">
        <v>309</v>
      </c>
      <c r="F7" s="197">
        <v>0.58699999999999997</v>
      </c>
      <c r="G7" s="22">
        <f>F7+(($K$7-$F$7)/4)</f>
        <v>0.60052499999999998</v>
      </c>
      <c r="H7" s="22">
        <f t="shared" ref="H7:I7" si="2">G7+(($K$7-$F$7)/4)</f>
        <v>0.61404999999999998</v>
      </c>
      <c r="I7" s="22">
        <f t="shared" si="2"/>
        <v>0.62757499999999999</v>
      </c>
      <c r="J7" s="22">
        <f>I7+(($K$7-$F$7)/4)</f>
        <v>0.6411</v>
      </c>
      <c r="K7" s="22">
        <v>0.6411</v>
      </c>
    </row>
    <row r="8" spans="2:11" x14ac:dyDescent="0.3">
      <c r="B8" t="s">
        <v>310</v>
      </c>
      <c r="F8" s="259">
        <f>F6*(1-F7)</f>
        <v>1274.4075224999999</v>
      </c>
      <c r="G8" s="42">
        <f>G6*(1-G7)</f>
        <v>1373.6907805435499</v>
      </c>
      <c r="H8" s="42">
        <f>H6*(1-H7)</f>
        <v>1479.0114179937987</v>
      </c>
      <c r="I8" s="42">
        <f t="shared" ref="I8:K8" si="3">I6*(1-I7)</f>
        <v>1590.4514315190099</v>
      </c>
      <c r="J8" s="42">
        <f t="shared" si="3"/>
        <v>1708.0325652673939</v>
      </c>
      <c r="K8" s="42">
        <f t="shared" si="3"/>
        <v>1903.4314907339838</v>
      </c>
    </row>
    <row r="9" spans="2:11" x14ac:dyDescent="0.3">
      <c r="B9" t="s">
        <v>311</v>
      </c>
      <c r="F9" s="196"/>
      <c r="G9" s="249">
        <v>0.5</v>
      </c>
      <c r="H9">
        <f>G9+1</f>
        <v>1.5</v>
      </c>
      <c r="I9">
        <f t="shared" ref="I9:K9" si="4">H9+1</f>
        <v>2.5</v>
      </c>
      <c r="J9">
        <f t="shared" si="4"/>
        <v>3.5</v>
      </c>
      <c r="K9">
        <f t="shared" si="4"/>
        <v>4.5</v>
      </c>
    </row>
    <row r="10" spans="2:11" x14ac:dyDescent="0.3">
      <c r="B10" t="s">
        <v>312</v>
      </c>
      <c r="F10" s="196"/>
      <c r="G10" s="74">
        <f>1/(1+$D$16)^G9</f>
        <v>0.96190410418982319</v>
      </c>
      <c r="H10" s="74">
        <f t="shared" ref="H10:K10" si="5">1/(1+$D$16)^H9</f>
        <v>0.89001091593233306</v>
      </c>
      <c r="I10" s="74">
        <f t="shared" si="5"/>
        <v>0.82349106010508577</v>
      </c>
      <c r="J10" s="74">
        <f t="shared" si="5"/>
        <v>0.761942931185977</v>
      </c>
      <c r="K10" s="74">
        <f t="shared" si="5"/>
        <v>0.70499493984815509</v>
      </c>
    </row>
    <row r="11" spans="2:11" x14ac:dyDescent="0.3">
      <c r="F11" s="196"/>
    </row>
    <row r="12" spans="2:11" ht="15" thickBot="1" x14ac:dyDescent="0.35">
      <c r="B12" s="203" t="s">
        <v>313</v>
      </c>
      <c r="C12" s="203"/>
      <c r="D12" s="203"/>
      <c r="E12" s="203"/>
      <c r="F12" s="204"/>
      <c r="G12" s="260">
        <f>G8*G10</f>
        <v>1321.3587996925623</v>
      </c>
      <c r="H12" s="260">
        <f t="shared" ref="H12:K12" si="6">H8*H10</f>
        <v>1316.3363068030394</v>
      </c>
      <c r="I12" s="260">
        <f t="shared" si="6"/>
        <v>1309.7225353872407</v>
      </c>
      <c r="J12" s="260">
        <f t="shared" si="6"/>
        <v>1301.4233393409418</v>
      </c>
      <c r="K12" s="260">
        <f t="shared" si="6"/>
        <v>1341.9095693150891</v>
      </c>
    </row>
    <row r="13" spans="2:11" ht="15" thickTop="1" x14ac:dyDescent="0.3"/>
    <row r="14" spans="2:11" x14ac:dyDescent="0.3">
      <c r="B14" s="198" t="s">
        <v>314</v>
      </c>
      <c r="C14" s="198"/>
      <c r="D14" s="206">
        <v>0.1144</v>
      </c>
    </row>
    <row r="15" spans="2:11" x14ac:dyDescent="0.3">
      <c r="B15" s="198" t="s">
        <v>315</v>
      </c>
      <c r="C15" s="198"/>
      <c r="D15" s="206">
        <v>7.0999999999999994E-2</v>
      </c>
    </row>
    <row r="16" spans="2:11" x14ac:dyDescent="0.3">
      <c r="B16" s="198" t="s">
        <v>316</v>
      </c>
      <c r="C16" s="198"/>
      <c r="D16" s="199">
        <f>WACC!J41</f>
        <v>8.0777872462584763E-2</v>
      </c>
    </row>
    <row r="19" spans="2:14" x14ac:dyDescent="0.3">
      <c r="B19" s="193" t="s">
        <v>317</v>
      </c>
      <c r="C19" s="193"/>
      <c r="D19" s="200"/>
      <c r="E19" s="274" t="s">
        <v>480</v>
      </c>
      <c r="F19" s="274"/>
      <c r="G19" s="274"/>
      <c r="H19" s="274"/>
      <c r="I19" s="274"/>
    </row>
    <row r="20" spans="2:14" x14ac:dyDescent="0.3">
      <c r="E20" s="254">
        <f>C31</f>
        <v>159530.36290148806</v>
      </c>
      <c r="F20" s="255">
        <v>7.0000000000000007E-2</v>
      </c>
      <c r="G20" s="256">
        <f>C22</f>
        <v>8.0777872462584763E-2</v>
      </c>
      <c r="H20" s="255">
        <v>0.09</v>
      </c>
      <c r="I20" s="255">
        <v>0.1</v>
      </c>
    </row>
    <row r="21" spans="2:14" x14ac:dyDescent="0.3">
      <c r="B21" t="s">
        <v>319</v>
      </c>
      <c r="C21" s="42">
        <f>K8*(1+D14)</f>
        <v>2121.1840532739516</v>
      </c>
      <c r="E21" s="22">
        <v>0.05</v>
      </c>
      <c r="F21" s="42">
        <f t="dataTable" ref="F21:I24" dt2D="1" dtr="1" r1="C22" r2="C23"/>
        <v>81361.951752775625</v>
      </c>
      <c r="G21" s="42">
        <v>81361.951752775625</v>
      </c>
      <c r="H21" s="42">
        <v>43976.351151657262</v>
      </c>
      <c r="I21" s="42">
        <v>36499.231031433577</v>
      </c>
      <c r="J21" s="42"/>
    </row>
    <row r="22" spans="2:14" x14ac:dyDescent="0.3">
      <c r="B22" t="s">
        <v>316</v>
      </c>
      <c r="C22" s="22">
        <f>D16</f>
        <v>8.0777872462584763E-2</v>
      </c>
      <c r="E22" s="22">
        <v>0.06</v>
      </c>
      <c r="F22" s="42">
        <v>156133.15295501228</v>
      </c>
      <c r="G22" s="42">
        <v>156133.15295501228</v>
      </c>
      <c r="H22" s="42">
        <v>56438.218018696716</v>
      </c>
      <c r="I22" s="42">
        <v>43976.351151657254</v>
      </c>
      <c r="J22" s="42"/>
    </row>
    <row r="23" spans="2:14" x14ac:dyDescent="0.3">
      <c r="B23" t="s">
        <v>320</v>
      </c>
      <c r="C23" s="22">
        <f>D15</f>
        <v>7.0999999999999994E-2</v>
      </c>
      <c r="E23" s="257">
        <f>C23</f>
        <v>7.0999999999999994E-2</v>
      </c>
      <c r="F23" s="42">
        <v>156133.15295501228</v>
      </c>
      <c r="G23" s="261">
        <v>156133.15295501228</v>
      </c>
      <c r="H23" s="42">
        <v>56438.218018696716</v>
      </c>
      <c r="I23" s="42">
        <v>43976.351151657254</v>
      </c>
      <c r="J23" s="42"/>
    </row>
    <row r="24" spans="2:14" x14ac:dyDescent="0.3">
      <c r="E24" s="26">
        <v>0.08</v>
      </c>
      <c r="F24" s="262">
        <v>-142951.65185393472</v>
      </c>
      <c r="G24" s="262">
        <v>-142951.65185393472</v>
      </c>
      <c r="H24" s="262">
        <v>156133.15295501248</v>
      </c>
      <c r="I24" s="262">
        <v>81361.951752775625</v>
      </c>
      <c r="J24" s="42"/>
    </row>
    <row r="25" spans="2:14" ht="15" thickBot="1" x14ac:dyDescent="0.35">
      <c r="B25" s="201" t="s">
        <v>321</v>
      </c>
      <c r="C25" s="263">
        <f>C21/(C22-C23)</f>
        <v>216937.17742696137</v>
      </c>
      <c r="E25" s="251"/>
    </row>
    <row r="26" spans="2:14" ht="15" thickTop="1" x14ac:dyDescent="0.3">
      <c r="N26" t="s">
        <v>143</v>
      </c>
    </row>
    <row r="27" spans="2:14" x14ac:dyDescent="0.3">
      <c r="B27" s="193" t="s">
        <v>322</v>
      </c>
      <c r="C27" s="59"/>
    </row>
    <row r="29" spans="2:14" x14ac:dyDescent="0.3">
      <c r="B29" t="s">
        <v>313</v>
      </c>
      <c r="C29" s="42">
        <f>SUM(G12:K12)</f>
        <v>6590.7505505388735</v>
      </c>
    </row>
    <row r="30" spans="2:14" x14ac:dyDescent="0.3">
      <c r="B30" t="s">
        <v>324</v>
      </c>
      <c r="C30" s="42">
        <f>C25*K10</f>
        <v>152939.61235094917</v>
      </c>
    </row>
    <row r="31" spans="2:14" x14ac:dyDescent="0.3">
      <c r="B31" s="202" t="s">
        <v>325</v>
      </c>
      <c r="C31" s="264">
        <f>SUM(C29:C30)</f>
        <v>159530.36290148806</v>
      </c>
    </row>
    <row r="33" spans="2:11" x14ac:dyDescent="0.3">
      <c r="B33" t="s">
        <v>326</v>
      </c>
      <c r="C33" s="42">
        <f>'Data Sheet'!K69</f>
        <v>1564.62</v>
      </c>
    </row>
    <row r="34" spans="2:11" x14ac:dyDescent="0.3">
      <c r="B34" t="s">
        <v>327</v>
      </c>
      <c r="C34" s="42">
        <f>Rough!I95</f>
        <v>674</v>
      </c>
    </row>
    <row r="35" spans="2:11" x14ac:dyDescent="0.3">
      <c r="B35" s="202" t="s">
        <v>328</v>
      </c>
      <c r="C35" s="264">
        <f>C31+C33-C34</f>
        <v>160420.98290148805</v>
      </c>
    </row>
    <row r="36" spans="2:11" x14ac:dyDescent="0.3">
      <c r="B36" t="s">
        <v>329</v>
      </c>
      <c r="C36" s="42">
        <f>'Data Sheet'!B6</f>
        <v>80.746967377623562</v>
      </c>
    </row>
    <row r="37" spans="2:11" x14ac:dyDescent="0.3">
      <c r="B37" s="202" t="s">
        <v>330</v>
      </c>
      <c r="C37" s="264">
        <f>C35/C36</f>
        <v>1986.7121715080484</v>
      </c>
    </row>
    <row r="39" spans="2:11" x14ac:dyDescent="0.3">
      <c r="B39" s="205" t="s">
        <v>331</v>
      </c>
      <c r="C39" s="205">
        <f>'Data Sheet'!B8</f>
        <v>1469.85</v>
      </c>
    </row>
    <row r="40" spans="2:11" x14ac:dyDescent="0.3">
      <c r="B40" s="205" t="s">
        <v>332</v>
      </c>
      <c r="C40" s="250">
        <f>C39/C37</f>
        <v>0.73984043641524821</v>
      </c>
    </row>
    <row r="42" spans="2:11" ht="7.2" customHeight="1" x14ac:dyDescent="0.3">
      <c r="B42" s="59"/>
      <c r="C42" s="59"/>
      <c r="D42" s="59"/>
      <c r="E42" s="59"/>
      <c r="F42" s="59"/>
      <c r="G42" s="59"/>
      <c r="H42" s="59"/>
      <c r="I42" s="59"/>
      <c r="J42" s="59"/>
      <c r="K42" s="59"/>
    </row>
  </sheetData>
  <mergeCells count="1">
    <mergeCell ref="E19:I19"/>
  </mergeCells>
  <pageMargins left="0.7" right="0.7" top="0.75" bottom="0.75" header="0.3" footer="0.3"/>
  <pageSetup scale="52" fitToHeight="0" orientation="portrait" r:id="rId1"/>
  <ignoredErrors>
    <ignoredError sqref="H7:J7"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6E065-4232-421B-9CB7-51ED26A28514}">
  <sheetPr>
    <pageSetUpPr fitToPage="1"/>
  </sheetPr>
  <dimension ref="B2:J37"/>
  <sheetViews>
    <sheetView showGridLines="0" topLeftCell="A3" workbookViewId="0">
      <selection activeCell="B2" sqref="B2:J37"/>
    </sheetView>
  </sheetViews>
  <sheetFormatPr defaultRowHeight="14.4" x14ac:dyDescent="0.3"/>
  <cols>
    <col min="1" max="1" width="2.6640625" customWidth="1"/>
    <col min="4" max="4" width="5.88671875" customWidth="1"/>
    <col min="5" max="5" width="9.21875" bestFit="1" customWidth="1"/>
    <col min="6" max="7" width="9" bestFit="1" customWidth="1"/>
    <col min="8" max="8" width="9.5546875" bestFit="1" customWidth="1"/>
  </cols>
  <sheetData>
    <row r="2" spans="2:10" x14ac:dyDescent="0.3">
      <c r="B2" s="270" t="s">
        <v>481</v>
      </c>
      <c r="C2" s="270"/>
      <c r="D2" s="270"/>
      <c r="E2" s="270"/>
      <c r="F2" s="270"/>
      <c r="G2" s="270"/>
      <c r="H2" s="270"/>
      <c r="I2" s="270"/>
      <c r="J2" s="270"/>
    </row>
    <row r="4" spans="2:10" ht="15" thickBot="1" x14ac:dyDescent="0.35">
      <c r="C4" s="176"/>
      <c r="D4" s="176"/>
      <c r="E4" s="252" t="s">
        <v>482</v>
      </c>
      <c r="F4" s="252" t="s">
        <v>423</v>
      </c>
      <c r="G4" s="252" t="s">
        <v>483</v>
      </c>
      <c r="H4" s="252" t="s">
        <v>420</v>
      </c>
    </row>
    <row r="5" spans="2:10" x14ac:dyDescent="0.3">
      <c r="C5" s="2" t="s">
        <v>484</v>
      </c>
      <c r="E5" s="238">
        <v>718.47359843075276</v>
      </c>
      <c r="F5" s="238">
        <f>Peers!O31</f>
        <v>718.47359843075276</v>
      </c>
      <c r="G5" s="238">
        <v>3924.9144134197554</v>
      </c>
      <c r="H5" s="238">
        <f>Peers!P31</f>
        <v>3924.9144134197554</v>
      </c>
    </row>
    <row r="6" spans="2:10" x14ac:dyDescent="0.3">
      <c r="C6" s="2" t="s">
        <v>485</v>
      </c>
      <c r="E6" s="238">
        <v>531.87</v>
      </c>
      <c r="F6" s="238">
        <v>531.87</v>
      </c>
      <c r="G6" s="238">
        <v>872.26679999999999</v>
      </c>
      <c r="H6" s="238">
        <v>872.26679999999999</v>
      </c>
    </row>
    <row r="7" spans="2:10" x14ac:dyDescent="0.3">
      <c r="C7" s="2" t="s">
        <v>486</v>
      </c>
      <c r="E7" s="238">
        <v>809.27</v>
      </c>
      <c r="F7" s="238">
        <v>809.27</v>
      </c>
      <c r="G7" s="238">
        <v>1173.4414999999999</v>
      </c>
      <c r="H7" s="238">
        <v>1173.4414999999999</v>
      </c>
    </row>
    <row r="8" spans="2:10" x14ac:dyDescent="0.3">
      <c r="C8" s="2" t="s">
        <v>487</v>
      </c>
      <c r="E8" s="238">
        <v>1469.1166000000001</v>
      </c>
      <c r="F8" s="238">
        <v>1469.1166000000001</v>
      </c>
      <c r="G8" s="238">
        <v>1562.89</v>
      </c>
      <c r="H8" s="238">
        <v>1562.89</v>
      </c>
      <c r="I8" s="258"/>
    </row>
    <row r="9" spans="2:10" x14ac:dyDescent="0.3">
      <c r="C9" s="2" t="s">
        <v>488</v>
      </c>
      <c r="E9" s="238">
        <v>852</v>
      </c>
      <c r="F9" s="238">
        <v>852</v>
      </c>
      <c r="G9" s="238">
        <v>1494</v>
      </c>
      <c r="H9" s="238">
        <v>1494</v>
      </c>
      <c r="I9" s="34"/>
    </row>
    <row r="10" spans="2:10" x14ac:dyDescent="0.3">
      <c r="E10" t="s">
        <v>143</v>
      </c>
    </row>
    <row r="27" spans="2:10" x14ac:dyDescent="0.3">
      <c r="C27" s="253" t="s">
        <v>489</v>
      </c>
    </row>
    <row r="29" spans="2:10" ht="52.2" customHeight="1" x14ac:dyDescent="0.3">
      <c r="B29" s="276" t="s">
        <v>491</v>
      </c>
      <c r="C29" s="276"/>
      <c r="D29" s="276"/>
      <c r="E29" s="276"/>
      <c r="F29" s="276"/>
      <c r="G29" s="276"/>
      <c r="H29" s="276"/>
      <c r="I29" s="276"/>
      <c r="J29" s="276"/>
    </row>
    <row r="30" spans="2:10" ht="8.4" customHeight="1" x14ac:dyDescent="0.3"/>
    <row r="31" spans="2:10" x14ac:dyDescent="0.3">
      <c r="B31" s="277" t="s">
        <v>493</v>
      </c>
      <c r="C31" s="278"/>
      <c r="D31" s="278"/>
      <c r="E31" s="278"/>
      <c r="F31" s="278"/>
      <c r="G31" s="278"/>
      <c r="H31" s="278"/>
      <c r="I31" s="278"/>
      <c r="J31" s="278"/>
    </row>
    <row r="32" spans="2:10" ht="6.6" customHeight="1" x14ac:dyDescent="0.3">
      <c r="B32" s="62"/>
      <c r="C32" s="47"/>
      <c r="D32" s="47"/>
      <c r="E32" s="47"/>
      <c r="F32" s="47"/>
      <c r="G32" s="47"/>
      <c r="H32" s="47"/>
      <c r="I32" s="47"/>
      <c r="J32" s="47"/>
    </row>
    <row r="33" spans="2:10" ht="40.799999999999997" customHeight="1" x14ac:dyDescent="0.3">
      <c r="B33" s="279" t="s">
        <v>494</v>
      </c>
      <c r="C33" s="279"/>
      <c r="D33" s="279"/>
      <c r="E33" s="279"/>
      <c r="F33" s="279"/>
      <c r="G33" s="279"/>
      <c r="H33" s="279"/>
      <c r="I33" s="279"/>
      <c r="J33" s="279"/>
    </row>
    <row r="34" spans="2:10" ht="6" customHeight="1" x14ac:dyDescent="0.3"/>
    <row r="35" spans="2:10" ht="33.6" customHeight="1" x14ac:dyDescent="0.3">
      <c r="B35" s="280" t="s">
        <v>495</v>
      </c>
      <c r="C35" s="280"/>
      <c r="D35" s="280"/>
      <c r="E35" s="280"/>
      <c r="F35" s="280"/>
      <c r="G35" s="280"/>
      <c r="H35" s="280"/>
      <c r="I35" s="280"/>
      <c r="J35" s="280"/>
    </row>
    <row r="36" spans="2:10" ht="5.4" customHeight="1" x14ac:dyDescent="0.3"/>
    <row r="37" spans="2:10" ht="6.6" customHeight="1" x14ac:dyDescent="0.3">
      <c r="B37" s="275"/>
      <c r="C37" s="275"/>
      <c r="D37" s="275"/>
      <c r="E37" s="275"/>
      <c r="F37" s="275"/>
      <c r="G37" s="275"/>
      <c r="H37" s="275"/>
      <c r="I37" s="275"/>
      <c r="J37" s="275"/>
    </row>
  </sheetData>
  <mergeCells count="6">
    <mergeCell ref="B37:J37"/>
    <mergeCell ref="B2:J2"/>
    <mergeCell ref="B29:J29"/>
    <mergeCell ref="B31:J31"/>
    <mergeCell ref="B33:J33"/>
    <mergeCell ref="B35:J35"/>
  </mergeCells>
  <pageMargins left="0.7" right="0.7" top="0.75" bottom="0.75" header="0.3" footer="0.3"/>
  <pageSetup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E1FAD-5478-415D-B319-9443DEEEB52E}">
  <sheetPr>
    <pageSetUpPr fitToPage="1"/>
  </sheetPr>
  <dimension ref="B2:P53"/>
  <sheetViews>
    <sheetView showGridLines="0" topLeftCell="A26" workbookViewId="0">
      <selection activeCell="B2" sqref="B2:P53"/>
    </sheetView>
  </sheetViews>
  <sheetFormatPr defaultRowHeight="14.4" x14ac:dyDescent="0.3"/>
  <cols>
    <col min="1" max="1" width="2.44140625" customWidth="1"/>
    <col min="2" max="2" width="18.33203125" customWidth="1"/>
    <col min="3" max="3" width="13.21875" bestFit="1" customWidth="1"/>
    <col min="14" max="14" width="11.33203125" bestFit="1" customWidth="1"/>
    <col min="15" max="15" width="10.21875" bestFit="1" customWidth="1"/>
    <col min="16" max="16" width="11.33203125" bestFit="1" customWidth="1"/>
  </cols>
  <sheetData>
    <row r="2" spans="2:16" x14ac:dyDescent="0.3">
      <c r="B2" s="282" t="s">
        <v>429</v>
      </c>
      <c r="C2" s="282"/>
      <c r="D2" s="282"/>
      <c r="E2" s="282"/>
      <c r="F2" s="282"/>
      <c r="G2" s="282"/>
      <c r="H2" s="282"/>
      <c r="I2" s="282"/>
      <c r="J2" s="282"/>
      <c r="K2" s="282"/>
      <c r="L2" s="282"/>
      <c r="M2" s="282"/>
      <c r="N2" s="282"/>
      <c r="O2" s="282"/>
      <c r="P2" s="282"/>
    </row>
    <row r="3" spans="2:16" x14ac:dyDescent="0.3">
      <c r="B3" s="210" t="s">
        <v>407</v>
      </c>
      <c r="D3" s="211"/>
      <c r="E3" s="211"/>
      <c r="F3" s="211"/>
      <c r="G3" s="211"/>
      <c r="H3" s="211"/>
      <c r="I3" s="212"/>
      <c r="J3" s="211"/>
    </row>
    <row r="4" spans="2:16" x14ac:dyDescent="0.3">
      <c r="B4" s="77"/>
      <c r="C4" s="77"/>
      <c r="D4" s="281" t="s">
        <v>408</v>
      </c>
      <c r="E4" s="281"/>
      <c r="F4" s="281"/>
      <c r="G4" s="281"/>
      <c r="H4" s="281"/>
      <c r="I4" s="77"/>
      <c r="J4" s="281" t="s">
        <v>408</v>
      </c>
      <c r="K4" s="281"/>
      <c r="L4" s="281"/>
      <c r="M4" s="59"/>
      <c r="N4" s="281" t="s">
        <v>409</v>
      </c>
      <c r="O4" s="281"/>
      <c r="P4" s="281"/>
    </row>
    <row r="5" spans="2:16" ht="43.2" x14ac:dyDescent="0.3">
      <c r="B5" s="193" t="s">
        <v>410</v>
      </c>
      <c r="C5" s="193" t="s">
        <v>411</v>
      </c>
      <c r="D5" s="213" t="s">
        <v>331</v>
      </c>
      <c r="E5" s="213" t="s">
        <v>412</v>
      </c>
      <c r="F5" s="213" t="s">
        <v>413</v>
      </c>
      <c r="G5" s="213" t="s">
        <v>414</v>
      </c>
      <c r="H5" s="213" t="s">
        <v>415</v>
      </c>
      <c r="I5" s="214"/>
      <c r="J5" s="193" t="s">
        <v>198</v>
      </c>
      <c r="K5" s="193" t="s">
        <v>63</v>
      </c>
      <c r="L5" s="193" t="s">
        <v>416</v>
      </c>
      <c r="M5" s="59"/>
      <c r="N5" s="215" t="s">
        <v>417</v>
      </c>
      <c r="O5" s="77" t="s">
        <v>418</v>
      </c>
      <c r="P5" s="77" t="s">
        <v>419</v>
      </c>
    </row>
    <row r="6" spans="2:16" x14ac:dyDescent="0.3">
      <c r="B6" s="200"/>
      <c r="C6" s="200"/>
      <c r="D6" s="216"/>
      <c r="E6" s="216"/>
      <c r="F6" s="216"/>
      <c r="G6" s="216"/>
      <c r="H6" s="216"/>
      <c r="I6" s="209"/>
      <c r="J6" s="200"/>
      <c r="K6" s="200"/>
      <c r="L6" s="200"/>
    </row>
    <row r="7" spans="2:16" x14ac:dyDescent="0.3">
      <c r="B7" s="217" t="s">
        <v>347</v>
      </c>
      <c r="C7" s="217" t="s">
        <v>440</v>
      </c>
      <c r="D7" s="231">
        <f>[1]Data!D5</f>
        <v>1466.4</v>
      </c>
      <c r="E7" s="218">
        <f>[1]Data!E5</f>
        <v>80.739999999999995</v>
      </c>
      <c r="F7" s="218">
        <f>D7*E7</f>
        <v>118397.136</v>
      </c>
      <c r="G7" s="218">
        <f>[1]Data!G5</f>
        <v>-603.7299999999999</v>
      </c>
      <c r="H7" s="218">
        <f>F7-G7</f>
        <v>119000.86599999999</v>
      </c>
      <c r="I7" s="218"/>
      <c r="J7" s="217">
        <f>[1]Data!K4</f>
        <v>47444.62</v>
      </c>
      <c r="K7" s="217">
        <f>[1]Data!M4</f>
        <v>13911.64</v>
      </c>
      <c r="L7" s="217">
        <f>[1]Data!L4</f>
        <v>8934.19</v>
      </c>
      <c r="M7" s="217"/>
      <c r="N7" s="219">
        <f>$H7/J7</f>
        <v>2.5082056932904084</v>
      </c>
      <c r="O7" s="219">
        <f>$H7/K7</f>
        <v>8.5540501335572223</v>
      </c>
      <c r="P7" s="219">
        <f>F7/L7</f>
        <v>13.252139925387752</v>
      </c>
    </row>
    <row r="8" spans="2:16" x14ac:dyDescent="0.3">
      <c r="B8" s="220" t="str">
        <f>[1]Data!C4</f>
        <v>Sun Pharma.Inds.</v>
      </c>
      <c r="C8" s="220" t="s">
        <v>435</v>
      </c>
      <c r="D8" s="220">
        <f>[1]Data!D4</f>
        <v>1561.25</v>
      </c>
      <c r="E8" s="220">
        <f>[1]Data!E4</f>
        <v>239.93</v>
      </c>
      <c r="F8" s="220">
        <f>D8*E8</f>
        <v>374590.71250000002</v>
      </c>
      <c r="G8" s="220">
        <f>[1]Data!G4</f>
        <v>-3842.06</v>
      </c>
      <c r="H8" s="220">
        <f>F8+G8</f>
        <v>370748.65250000003</v>
      </c>
      <c r="I8" s="221"/>
      <c r="J8" s="220">
        <f>[1]Data!K4</f>
        <v>47444.62</v>
      </c>
      <c r="K8" s="220">
        <f>[1]Data!M4</f>
        <v>13911.64</v>
      </c>
      <c r="L8" s="220">
        <f>[1]Data!L4</f>
        <v>8934.19</v>
      </c>
      <c r="M8" s="220"/>
      <c r="N8" s="222">
        <f t="shared" ref="N8:O16" si="0">$H8/J8</f>
        <v>7.8143454937567212</v>
      </c>
      <c r="O8" s="222">
        <f t="shared" si="0"/>
        <v>26.650247742178497</v>
      </c>
      <c r="P8" s="222">
        <f t="shared" ref="P8:P16" si="1">F8/L8</f>
        <v>41.927775489440002</v>
      </c>
    </row>
    <row r="9" spans="2:16" x14ac:dyDescent="0.3">
      <c r="B9" s="220" t="str">
        <f>[1]Data!C6</f>
        <v>Dr Reddy's Labs</v>
      </c>
      <c r="C9" s="220" t="s">
        <v>441</v>
      </c>
      <c r="D9" s="220">
        <f>[1]Data!D6</f>
        <v>6442.15</v>
      </c>
      <c r="E9" s="220">
        <f>[1]Data!E6</f>
        <v>16.68</v>
      </c>
      <c r="F9" s="220">
        <f t="shared" ref="F9:F16" si="2">D9*E9</f>
        <v>107455.06199999999</v>
      </c>
      <c r="G9" s="220">
        <f>[1]Data!G6</f>
        <v>-407.20000000000005</v>
      </c>
      <c r="H9" s="220">
        <f t="shared" ref="H9:H15" si="3">F9+G9</f>
        <v>107047.86199999999</v>
      </c>
      <c r="I9" s="221"/>
      <c r="J9" s="220">
        <f>[1]Data!K6</f>
        <v>27212.5</v>
      </c>
      <c r="K9" s="220">
        <f>[1]Data!M6</f>
        <v>8489.9</v>
      </c>
      <c r="L9" s="220">
        <f>[1]Data!L6</f>
        <v>5228.2</v>
      </c>
      <c r="M9" s="220"/>
      <c r="N9" s="222">
        <f t="shared" si="0"/>
        <v>3.9337753605879651</v>
      </c>
      <c r="O9" s="222">
        <f t="shared" si="0"/>
        <v>12.608848396329757</v>
      </c>
      <c r="P9" s="222">
        <f t="shared" si="1"/>
        <v>20.552974637542558</v>
      </c>
    </row>
    <row r="10" spans="2:16" x14ac:dyDescent="0.3">
      <c r="B10" s="220" t="str">
        <f>[1]Data!C7</f>
        <v>Zydus Lifesci.</v>
      </c>
      <c r="C10" s="220" t="s">
        <v>438</v>
      </c>
      <c r="D10" s="220">
        <f>[1]Data!D7</f>
        <v>923.25</v>
      </c>
      <c r="E10" s="220">
        <f>[1]Data!E7</f>
        <v>101.22</v>
      </c>
      <c r="F10" s="220">
        <f t="shared" si="2"/>
        <v>93451.365000000005</v>
      </c>
      <c r="G10" s="220">
        <f>[1]Data!G7</f>
        <v>-381.20000000000005</v>
      </c>
      <c r="H10" s="220">
        <f t="shared" si="3"/>
        <v>93070.165000000008</v>
      </c>
      <c r="I10" s="221"/>
      <c r="J10" s="220">
        <f>[1]Data!K7</f>
        <v>19024.2</v>
      </c>
      <c r="K10" s="220">
        <f>[1]Data!M7</f>
        <v>5174.8999999999996</v>
      </c>
      <c r="L10" s="220">
        <f>[1]Data!L7</f>
        <v>3084.9</v>
      </c>
      <c r="M10" s="220"/>
      <c r="N10" s="222">
        <f t="shared" si="0"/>
        <v>4.8921986207041561</v>
      </c>
      <c r="O10" s="222">
        <f t="shared" si="0"/>
        <v>17.984920481555204</v>
      </c>
      <c r="P10" s="222">
        <f t="shared" si="1"/>
        <v>30.293158611300203</v>
      </c>
    </row>
    <row r="11" spans="2:16" x14ac:dyDescent="0.3">
      <c r="B11" s="220" t="str">
        <f>[1]Data!C8</f>
        <v>Mankind Pharma</v>
      </c>
      <c r="C11" s="220" t="s">
        <v>436</v>
      </c>
      <c r="D11" s="220">
        <f>[1]Data!D8</f>
        <v>2154.0500000000002</v>
      </c>
      <c r="E11" s="220">
        <f>[1]Data!E8</f>
        <v>40.06</v>
      </c>
      <c r="F11" s="220">
        <f t="shared" si="2"/>
        <v>86291.243000000017</v>
      </c>
      <c r="G11" s="220">
        <f>[1]Data!G8</f>
        <v>-145.41</v>
      </c>
      <c r="H11" s="220">
        <f t="shared" si="3"/>
        <v>86145.833000000013</v>
      </c>
      <c r="I11" s="221"/>
      <c r="J11" s="220">
        <f>[1]Data!K8</f>
        <v>8984.25</v>
      </c>
      <c r="K11" s="220">
        <f>[1]Data!M8</f>
        <v>2384.17</v>
      </c>
      <c r="L11" s="220">
        <f>[1]Data!L8</f>
        <v>1650.22</v>
      </c>
      <c r="M11" s="220"/>
      <c r="N11" s="222">
        <f t="shared" si="0"/>
        <v>9.5885391657623078</v>
      </c>
      <c r="O11" s="222">
        <f t="shared" si="0"/>
        <v>36.132420506926941</v>
      </c>
      <c r="P11" s="222">
        <f t="shared" si="1"/>
        <v>52.290750930179016</v>
      </c>
    </row>
    <row r="12" spans="2:16" x14ac:dyDescent="0.3">
      <c r="B12" s="220" t="str">
        <f>[1]Data!C9</f>
        <v>Lupin</v>
      </c>
      <c r="C12" s="220" t="s">
        <v>439</v>
      </c>
      <c r="D12" s="220">
        <f>[1]Data!D9</f>
        <v>1614.95</v>
      </c>
      <c r="E12" s="220">
        <f>[1]Data!E9</f>
        <v>45.55</v>
      </c>
      <c r="F12" s="220">
        <f t="shared" si="2"/>
        <v>73560.972500000003</v>
      </c>
      <c r="G12" s="220">
        <f>[1]Data!G9</f>
        <v>2491.48</v>
      </c>
      <c r="H12" s="220">
        <f t="shared" si="3"/>
        <v>76052.452499999999</v>
      </c>
      <c r="I12" s="221"/>
      <c r="J12" s="220">
        <f>[1]Data!K9</f>
        <v>19480.11</v>
      </c>
      <c r="K12" s="220">
        <f>[1]Data!M9</f>
        <v>3519.63</v>
      </c>
      <c r="L12" s="220">
        <f>[1]Data!L9</f>
        <v>1809.74</v>
      </c>
      <c r="M12" s="220"/>
      <c r="N12" s="222">
        <f t="shared" si="0"/>
        <v>3.9041079593493055</v>
      </c>
      <c r="O12" s="222">
        <f t="shared" si="0"/>
        <v>21.608081673357709</v>
      </c>
      <c r="P12" s="222">
        <f t="shared" si="1"/>
        <v>40.647260103661303</v>
      </c>
    </row>
    <row r="13" spans="2:16" x14ac:dyDescent="0.3">
      <c r="B13" s="220" t="str">
        <f>[1]Data!C10</f>
        <v>Alkem Lab</v>
      </c>
      <c r="C13" s="220" t="s">
        <v>437</v>
      </c>
      <c r="D13" s="220">
        <f>[1]Data!D10</f>
        <v>5421.15</v>
      </c>
      <c r="E13" s="220">
        <f>[1]Data!E10</f>
        <v>11.96</v>
      </c>
      <c r="F13" s="220">
        <f t="shared" si="2"/>
        <v>64836.953999999998</v>
      </c>
      <c r="G13" s="220">
        <f>[1]Data!G10</f>
        <v>-1175.56</v>
      </c>
      <c r="H13" s="220">
        <f t="shared" si="3"/>
        <v>63661.394</v>
      </c>
      <c r="I13" s="221"/>
      <c r="J13" s="220">
        <f>[1]Data!K10</f>
        <v>12634.36</v>
      </c>
      <c r="K13" s="220">
        <f>[1]Data!M10</f>
        <v>2488.1</v>
      </c>
      <c r="L13" s="220">
        <f>[1]Data!L10</f>
        <v>1574.66</v>
      </c>
      <c r="M13" s="220"/>
      <c r="N13" s="222">
        <f t="shared" si="0"/>
        <v>5.0387509933229699</v>
      </c>
      <c r="O13" s="222">
        <f t="shared" si="0"/>
        <v>25.586348619428481</v>
      </c>
      <c r="P13" s="222">
        <f t="shared" si="1"/>
        <v>41.17520861646323</v>
      </c>
    </row>
    <row r="14" spans="2:16" x14ac:dyDescent="0.3">
      <c r="B14" s="220" t="str">
        <f>[1]Data!C11</f>
        <v>Aurobindo Pharma</v>
      </c>
      <c r="C14" s="220" t="s">
        <v>442</v>
      </c>
      <c r="D14" s="220">
        <f>[1]Data!D11</f>
        <v>1043.8</v>
      </c>
      <c r="E14" s="220">
        <f>[1]Data!E11</f>
        <v>58.59</v>
      </c>
      <c r="F14" s="220">
        <f t="shared" si="2"/>
        <v>61156.241999999998</v>
      </c>
      <c r="G14" s="220">
        <f>[1]Data!G11</f>
        <v>564.43000000000029</v>
      </c>
      <c r="H14" s="220">
        <f t="shared" si="3"/>
        <v>61720.671999999999</v>
      </c>
      <c r="I14" s="221"/>
      <c r="J14" s="220">
        <f>[1]Data!K11</f>
        <v>27894.68</v>
      </c>
      <c r="K14" s="220">
        <f>[1]Data!M11</f>
        <v>5718.68</v>
      </c>
      <c r="L14" s="220">
        <f>[1]Data!L11</f>
        <v>2767.53</v>
      </c>
      <c r="M14" s="220"/>
      <c r="N14" s="222">
        <f t="shared" si="0"/>
        <v>2.2126323729112505</v>
      </c>
      <c r="O14" s="222">
        <f t="shared" si="0"/>
        <v>10.792817923017198</v>
      </c>
      <c r="P14" s="222">
        <f t="shared" si="1"/>
        <v>22.097770213873019</v>
      </c>
    </row>
    <row r="15" spans="2:16" x14ac:dyDescent="0.3">
      <c r="B15" s="220" t="str">
        <f>[1]Data!C12</f>
        <v>Biocon</v>
      </c>
      <c r="C15" s="220" t="s">
        <v>443</v>
      </c>
      <c r="D15" s="220">
        <f>[1]Data!D12</f>
        <v>273.05</v>
      </c>
      <c r="E15" s="220">
        <f>[1]Data!E12</f>
        <v>120.06</v>
      </c>
      <c r="F15" s="220">
        <f t="shared" si="2"/>
        <v>32782.383000000002</v>
      </c>
      <c r="G15" s="220">
        <f>[1]Data!G12</f>
        <v>15852.199999999999</v>
      </c>
      <c r="H15" s="220">
        <f t="shared" si="3"/>
        <v>48634.582999999999</v>
      </c>
      <c r="I15" s="221"/>
      <c r="J15" s="220">
        <f>[1]Data!K12</f>
        <v>14612.5</v>
      </c>
      <c r="K15" s="220">
        <f>[1]Data!M12</f>
        <v>4230.3</v>
      </c>
      <c r="L15" s="220">
        <f>[1]Data!L12</f>
        <v>1489.4</v>
      </c>
      <c r="M15" s="220"/>
      <c r="N15" s="222">
        <f t="shared" si="0"/>
        <v>3.32828626176219</v>
      </c>
      <c r="O15" s="222">
        <f t="shared" si="0"/>
        <v>11.496721981892536</v>
      </c>
      <c r="P15" s="222">
        <f t="shared" si="1"/>
        <v>22.010462602390223</v>
      </c>
    </row>
    <row r="16" spans="2:16" x14ac:dyDescent="0.3">
      <c r="B16" s="220" t="str">
        <f>[1]Data!C13</f>
        <v>Ipca Labs.</v>
      </c>
      <c r="C16" s="220" t="s">
        <v>444</v>
      </c>
      <c r="D16" s="220">
        <f>[1]Data!D13</f>
        <v>1217.7</v>
      </c>
      <c r="E16" s="220">
        <f>[1]Data!E13</f>
        <v>25.37</v>
      </c>
      <c r="F16" s="220">
        <f t="shared" si="2"/>
        <v>30893.049000000003</v>
      </c>
      <c r="G16" s="220">
        <f>[1]Data!G13</f>
        <v>134.22000000000003</v>
      </c>
      <c r="H16" s="220">
        <f>F16+G16</f>
        <v>31027.269000000004</v>
      </c>
      <c r="I16" s="221"/>
      <c r="J16" s="220">
        <f>[1]Data!K13</f>
        <v>7183.66</v>
      </c>
      <c r="K16" s="220">
        <f>[1]Data!M13</f>
        <v>1283.5</v>
      </c>
      <c r="L16" s="220">
        <f>[1]Data!L13</f>
        <v>599.73</v>
      </c>
      <c r="M16" s="220"/>
      <c r="N16" s="222">
        <f t="shared" si="0"/>
        <v>4.3191449762377401</v>
      </c>
      <c r="O16" s="222">
        <f t="shared" si="0"/>
        <v>24.173953252824312</v>
      </c>
      <c r="P16" s="222">
        <f t="shared" si="1"/>
        <v>51.511595217848033</v>
      </c>
    </row>
    <row r="17" spans="2:16" x14ac:dyDescent="0.3">
      <c r="I17" s="209"/>
    </row>
    <row r="18" spans="2:16" x14ac:dyDescent="0.3">
      <c r="B18" s="223" t="s">
        <v>420</v>
      </c>
      <c r="C18" s="223"/>
      <c r="D18" s="223"/>
      <c r="E18" s="223"/>
      <c r="F18" s="223"/>
      <c r="G18" s="223"/>
      <c r="H18" s="223"/>
      <c r="I18" s="224"/>
      <c r="J18" s="223"/>
      <c r="K18" s="223"/>
      <c r="L18" s="223"/>
      <c r="M18" s="223"/>
      <c r="N18" s="225">
        <f>MAX(N7:N16)</f>
        <v>9.5885391657623078</v>
      </c>
      <c r="O18" s="225">
        <f t="shared" ref="O18" si="4">MAX(O7:O16)</f>
        <v>36.132420506926941</v>
      </c>
      <c r="P18" s="225">
        <f>MAX(P7:P16)</f>
        <v>52.290750930179016</v>
      </c>
    </row>
    <row r="19" spans="2:16" x14ac:dyDescent="0.3">
      <c r="B19" s="223" t="s">
        <v>421</v>
      </c>
      <c r="C19" s="223"/>
      <c r="D19" s="223"/>
      <c r="E19" s="223"/>
      <c r="F19" s="223"/>
      <c r="G19" s="223"/>
      <c r="H19" s="223"/>
      <c r="I19" s="224"/>
      <c r="J19" s="223"/>
      <c r="K19" s="223"/>
      <c r="L19" s="223"/>
      <c r="M19" s="223"/>
      <c r="N19" s="225">
        <f>QUARTILE(N7:N16,3)</f>
        <v>5.0021129001682665</v>
      </c>
      <c r="O19" s="225">
        <f>QUARTILE(O7:O16,3)</f>
        <v>25.233249777777438</v>
      </c>
      <c r="P19" s="225">
        <f>QUARTILE(P7:P16,3)</f>
        <v>41.739633771195813</v>
      </c>
    </row>
    <row r="20" spans="2:16" x14ac:dyDescent="0.3">
      <c r="B20" s="217" t="s">
        <v>237</v>
      </c>
      <c r="C20" s="217"/>
      <c r="D20" s="217"/>
      <c r="E20" s="217"/>
      <c r="F20" s="217"/>
      <c r="G20" s="217"/>
      <c r="H20" s="217"/>
      <c r="I20" s="218"/>
      <c r="J20" s="217"/>
      <c r="K20" s="217"/>
      <c r="L20" s="217"/>
      <c r="M20" s="217"/>
      <c r="N20" s="226">
        <f>AVERAGE(N7:N16)</f>
        <v>4.7539986897685012</v>
      </c>
      <c r="O20" s="226">
        <f>AVERAGE(O7:O16)</f>
        <v>19.558841071106784</v>
      </c>
      <c r="P20" s="226">
        <f>AVERAGE(P7:P16)</f>
        <v>33.575909634808532</v>
      </c>
    </row>
    <row r="21" spans="2:16" x14ac:dyDescent="0.3">
      <c r="B21" s="217" t="s">
        <v>146</v>
      </c>
      <c r="C21" s="217"/>
      <c r="D21" s="217"/>
      <c r="E21" s="217"/>
      <c r="F21" s="217"/>
      <c r="G21" s="217"/>
      <c r="H21" s="217"/>
      <c r="I21" s="218"/>
      <c r="J21" s="217"/>
      <c r="K21" s="217"/>
      <c r="L21" s="217"/>
      <c r="M21" s="217"/>
      <c r="N21" s="226">
        <f>MEDIAN(N7:N16)</f>
        <v>4.1264601684128523</v>
      </c>
      <c r="O21" s="226">
        <f>MEDIAN(O7:O16)</f>
        <v>19.796501077456455</v>
      </c>
      <c r="P21" s="226">
        <f>MEDIAN(P7:P16)</f>
        <v>35.470209357480755</v>
      </c>
    </row>
    <row r="22" spans="2:16" x14ac:dyDescent="0.3">
      <c r="B22" s="223" t="s">
        <v>422</v>
      </c>
      <c r="C22" s="223"/>
      <c r="D22" s="223"/>
      <c r="E22" s="223"/>
      <c r="F22" s="223"/>
      <c r="G22" s="223"/>
      <c r="H22" s="223"/>
      <c r="I22" s="224"/>
      <c r="J22" s="223"/>
      <c r="K22" s="223"/>
      <c r="L22" s="223"/>
      <c r="M22" s="223"/>
      <c r="N22" s="225">
        <f>QUARTILE(N7:N16,1)</f>
        <v>3.4722416861589691</v>
      </c>
      <c r="O22" s="225">
        <f>QUARTILE(O7:O16,1)</f>
        <v>11.774753585501841</v>
      </c>
      <c r="P22" s="225">
        <f>QUARTILE(P7:P16,1)</f>
        <v>22.032289505260923</v>
      </c>
    </row>
    <row r="23" spans="2:16" x14ac:dyDescent="0.3">
      <c r="B23" s="223" t="s">
        <v>423</v>
      </c>
      <c r="C23" s="223"/>
      <c r="D23" s="223"/>
      <c r="E23" s="223"/>
      <c r="F23" s="223"/>
      <c r="G23" s="223"/>
      <c r="H23" s="223"/>
      <c r="I23" s="224"/>
      <c r="J23" s="223"/>
      <c r="K23" s="223"/>
      <c r="L23" s="223"/>
      <c r="M23" s="223"/>
      <c r="N23" s="225">
        <f>MIN(N7:N16)</f>
        <v>2.2126323729112505</v>
      </c>
      <c r="O23" s="225">
        <f>MIN(O7:O16)</f>
        <v>8.5540501335572223</v>
      </c>
      <c r="P23" s="225">
        <f>MIN(P7:P16)</f>
        <v>13.252139925387752</v>
      </c>
    </row>
    <row r="24" spans="2:16" x14ac:dyDescent="0.3">
      <c r="I24" s="209"/>
    </row>
    <row r="25" spans="2:16" ht="28.8" x14ac:dyDescent="0.3">
      <c r="B25" s="193" t="s">
        <v>424</v>
      </c>
      <c r="C25" s="193"/>
      <c r="D25" s="193"/>
      <c r="E25" s="193"/>
      <c r="F25" s="193"/>
      <c r="G25" s="193"/>
      <c r="H25" s="193"/>
      <c r="I25" s="213"/>
      <c r="J25" s="193"/>
      <c r="K25" s="193"/>
      <c r="L25" s="193"/>
      <c r="M25" s="193"/>
      <c r="N25" s="215" t="s">
        <v>417</v>
      </c>
      <c r="O25" s="77" t="s">
        <v>418</v>
      </c>
      <c r="P25" s="77" t="s">
        <v>419</v>
      </c>
    </row>
    <row r="26" spans="2:16" x14ac:dyDescent="0.3">
      <c r="I26" s="209"/>
    </row>
    <row r="27" spans="2:16" x14ac:dyDescent="0.3">
      <c r="B27" s="220" t="s">
        <v>425</v>
      </c>
      <c r="C27" s="220"/>
      <c r="D27" s="220"/>
      <c r="E27" s="220"/>
      <c r="F27" s="220"/>
      <c r="G27" s="220"/>
      <c r="H27" s="220"/>
      <c r="I27" s="221"/>
      <c r="J27" s="220"/>
      <c r="K27" s="220"/>
      <c r="L27" s="220"/>
      <c r="M27" s="220"/>
      <c r="N27" s="227">
        <f>$N$21*J7</f>
        <v>195778.3346354838</v>
      </c>
      <c r="O27" s="227">
        <f>$N$21*K7</f>
        <v>57405.828337298968</v>
      </c>
      <c r="P27" s="227">
        <f>P29+P28</f>
        <v>316293.85973951104</v>
      </c>
    </row>
    <row r="28" spans="2:16" x14ac:dyDescent="0.3">
      <c r="B28" s="220" t="s">
        <v>414</v>
      </c>
      <c r="C28" s="220"/>
      <c r="D28" s="220"/>
      <c r="E28" s="220"/>
      <c r="F28" s="220"/>
      <c r="G28" s="220"/>
      <c r="H28" s="220"/>
      <c r="I28" s="221"/>
      <c r="J28" s="220"/>
      <c r="K28" s="220"/>
      <c r="L28" s="220"/>
      <c r="M28" s="220"/>
      <c r="N28" s="227">
        <f>$G$7</f>
        <v>-603.7299999999999</v>
      </c>
      <c r="O28" s="227">
        <f t="shared" ref="O28:P28" si="5">$G$7</f>
        <v>-603.7299999999999</v>
      </c>
      <c r="P28" s="227">
        <f t="shared" si="5"/>
        <v>-603.7299999999999</v>
      </c>
    </row>
    <row r="29" spans="2:16" x14ac:dyDescent="0.3">
      <c r="B29" s="220" t="s">
        <v>426</v>
      </c>
      <c r="C29" s="220"/>
      <c r="D29" s="220"/>
      <c r="E29" s="220"/>
      <c r="F29" s="220"/>
      <c r="G29" s="220"/>
      <c r="H29" s="220"/>
      <c r="I29" s="221"/>
      <c r="J29" s="220"/>
      <c r="K29" s="220"/>
      <c r="L29" s="220"/>
      <c r="M29" s="220"/>
      <c r="N29" s="227">
        <f>N27-N28</f>
        <v>196382.06463548381</v>
      </c>
      <c r="O29" s="227">
        <f t="shared" ref="O29" si="6">O27-O28</f>
        <v>58009.558337298971</v>
      </c>
      <c r="P29" s="227">
        <f>P21*L7</f>
        <v>316897.58973951102</v>
      </c>
    </row>
    <row r="30" spans="2:16" x14ac:dyDescent="0.3">
      <c r="B30" t="s">
        <v>427</v>
      </c>
      <c r="I30" s="209"/>
      <c r="N30" s="34">
        <f>$E$7</f>
        <v>80.739999999999995</v>
      </c>
      <c r="O30" s="34">
        <f t="shared" ref="O30:P30" si="7">$E$7</f>
        <v>80.739999999999995</v>
      </c>
      <c r="P30" s="34">
        <f t="shared" si="7"/>
        <v>80.739999999999995</v>
      </c>
    </row>
    <row r="31" spans="2:16" ht="15" thickBot="1" x14ac:dyDescent="0.35">
      <c r="B31" s="228" t="s">
        <v>428</v>
      </c>
      <c r="C31" s="228"/>
      <c r="D31" s="228"/>
      <c r="E31" s="228"/>
      <c r="F31" s="228"/>
      <c r="G31" s="228"/>
      <c r="H31" s="228"/>
      <c r="I31" s="229"/>
      <c r="J31" s="228"/>
      <c r="K31" s="228"/>
      <c r="L31" s="228"/>
      <c r="M31" s="228"/>
      <c r="N31" s="230">
        <f>N29/N30</f>
        <v>2432.277243441712</v>
      </c>
      <c r="O31" s="230">
        <f t="shared" ref="O31" si="8">O29/O30</f>
        <v>718.47359843075276</v>
      </c>
      <c r="P31" s="230">
        <f>P29/P30</f>
        <v>3924.9144134197554</v>
      </c>
    </row>
    <row r="32" spans="2:16" x14ac:dyDescent="0.3">
      <c r="I32" s="209"/>
    </row>
    <row r="33" spans="9:16" x14ac:dyDescent="0.3">
      <c r="I33" s="209"/>
      <c r="N33" t="str">
        <f>IF(N31&gt;$D$7, "Undervalued", "Overvalued")</f>
        <v>Undervalued</v>
      </c>
      <c r="O33" t="str">
        <f t="shared" ref="O33:P33" si="9">IF(O31&gt;$D$7, "Undervalued", "Overvalued")</f>
        <v>Overvalued</v>
      </c>
      <c r="P33" t="str">
        <f t="shared" si="9"/>
        <v>Undervalued</v>
      </c>
    </row>
    <row r="34" spans="9:16" x14ac:dyDescent="0.3">
      <c r="I34" s="209"/>
    </row>
    <row r="35" spans="9:16" ht="9" customHeight="1" x14ac:dyDescent="0.3"/>
    <row r="47" spans="9:16" ht="6.6" customHeight="1" x14ac:dyDescent="0.3"/>
    <row r="52" spans="2:16" ht="8.4" customHeight="1" x14ac:dyDescent="0.3"/>
    <row r="53" spans="2:16" ht="8.4" customHeight="1" x14ac:dyDescent="0.3">
      <c r="B53" s="271"/>
      <c r="C53" s="271"/>
      <c r="D53" s="271"/>
      <c r="E53" s="271"/>
      <c r="F53" s="271"/>
      <c r="G53" s="271"/>
      <c r="H53" s="271"/>
      <c r="I53" s="271"/>
      <c r="J53" s="271"/>
      <c r="K53" s="271"/>
      <c r="L53" s="271"/>
      <c r="M53" s="271"/>
      <c r="N53" s="271"/>
      <c r="O53" s="271"/>
      <c r="P53" s="271"/>
    </row>
  </sheetData>
  <mergeCells count="5">
    <mergeCell ref="D4:H4"/>
    <mergeCell ref="J4:L4"/>
    <mergeCell ref="N4:P4"/>
    <mergeCell ref="B2:P2"/>
    <mergeCell ref="B53:P53"/>
  </mergeCells>
  <pageMargins left="0.7" right="0.7" top="0.75" bottom="0.75" header="0.3" footer="0.3"/>
  <pageSetup scale="54"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DA932-3265-4C21-A1CE-1B7B9D450EDA}">
  <sheetPr>
    <pageSetUpPr fitToPage="1"/>
  </sheetPr>
  <dimension ref="B2:K342"/>
  <sheetViews>
    <sheetView showGridLines="0" workbookViewId="0">
      <selection activeCell="T15" sqref="T15"/>
    </sheetView>
  </sheetViews>
  <sheetFormatPr defaultRowHeight="14.4" x14ac:dyDescent="0.3"/>
  <cols>
    <col min="1" max="1" width="2.88671875" customWidth="1"/>
    <col min="3" max="3" width="10.5546875" bestFit="1" customWidth="1"/>
    <col min="5" max="5" width="15.33203125" bestFit="1" customWidth="1"/>
    <col min="8" max="8" width="10.5546875" bestFit="1" customWidth="1"/>
    <col min="10" max="10" width="9.88671875" bestFit="1" customWidth="1"/>
  </cols>
  <sheetData>
    <row r="2" spans="2:11" x14ac:dyDescent="0.3">
      <c r="B2" s="270" t="s">
        <v>447</v>
      </c>
      <c r="C2" s="270"/>
      <c r="D2" s="270"/>
      <c r="E2" s="270"/>
      <c r="F2" s="270"/>
      <c r="G2" s="270"/>
      <c r="H2" s="270"/>
      <c r="I2" s="270"/>
      <c r="J2" s="270"/>
      <c r="K2" s="270"/>
    </row>
    <row r="4" spans="2:11" x14ac:dyDescent="0.3">
      <c r="B4" s="68" t="s">
        <v>359</v>
      </c>
      <c r="C4" s="68" t="s">
        <v>445</v>
      </c>
      <c r="D4" s="68" t="s">
        <v>446</v>
      </c>
      <c r="E4" s="68" t="s">
        <v>448</v>
      </c>
      <c r="G4" s="68" t="s">
        <v>449</v>
      </c>
      <c r="H4" s="68"/>
      <c r="I4" s="68"/>
      <c r="J4" s="68"/>
      <c r="K4" s="68"/>
    </row>
    <row r="5" spans="2:11" x14ac:dyDescent="0.3">
      <c r="B5" s="174">
        <v>43922</v>
      </c>
      <c r="C5" s="175">
        <v>578.83563200000003</v>
      </c>
      <c r="D5" s="175">
        <f t="shared" ref="D5:D52" si="0">LN(C5/C6)</f>
        <v>-0.69992722641458249</v>
      </c>
      <c r="E5" s="175">
        <v>0.33502079005715424</v>
      </c>
    </row>
    <row r="6" spans="2:11" x14ac:dyDescent="0.3">
      <c r="B6" s="174">
        <v>45108</v>
      </c>
      <c r="C6" s="175">
        <v>1165.5469969999999</v>
      </c>
      <c r="D6" s="175">
        <f t="shared" si="0"/>
        <v>0.49991192146117303</v>
      </c>
      <c r="E6" s="175">
        <v>0.14642874643052264</v>
      </c>
      <c r="G6" s="220" t="s">
        <v>145</v>
      </c>
      <c r="H6" s="220"/>
      <c r="I6" s="220"/>
      <c r="J6" s="220"/>
      <c r="K6" s="233">
        <f>AVERAGE(E5:E53)</f>
        <v>2.4871810431067645E-2</v>
      </c>
    </row>
    <row r="7" spans="2:11" x14ac:dyDescent="0.3">
      <c r="B7" s="174">
        <v>44013</v>
      </c>
      <c r="C7" s="175">
        <v>707.00225799999998</v>
      </c>
      <c r="D7" s="175">
        <f t="shared" si="0"/>
        <v>-0.23436949282289674</v>
      </c>
      <c r="E7" s="175">
        <v>0.11760091827507239</v>
      </c>
      <c r="G7" s="220" t="s">
        <v>452</v>
      </c>
      <c r="H7" s="220"/>
      <c r="I7" s="220"/>
      <c r="J7" s="220"/>
      <c r="K7" s="233">
        <f>_xlfn.STDEV.S(E5:E53)</f>
        <v>7.6129516947286119E-2</v>
      </c>
    </row>
    <row r="8" spans="2:11" x14ac:dyDescent="0.3">
      <c r="B8" s="174">
        <v>44287</v>
      </c>
      <c r="C8" s="175">
        <v>893.72967500000004</v>
      </c>
      <c r="D8" s="175">
        <f t="shared" si="0"/>
        <v>-0.11731693640516809</v>
      </c>
      <c r="E8" s="175">
        <v>0.11051837715850613</v>
      </c>
      <c r="G8" s="220" t="s">
        <v>450</v>
      </c>
      <c r="H8" s="220"/>
      <c r="I8" s="220"/>
      <c r="J8" s="220"/>
      <c r="K8" s="227">
        <f>MIN(E5:E53)</f>
        <v>-0.11606532253868006</v>
      </c>
    </row>
    <row r="9" spans="2:11" x14ac:dyDescent="0.3">
      <c r="B9" s="174">
        <v>44621</v>
      </c>
      <c r="C9" s="175">
        <v>1004.977356</v>
      </c>
      <c r="D9" s="175">
        <f t="shared" si="0"/>
        <v>0.22190265277487778</v>
      </c>
      <c r="E9" s="175">
        <v>9.5796507007122084E-2</v>
      </c>
      <c r="G9" s="220" t="s">
        <v>451</v>
      </c>
      <c r="H9" s="220"/>
      <c r="I9" s="220"/>
      <c r="J9" s="220"/>
      <c r="K9" s="227">
        <f>MAX(E5:E53)</f>
        <v>0.33502079005715424</v>
      </c>
    </row>
    <row r="10" spans="2:11" x14ac:dyDescent="0.3">
      <c r="B10" s="174">
        <v>44166</v>
      </c>
      <c r="C10" s="175">
        <v>804.98016399999995</v>
      </c>
      <c r="D10" s="175">
        <f t="shared" si="0"/>
        <v>0.23512122345816003</v>
      </c>
      <c r="E10" s="175">
        <v>9.5054131867374547E-2</v>
      </c>
      <c r="G10" s="220" t="s">
        <v>455</v>
      </c>
      <c r="H10" s="220"/>
      <c r="I10" s="220"/>
      <c r="J10" s="220"/>
      <c r="K10" s="234">
        <v>1470.9</v>
      </c>
    </row>
    <row r="11" spans="2:11" x14ac:dyDescent="0.3">
      <c r="B11" s="174">
        <v>43952</v>
      </c>
      <c r="C11" s="175">
        <v>636.31671100000005</v>
      </c>
      <c r="D11" s="175">
        <f t="shared" si="0"/>
        <v>-0.84433739641072336</v>
      </c>
      <c r="E11" s="175">
        <v>9.467785794843657E-2</v>
      </c>
    </row>
    <row r="12" spans="2:11" ht="15" thickBot="1" x14ac:dyDescent="0.35">
      <c r="B12" s="174">
        <v>45323</v>
      </c>
      <c r="C12" s="175">
        <v>1480.349976</v>
      </c>
      <c r="D12" s="175">
        <f t="shared" si="0"/>
        <v>0.66598370405674212</v>
      </c>
      <c r="E12" s="175">
        <v>9.1433471113544579E-2</v>
      </c>
    </row>
    <row r="13" spans="2:11" ht="15" thickBot="1" x14ac:dyDescent="0.35">
      <c r="B13" s="174">
        <v>44075</v>
      </c>
      <c r="C13" s="175">
        <v>760.55627400000003</v>
      </c>
      <c r="D13" s="175">
        <f t="shared" si="0"/>
        <v>-0.5745502329431974</v>
      </c>
      <c r="E13" s="175">
        <v>8.222341428059797E-2</v>
      </c>
      <c r="G13" s="235" t="s">
        <v>453</v>
      </c>
      <c r="H13" s="235" t="s">
        <v>458</v>
      </c>
      <c r="I13" s="235" t="s">
        <v>454</v>
      </c>
      <c r="J13" s="235" t="s">
        <v>456</v>
      </c>
      <c r="K13" s="235" t="s">
        <v>457</v>
      </c>
    </row>
    <row r="14" spans="2:11" x14ac:dyDescent="0.3">
      <c r="B14" s="174">
        <v>45292</v>
      </c>
      <c r="C14" s="175">
        <v>1351</v>
      </c>
      <c r="D14" s="175">
        <f t="shared" si="0"/>
        <v>7.1639935369226526E-2</v>
      </c>
      <c r="E14" s="175">
        <v>8.0665857811492089E-2</v>
      </c>
      <c r="G14" s="236">
        <v>0.05</v>
      </c>
      <c r="H14" s="236">
        <f>100%-G14</f>
        <v>0.95</v>
      </c>
      <c r="I14" s="71">
        <f>_xlfn.PERCENTILE.INC(E5:E53,G14)</f>
        <v>-8.1648896163835499E-2</v>
      </c>
      <c r="J14" s="237">
        <f>$K$10*(1-I14)</f>
        <v>1590.9973613673858</v>
      </c>
      <c r="K14" s="238">
        <f>$K$10-J14</f>
        <v>-120.0973613673857</v>
      </c>
    </row>
    <row r="15" spans="2:11" x14ac:dyDescent="0.3">
      <c r="B15" s="174">
        <v>45139</v>
      </c>
      <c r="C15" s="175">
        <v>1257.599976</v>
      </c>
      <c r="D15" s="175">
        <f t="shared" si="0"/>
        <v>0.12847321072476481</v>
      </c>
      <c r="E15" s="175">
        <v>7.6014621461806292E-2</v>
      </c>
      <c r="G15" s="239">
        <v>0.01</v>
      </c>
      <c r="H15" s="239">
        <f t="shared" ref="H15:H17" si="1">100%-G15</f>
        <v>0.99</v>
      </c>
      <c r="I15" s="240">
        <f>_xlfn.PERCENTILE.INC(E6:E54,G15)</f>
        <v>-0.11116260893518842</v>
      </c>
      <c r="J15" s="241">
        <f t="shared" ref="J15:J17" si="2">$K$10*(1-I15)</f>
        <v>1634.4090814827689</v>
      </c>
      <c r="K15" s="242">
        <f t="shared" ref="K15:K17" si="3">$K$10-J15</f>
        <v>-163.50908148276881</v>
      </c>
    </row>
    <row r="16" spans="2:11" x14ac:dyDescent="0.3">
      <c r="B16" s="174">
        <v>44805</v>
      </c>
      <c r="C16" s="175">
        <v>1105.9801030000001</v>
      </c>
      <c r="D16" s="175">
        <f t="shared" si="0"/>
        <v>0.1427758651490163</v>
      </c>
      <c r="E16" s="175">
        <v>7.5926644200610557E-2</v>
      </c>
      <c r="G16" s="239">
        <v>5.0000000000000001E-3</v>
      </c>
      <c r="H16" s="239">
        <f t="shared" si="1"/>
        <v>0.995</v>
      </c>
      <c r="I16" s="240">
        <f>_xlfn.PERCENTILE.INC(E7:E55,G16)</f>
        <v>-0.11366612226463096</v>
      </c>
      <c r="J16" s="241">
        <f t="shared" si="2"/>
        <v>1638.0914992390458</v>
      </c>
      <c r="K16" s="242">
        <f t="shared" si="3"/>
        <v>-167.1914992390457</v>
      </c>
    </row>
    <row r="17" spans="2:11" x14ac:dyDescent="0.3">
      <c r="B17" s="174">
        <v>44501</v>
      </c>
      <c r="C17" s="175">
        <v>958.82763699999998</v>
      </c>
      <c r="D17" s="175">
        <f t="shared" si="0"/>
        <v>-6.2606639915683245E-3</v>
      </c>
      <c r="E17" s="175">
        <v>7.0645122916231956E-2</v>
      </c>
      <c r="G17" s="239">
        <v>0.1</v>
      </c>
      <c r="H17" s="239">
        <f t="shared" si="1"/>
        <v>0.9</v>
      </c>
      <c r="I17" s="240">
        <f>_xlfn.PERCENTILE.INC(E8:E56,G17)</f>
        <v>-5.8004813669422839E-2</v>
      </c>
      <c r="J17" s="241">
        <f t="shared" si="2"/>
        <v>1556.2192804263543</v>
      </c>
      <c r="K17" s="242">
        <f t="shared" si="3"/>
        <v>-85.319280426354226</v>
      </c>
    </row>
    <row r="18" spans="2:11" x14ac:dyDescent="0.3">
      <c r="B18" s="174">
        <v>44743</v>
      </c>
      <c r="C18" s="175">
        <v>964.84936500000003</v>
      </c>
      <c r="D18" s="175">
        <f t="shared" si="0"/>
        <v>-4.2545043989883721E-2</v>
      </c>
      <c r="E18" s="175">
        <v>6.3570456431635183E-2</v>
      </c>
    </row>
    <row r="19" spans="2:11" x14ac:dyDescent="0.3">
      <c r="B19" s="174">
        <v>45078</v>
      </c>
      <c r="C19" s="175">
        <v>1006.784668</v>
      </c>
      <c r="D19" s="175">
        <f t="shared" si="0"/>
        <v>-1.8043512966953557E-2</v>
      </c>
      <c r="E19" s="175">
        <v>6.2927290741444666E-2</v>
      </c>
    </row>
    <row r="20" spans="2:11" x14ac:dyDescent="0.3">
      <c r="B20" s="174">
        <v>44774</v>
      </c>
      <c r="C20" s="175">
        <v>1025.1154790000001</v>
      </c>
      <c r="D20" s="175">
        <f t="shared" si="0"/>
        <v>0.90656278300816773</v>
      </c>
      <c r="E20" s="175">
        <v>6.0588556956837313E-2</v>
      </c>
    </row>
    <row r="21" spans="2:11" x14ac:dyDescent="0.3">
      <c r="B21" s="174">
        <v>43891</v>
      </c>
      <c r="C21" s="175">
        <v>414.05456500000003</v>
      </c>
      <c r="D21" s="175">
        <f t="shared" si="0"/>
        <v>-0.82559197929976935</v>
      </c>
      <c r="E21" s="175">
        <v>5.031668370533552E-2</v>
      </c>
    </row>
    <row r="22" spans="2:11" x14ac:dyDescent="0.3">
      <c r="B22" s="174">
        <v>45047</v>
      </c>
      <c r="C22" s="175">
        <v>945.38262899999995</v>
      </c>
      <c r="D22" s="175">
        <f t="shared" si="0"/>
        <v>-0.20286697719052224</v>
      </c>
      <c r="E22" s="175">
        <v>4.8367957155544351E-2</v>
      </c>
    </row>
    <row r="23" spans="2:11" x14ac:dyDescent="0.3">
      <c r="B23" s="174">
        <v>44835</v>
      </c>
      <c r="C23" s="175">
        <v>1158.0081789999999</v>
      </c>
      <c r="D23" s="175">
        <f t="shared" si="0"/>
        <v>0.17621222326016212</v>
      </c>
      <c r="E23" s="175">
        <v>4.596952928151337E-2</v>
      </c>
    </row>
    <row r="24" spans="2:11" x14ac:dyDescent="0.3">
      <c r="B24" s="174">
        <v>44440</v>
      </c>
      <c r="C24" s="175">
        <v>970.92040999999995</v>
      </c>
      <c r="D24" s="175">
        <f t="shared" si="0"/>
        <v>4.0892757415396164E-2</v>
      </c>
      <c r="E24" s="175">
        <v>4.2526816226515454E-2</v>
      </c>
    </row>
    <row r="25" spans="2:11" x14ac:dyDescent="0.3">
      <c r="B25" s="174">
        <v>44317</v>
      </c>
      <c r="C25" s="175">
        <v>932.01763900000003</v>
      </c>
      <c r="D25" s="175">
        <f t="shared" si="0"/>
        <v>0.15246676513977891</v>
      </c>
      <c r="E25" s="175">
        <v>4.1948387981272789E-2</v>
      </c>
    </row>
    <row r="26" spans="2:11" x14ac:dyDescent="0.3">
      <c r="B26" s="174">
        <v>44256</v>
      </c>
      <c r="C26" s="175">
        <v>800.21862799999997</v>
      </c>
      <c r="D26" s="175">
        <f t="shared" si="0"/>
        <v>-0.15083270632865958</v>
      </c>
      <c r="E26" s="175">
        <v>3.5018966756106898E-2</v>
      </c>
    </row>
    <row r="27" spans="2:11" x14ac:dyDescent="0.3">
      <c r="B27" s="174">
        <v>44409</v>
      </c>
      <c r="C27" s="175">
        <v>930.49591099999998</v>
      </c>
      <c r="D27" s="175">
        <f t="shared" si="0"/>
        <v>-0.29221679848766352</v>
      </c>
      <c r="E27" s="175">
        <v>2.9715405465360653E-2</v>
      </c>
    </row>
    <row r="28" spans="2:11" x14ac:dyDescent="0.3">
      <c r="B28" s="174">
        <v>45261</v>
      </c>
      <c r="C28" s="175">
        <v>1246.3000489999999</v>
      </c>
      <c r="D28" s="175">
        <f t="shared" si="0"/>
        <v>0.26710735769867622</v>
      </c>
      <c r="E28" s="175">
        <v>2.7659778977131774E-2</v>
      </c>
    </row>
    <row r="29" spans="2:11" x14ac:dyDescent="0.3">
      <c r="B29" s="174">
        <v>44348</v>
      </c>
      <c r="C29" s="175">
        <v>954.15594499999997</v>
      </c>
      <c r="D29" s="175">
        <f t="shared" si="0"/>
        <v>-2.6929211106783698E-2</v>
      </c>
      <c r="E29" s="175">
        <v>2.3475381977868016E-2</v>
      </c>
    </row>
    <row r="30" spans="2:11" x14ac:dyDescent="0.3">
      <c r="B30" s="174">
        <v>44682</v>
      </c>
      <c r="C30" s="175">
        <v>980.19970699999999</v>
      </c>
      <c r="D30" s="175">
        <f t="shared" si="0"/>
        <v>-0.2023205022192773</v>
      </c>
      <c r="E30" s="175">
        <v>1.1903998590965957E-2</v>
      </c>
    </row>
    <row r="31" spans="2:11" x14ac:dyDescent="0.3">
      <c r="B31" s="174">
        <v>45200</v>
      </c>
      <c r="C31" s="175">
        <v>1200</v>
      </c>
      <c r="D31" s="175">
        <f t="shared" si="0"/>
        <v>-1.019786539548336E-2</v>
      </c>
      <c r="E31" s="175">
        <v>1.1608768434189466E-2</v>
      </c>
    </row>
    <row r="32" spans="2:11" x14ac:dyDescent="0.3">
      <c r="B32" s="174">
        <v>45231</v>
      </c>
      <c r="C32" s="175">
        <v>1212.3000489999999</v>
      </c>
      <c r="D32" s="175">
        <f t="shared" si="0"/>
        <v>0.29705291436992048</v>
      </c>
      <c r="E32" s="175">
        <v>1.0197865395483299E-2</v>
      </c>
    </row>
    <row r="33" spans="2:5" x14ac:dyDescent="0.3">
      <c r="B33" s="174">
        <v>45017</v>
      </c>
      <c r="C33" s="175">
        <v>900.74462900000003</v>
      </c>
      <c r="D33" s="175">
        <f t="shared" si="0"/>
        <v>0.10517381485568987</v>
      </c>
      <c r="E33" s="175">
        <v>8.3492087523377601E-3</v>
      </c>
    </row>
    <row r="34" spans="2:5" x14ac:dyDescent="0.3">
      <c r="B34" s="174">
        <v>44197</v>
      </c>
      <c r="C34" s="175">
        <v>810.82153300000004</v>
      </c>
      <c r="D34" s="175">
        <f t="shared" si="0"/>
        <v>-0.14021297090827076</v>
      </c>
      <c r="E34" s="175">
        <v>7.2303358247845151E-3</v>
      </c>
    </row>
    <row r="35" spans="2:5" x14ac:dyDescent="0.3">
      <c r="B35" s="174">
        <v>44562</v>
      </c>
      <c r="C35" s="175">
        <v>932.86541699999998</v>
      </c>
      <c r="D35" s="175">
        <f t="shared" si="0"/>
        <v>4.3388364804918617E-2</v>
      </c>
      <c r="E35" s="175">
        <v>9.5281731462049254E-4</v>
      </c>
    </row>
    <row r="36" spans="2:5" x14ac:dyDescent="0.3">
      <c r="B36" s="174">
        <v>44986</v>
      </c>
      <c r="C36" s="175">
        <v>893.25543200000004</v>
      </c>
      <c r="D36" s="175">
        <f t="shared" si="0"/>
        <v>0.24304588731291349</v>
      </c>
      <c r="E36" s="175">
        <v>-6.5305504343107839E-3</v>
      </c>
    </row>
    <row r="37" spans="2:5" x14ac:dyDescent="0.3">
      <c r="B37" s="174">
        <v>44044</v>
      </c>
      <c r="C37" s="175">
        <v>700.52264400000001</v>
      </c>
      <c r="D37" s="175">
        <f t="shared" si="0"/>
        <v>-4.3936813517402439E-2</v>
      </c>
      <c r="E37" s="175">
        <v>-9.2071689315898417E-3</v>
      </c>
    </row>
    <row r="38" spans="2:5" x14ac:dyDescent="0.3">
      <c r="B38" s="174">
        <v>44136</v>
      </c>
      <c r="C38" s="175">
        <v>731.98754899999994</v>
      </c>
      <c r="D38" s="175">
        <f t="shared" si="0"/>
        <v>0.15233056286088489</v>
      </c>
      <c r="E38" s="175">
        <v>-1.1865982003269059E-2</v>
      </c>
    </row>
    <row r="39" spans="2:5" x14ac:dyDescent="0.3">
      <c r="B39" s="174">
        <v>43983</v>
      </c>
      <c r="C39" s="175">
        <v>628.56091300000003</v>
      </c>
      <c r="D39" s="175">
        <f t="shared" si="0"/>
        <v>-0.37349084049601511</v>
      </c>
      <c r="E39" s="175">
        <v>-1.2263471270099286E-2</v>
      </c>
    </row>
    <row r="40" spans="2:5" x14ac:dyDescent="0.3">
      <c r="B40" s="174">
        <v>44593</v>
      </c>
      <c r="C40" s="175">
        <v>913.17156999999997</v>
      </c>
      <c r="D40" s="175">
        <f t="shared" si="0"/>
        <v>-0.21347509660283989</v>
      </c>
      <c r="E40" s="175">
        <v>-2.1337160965299515E-2</v>
      </c>
    </row>
    <row r="41" spans="2:5" x14ac:dyDescent="0.3">
      <c r="B41" s="174">
        <v>44866</v>
      </c>
      <c r="C41" s="175">
        <v>1130.4814449999999</v>
      </c>
      <c r="D41" s="175">
        <f t="shared" si="0"/>
        <v>0.42276939223470106</v>
      </c>
      <c r="E41" s="175">
        <v>-2.405784265594528E-2</v>
      </c>
    </row>
    <row r="42" spans="2:5" x14ac:dyDescent="0.3">
      <c r="B42" s="174">
        <v>44105</v>
      </c>
      <c r="C42" s="175">
        <v>740.72503700000004</v>
      </c>
      <c r="D42" s="175">
        <f t="shared" si="0"/>
        <v>-0.22967863928254018</v>
      </c>
      <c r="E42" s="175">
        <v>-2.6420618759926573E-2</v>
      </c>
    </row>
    <row r="43" spans="2:5" x14ac:dyDescent="0.3">
      <c r="B43" s="174">
        <v>44531</v>
      </c>
      <c r="C43" s="175">
        <v>931.97699</v>
      </c>
      <c r="D43" s="175">
        <f t="shared" si="0"/>
        <v>-3.8544209426233537E-2</v>
      </c>
      <c r="E43" s="175">
        <v>-2.8403201177576436E-2</v>
      </c>
    </row>
    <row r="44" spans="2:5" x14ac:dyDescent="0.3">
      <c r="B44" s="174">
        <v>44652</v>
      </c>
      <c r="C44" s="175">
        <v>968.60058600000002</v>
      </c>
      <c r="D44" s="175">
        <f t="shared" si="0"/>
        <v>0.22598632638957183</v>
      </c>
      <c r="E44" s="175">
        <v>-3.6867953930209425E-2</v>
      </c>
    </row>
    <row r="45" spans="2:5" x14ac:dyDescent="0.3">
      <c r="B45" s="174">
        <v>44228</v>
      </c>
      <c r="C45" s="175">
        <v>772.68078600000001</v>
      </c>
      <c r="D45" s="175">
        <f t="shared" si="0"/>
        <v>-0.15613626761940605</v>
      </c>
      <c r="E45" s="175">
        <v>-4.8181963369687879E-2</v>
      </c>
    </row>
    <row r="46" spans="2:5" x14ac:dyDescent="0.3">
      <c r="B46" s="174">
        <v>44378</v>
      </c>
      <c r="C46" s="175">
        <v>903.25262499999997</v>
      </c>
      <c r="D46" s="175">
        <f t="shared" si="0"/>
        <v>-0.11146617482662477</v>
      </c>
      <c r="E46" s="175">
        <v>-5.4824846254347907E-2</v>
      </c>
    </row>
    <row r="47" spans="2:5" x14ac:dyDescent="0.3">
      <c r="B47" s="174">
        <v>44927</v>
      </c>
      <c r="C47" s="175">
        <v>1009.760498</v>
      </c>
      <c r="D47" s="175">
        <f t="shared" si="0"/>
        <v>-5.541313537969289E-2</v>
      </c>
      <c r="E47" s="175">
        <v>-5.541313537969289E-2</v>
      </c>
    </row>
    <row r="48" spans="2:5" x14ac:dyDescent="0.3">
      <c r="B48" s="174">
        <v>44896</v>
      </c>
      <c r="C48" s="175">
        <v>1067.293823</v>
      </c>
      <c r="D48" s="175">
        <f t="shared" si="0"/>
        <v>-0.10558648093990164</v>
      </c>
      <c r="E48" s="175">
        <v>-5.7517292089775386E-2</v>
      </c>
    </row>
    <row r="49" spans="2:11" x14ac:dyDescent="0.3">
      <c r="B49" s="174">
        <v>45170</v>
      </c>
      <c r="C49" s="175">
        <v>1186.150024</v>
      </c>
      <c r="D49" s="175">
        <f t="shared" si="0"/>
        <v>0.27006653306477746</v>
      </c>
      <c r="E49" s="175">
        <v>-5.8492335249070299E-2</v>
      </c>
    </row>
    <row r="50" spans="2:11" x14ac:dyDescent="0.3">
      <c r="B50" s="174">
        <v>44713</v>
      </c>
      <c r="C50" s="175">
        <v>905.42236300000002</v>
      </c>
      <c r="D50" s="175">
        <f t="shared" si="0"/>
        <v>1.333533047616522E-2</v>
      </c>
      <c r="E50" s="175">
        <v>-7.9354799279689775E-2</v>
      </c>
    </row>
    <row r="51" spans="2:11" x14ac:dyDescent="0.3">
      <c r="B51" s="174">
        <v>44470</v>
      </c>
      <c r="C51" s="175">
        <v>893.428406</v>
      </c>
      <c r="D51" s="175">
        <f t="shared" si="0"/>
        <v>0.81938512284886567</v>
      </c>
      <c r="E51" s="175">
        <v>-8.3178294086599311E-2</v>
      </c>
    </row>
    <row r="52" spans="2:11" x14ac:dyDescent="0.3">
      <c r="B52" s="174">
        <v>43862</v>
      </c>
      <c r="C52" s="175">
        <v>393.736176</v>
      </c>
      <c r="D52" s="175">
        <f t="shared" si="0"/>
        <v>-0.82572204753153355</v>
      </c>
      <c r="E52" s="175">
        <v>-0.10563401699933615</v>
      </c>
    </row>
    <row r="53" spans="2:11" x14ac:dyDescent="0.3">
      <c r="B53" s="174">
        <v>44958</v>
      </c>
      <c r="C53" s="175">
        <v>899.10797100000002</v>
      </c>
      <c r="D53" s="175">
        <f>C53/C52-1</f>
        <v>1.2835289866786335</v>
      </c>
      <c r="E53" s="175">
        <v>-0.11606532253868006</v>
      </c>
    </row>
    <row r="54" spans="2:11" x14ac:dyDescent="0.3">
      <c r="B54" s="174"/>
      <c r="C54" s="175"/>
      <c r="D54" s="175"/>
      <c r="E54" s="175"/>
    </row>
    <row r="55" spans="2:11" ht="6.6" customHeight="1" x14ac:dyDescent="0.3">
      <c r="B55" s="283"/>
      <c r="C55" s="283"/>
      <c r="D55" s="283"/>
      <c r="E55" s="283"/>
      <c r="F55" s="283"/>
      <c r="G55" s="283"/>
      <c r="H55" s="283"/>
      <c r="I55" s="283"/>
      <c r="J55" s="283"/>
      <c r="K55" s="283"/>
    </row>
    <row r="56" spans="2:11" x14ac:dyDescent="0.3">
      <c r="B56" s="174"/>
      <c r="C56" s="175"/>
      <c r="D56" s="175"/>
      <c r="E56" s="175"/>
    </row>
    <row r="57" spans="2:11" x14ac:dyDescent="0.3">
      <c r="B57" s="174"/>
      <c r="C57" s="175"/>
      <c r="D57" s="175"/>
      <c r="E57" s="175"/>
    </row>
    <row r="58" spans="2:11" x14ac:dyDescent="0.3">
      <c r="B58" s="174"/>
      <c r="C58" s="175"/>
      <c r="D58" s="175"/>
      <c r="E58" s="175"/>
    </row>
    <row r="59" spans="2:11" x14ac:dyDescent="0.3">
      <c r="B59" s="174"/>
      <c r="C59" s="175"/>
      <c r="D59" s="175"/>
      <c r="E59" s="175"/>
    </row>
    <row r="60" spans="2:11" x14ac:dyDescent="0.3">
      <c r="B60" s="174"/>
      <c r="C60" s="175"/>
      <c r="D60" s="175"/>
      <c r="E60" s="175"/>
    </row>
    <row r="61" spans="2:11" x14ac:dyDescent="0.3">
      <c r="B61" s="174"/>
      <c r="C61" s="175"/>
      <c r="D61" s="175"/>
      <c r="E61" s="175"/>
    </row>
    <row r="62" spans="2:11" x14ac:dyDescent="0.3">
      <c r="B62" s="174"/>
      <c r="C62" s="175"/>
      <c r="D62" s="175"/>
      <c r="E62" s="175"/>
    </row>
    <row r="63" spans="2:11" x14ac:dyDescent="0.3">
      <c r="B63" s="174"/>
      <c r="C63" s="175"/>
      <c r="D63" s="175"/>
      <c r="E63" s="175"/>
    </row>
    <row r="64" spans="2:11" x14ac:dyDescent="0.3">
      <c r="B64" s="174"/>
      <c r="C64" s="175"/>
      <c r="D64" s="175"/>
      <c r="E64" s="175"/>
    </row>
    <row r="65" spans="2:5" x14ac:dyDescent="0.3">
      <c r="B65" s="174"/>
      <c r="C65" s="175"/>
      <c r="D65" s="175"/>
      <c r="E65" s="175"/>
    </row>
    <row r="66" spans="2:5" x14ac:dyDescent="0.3">
      <c r="B66" s="174"/>
      <c r="C66" s="175"/>
      <c r="D66" s="175"/>
      <c r="E66" s="175"/>
    </row>
    <row r="67" spans="2:5" x14ac:dyDescent="0.3">
      <c r="B67" s="174"/>
      <c r="C67" s="175"/>
      <c r="D67" s="175"/>
      <c r="E67" s="175"/>
    </row>
    <row r="68" spans="2:5" x14ac:dyDescent="0.3">
      <c r="B68" s="174"/>
      <c r="C68" s="175"/>
      <c r="D68" s="175"/>
      <c r="E68" s="175"/>
    </row>
    <row r="69" spans="2:5" x14ac:dyDescent="0.3">
      <c r="B69" s="174"/>
      <c r="C69" s="175"/>
      <c r="D69" s="175"/>
      <c r="E69" s="175"/>
    </row>
    <row r="70" spans="2:5" x14ac:dyDescent="0.3">
      <c r="B70" s="174"/>
      <c r="C70" s="175"/>
      <c r="D70" s="175"/>
      <c r="E70" s="175"/>
    </row>
    <row r="71" spans="2:5" x14ac:dyDescent="0.3">
      <c r="B71" s="174"/>
      <c r="C71" s="175"/>
      <c r="D71" s="175"/>
      <c r="E71" s="175"/>
    </row>
    <row r="72" spans="2:5" x14ac:dyDescent="0.3">
      <c r="B72" s="174"/>
      <c r="C72" s="175"/>
      <c r="D72" s="175"/>
      <c r="E72" s="175"/>
    </row>
    <row r="73" spans="2:5" x14ac:dyDescent="0.3">
      <c r="B73" s="174"/>
      <c r="C73" s="175"/>
      <c r="D73" s="175"/>
      <c r="E73" s="175"/>
    </row>
    <row r="74" spans="2:5" x14ac:dyDescent="0.3">
      <c r="B74" s="174"/>
      <c r="C74" s="175"/>
      <c r="D74" s="175"/>
      <c r="E74" s="175"/>
    </row>
    <row r="75" spans="2:5" x14ac:dyDescent="0.3">
      <c r="B75" s="174"/>
      <c r="C75" s="175"/>
      <c r="D75" s="175"/>
      <c r="E75" s="175"/>
    </row>
    <row r="76" spans="2:5" x14ac:dyDescent="0.3">
      <c r="B76" s="174"/>
      <c r="C76" s="175"/>
      <c r="D76" s="175"/>
      <c r="E76" s="175"/>
    </row>
    <row r="77" spans="2:5" x14ac:dyDescent="0.3">
      <c r="B77" s="174"/>
      <c r="C77" s="175"/>
      <c r="D77" s="175"/>
      <c r="E77" s="175"/>
    </row>
    <row r="78" spans="2:5" x14ac:dyDescent="0.3">
      <c r="B78" s="174"/>
      <c r="C78" s="175"/>
      <c r="D78" s="175"/>
      <c r="E78" s="175"/>
    </row>
    <row r="79" spans="2:5" x14ac:dyDescent="0.3">
      <c r="B79" s="174"/>
      <c r="C79" s="175"/>
      <c r="D79" s="175"/>
      <c r="E79" s="175"/>
    </row>
    <row r="80" spans="2:5" x14ac:dyDescent="0.3">
      <c r="B80" s="174"/>
      <c r="C80" s="175"/>
      <c r="D80" s="175"/>
      <c r="E80" s="175"/>
    </row>
    <row r="81" spans="2:5" x14ac:dyDescent="0.3">
      <c r="B81" s="174"/>
      <c r="C81" s="175"/>
      <c r="D81" s="175"/>
      <c r="E81" s="175"/>
    </row>
    <row r="82" spans="2:5" x14ac:dyDescent="0.3">
      <c r="B82" s="174"/>
      <c r="C82" s="175"/>
      <c r="D82" s="175"/>
      <c r="E82" s="175"/>
    </row>
    <row r="83" spans="2:5" x14ac:dyDescent="0.3">
      <c r="B83" s="174"/>
      <c r="C83" s="175"/>
      <c r="D83" s="175"/>
      <c r="E83" s="175"/>
    </row>
    <row r="84" spans="2:5" x14ac:dyDescent="0.3">
      <c r="B84" s="174"/>
      <c r="C84" s="175"/>
      <c r="D84" s="175"/>
      <c r="E84" s="175"/>
    </row>
    <row r="85" spans="2:5" x14ac:dyDescent="0.3">
      <c r="B85" s="174"/>
      <c r="C85" s="175"/>
      <c r="D85" s="175"/>
      <c r="E85" s="175"/>
    </row>
    <row r="86" spans="2:5" x14ac:dyDescent="0.3">
      <c r="B86" s="174"/>
      <c r="C86" s="175"/>
      <c r="D86" s="175"/>
      <c r="E86" s="175"/>
    </row>
    <row r="87" spans="2:5" x14ac:dyDescent="0.3">
      <c r="B87" s="174"/>
      <c r="C87" s="175"/>
      <c r="D87" s="175"/>
      <c r="E87" s="175"/>
    </row>
    <row r="88" spans="2:5" x14ac:dyDescent="0.3">
      <c r="B88" s="174"/>
      <c r="C88" s="175"/>
      <c r="D88" s="175"/>
      <c r="E88" s="175"/>
    </row>
    <row r="89" spans="2:5" x14ac:dyDescent="0.3">
      <c r="B89" s="174"/>
      <c r="C89" s="175"/>
      <c r="D89" s="175"/>
      <c r="E89" s="175"/>
    </row>
    <row r="90" spans="2:5" x14ac:dyDescent="0.3">
      <c r="B90" s="174"/>
      <c r="C90" s="175"/>
      <c r="D90" s="175"/>
      <c r="E90" s="175"/>
    </row>
    <row r="91" spans="2:5" x14ac:dyDescent="0.3">
      <c r="B91" s="174"/>
      <c r="C91" s="175"/>
      <c r="D91" s="175"/>
      <c r="E91" s="175"/>
    </row>
    <row r="92" spans="2:5" x14ac:dyDescent="0.3">
      <c r="B92" s="174"/>
      <c r="C92" s="175"/>
      <c r="D92" s="175"/>
      <c r="E92" s="175"/>
    </row>
    <row r="93" spans="2:5" x14ac:dyDescent="0.3">
      <c r="B93" s="174"/>
      <c r="C93" s="175"/>
      <c r="D93" s="175"/>
      <c r="E93" s="175"/>
    </row>
    <row r="94" spans="2:5" x14ac:dyDescent="0.3">
      <c r="B94" s="174"/>
      <c r="C94" s="175"/>
      <c r="D94" s="175"/>
      <c r="E94" s="175"/>
    </row>
    <row r="95" spans="2:5" x14ac:dyDescent="0.3">
      <c r="B95" s="174"/>
      <c r="C95" s="175"/>
      <c r="D95" s="175"/>
      <c r="E95" s="175"/>
    </row>
    <row r="96" spans="2:5" x14ac:dyDescent="0.3">
      <c r="B96" s="174"/>
      <c r="C96" s="175"/>
      <c r="D96" s="175"/>
      <c r="E96" s="175"/>
    </row>
    <row r="97" spans="2:5" x14ac:dyDescent="0.3">
      <c r="B97" s="174"/>
      <c r="C97" s="175"/>
      <c r="D97" s="175"/>
      <c r="E97" s="175"/>
    </row>
    <row r="98" spans="2:5" x14ac:dyDescent="0.3">
      <c r="B98" s="174"/>
      <c r="C98" s="175"/>
      <c r="D98" s="175"/>
      <c r="E98" s="175"/>
    </row>
    <row r="99" spans="2:5" x14ac:dyDescent="0.3">
      <c r="B99" s="174"/>
      <c r="C99" s="175"/>
      <c r="D99" s="175"/>
      <c r="E99" s="175"/>
    </row>
    <row r="100" spans="2:5" x14ac:dyDescent="0.3">
      <c r="B100" s="174"/>
      <c r="C100" s="175"/>
      <c r="D100" s="175"/>
      <c r="E100" s="175"/>
    </row>
    <row r="101" spans="2:5" x14ac:dyDescent="0.3">
      <c r="B101" s="174"/>
      <c r="C101" s="175"/>
      <c r="D101" s="175"/>
      <c r="E101" s="175"/>
    </row>
    <row r="102" spans="2:5" x14ac:dyDescent="0.3">
      <c r="B102" s="174"/>
      <c r="C102" s="175"/>
      <c r="D102" s="175"/>
      <c r="E102" s="175"/>
    </row>
    <row r="103" spans="2:5" x14ac:dyDescent="0.3">
      <c r="B103" s="174"/>
      <c r="C103" s="175"/>
      <c r="D103" s="175"/>
      <c r="E103" s="175"/>
    </row>
    <row r="104" spans="2:5" x14ac:dyDescent="0.3">
      <c r="B104" s="174"/>
      <c r="C104" s="175"/>
      <c r="D104" s="175"/>
      <c r="E104" s="175"/>
    </row>
    <row r="105" spans="2:5" x14ac:dyDescent="0.3">
      <c r="B105" s="174"/>
      <c r="C105" s="175"/>
      <c r="D105" s="175"/>
      <c r="E105" s="175"/>
    </row>
    <row r="106" spans="2:5" x14ac:dyDescent="0.3">
      <c r="B106" s="174"/>
      <c r="C106" s="175"/>
      <c r="D106" s="175"/>
      <c r="E106" s="175"/>
    </row>
    <row r="107" spans="2:5" x14ac:dyDescent="0.3">
      <c r="B107" s="174"/>
      <c r="C107" s="175"/>
      <c r="D107" s="175"/>
      <c r="E107" s="175"/>
    </row>
    <row r="108" spans="2:5" x14ac:dyDescent="0.3">
      <c r="B108" s="174"/>
      <c r="C108" s="175"/>
      <c r="D108" s="175"/>
      <c r="E108" s="175"/>
    </row>
    <row r="109" spans="2:5" x14ac:dyDescent="0.3">
      <c r="B109" s="174"/>
      <c r="C109" s="175"/>
      <c r="D109" s="175"/>
      <c r="E109" s="175"/>
    </row>
    <row r="110" spans="2:5" x14ac:dyDescent="0.3">
      <c r="B110" s="174"/>
      <c r="C110" s="175"/>
      <c r="D110" s="175"/>
      <c r="E110" s="175"/>
    </row>
    <row r="111" spans="2:5" x14ac:dyDescent="0.3">
      <c r="B111" s="174"/>
      <c r="C111" s="175"/>
      <c r="D111" s="175"/>
      <c r="E111" s="175"/>
    </row>
    <row r="112" spans="2:5" x14ac:dyDescent="0.3">
      <c r="B112" s="174"/>
      <c r="C112" s="175"/>
      <c r="D112" s="175"/>
      <c r="E112" s="175"/>
    </row>
    <row r="113" spans="2:5" x14ac:dyDescent="0.3">
      <c r="B113" s="174"/>
      <c r="C113" s="175"/>
      <c r="D113" s="175"/>
      <c r="E113" s="175"/>
    </row>
    <row r="114" spans="2:5" x14ac:dyDescent="0.3">
      <c r="B114" s="174"/>
      <c r="C114" s="175"/>
      <c r="D114" s="175"/>
      <c r="E114" s="175"/>
    </row>
    <row r="115" spans="2:5" x14ac:dyDescent="0.3">
      <c r="B115" s="174"/>
      <c r="C115" s="175"/>
      <c r="D115" s="175"/>
      <c r="E115" s="175"/>
    </row>
    <row r="116" spans="2:5" x14ac:dyDescent="0.3">
      <c r="B116" s="174"/>
      <c r="C116" s="175"/>
      <c r="D116" s="175"/>
      <c r="E116" s="175"/>
    </row>
    <row r="117" spans="2:5" x14ac:dyDescent="0.3">
      <c r="B117" s="174"/>
      <c r="C117" s="175"/>
      <c r="D117" s="175"/>
      <c r="E117" s="175"/>
    </row>
    <row r="118" spans="2:5" x14ac:dyDescent="0.3">
      <c r="B118" s="174"/>
      <c r="C118" s="175"/>
      <c r="D118" s="175"/>
      <c r="E118" s="175"/>
    </row>
    <row r="119" spans="2:5" x14ac:dyDescent="0.3">
      <c r="B119" s="174"/>
      <c r="C119" s="175"/>
      <c r="D119" s="175"/>
      <c r="E119" s="175"/>
    </row>
    <row r="120" spans="2:5" x14ac:dyDescent="0.3">
      <c r="B120" s="174"/>
      <c r="C120" s="175"/>
      <c r="D120" s="175"/>
      <c r="E120" s="175"/>
    </row>
    <row r="121" spans="2:5" x14ac:dyDescent="0.3">
      <c r="B121" s="174"/>
      <c r="C121" s="175"/>
      <c r="D121" s="175"/>
      <c r="E121" s="175"/>
    </row>
    <row r="122" spans="2:5" x14ac:dyDescent="0.3">
      <c r="B122" s="174"/>
      <c r="C122" s="175"/>
      <c r="D122" s="175"/>
      <c r="E122" s="175"/>
    </row>
    <row r="123" spans="2:5" x14ac:dyDescent="0.3">
      <c r="B123" s="174"/>
      <c r="C123" s="175"/>
      <c r="D123" s="175"/>
      <c r="E123" s="175"/>
    </row>
    <row r="124" spans="2:5" x14ac:dyDescent="0.3">
      <c r="B124" s="174"/>
      <c r="C124" s="175"/>
      <c r="D124" s="175"/>
      <c r="E124" s="175"/>
    </row>
    <row r="125" spans="2:5" x14ac:dyDescent="0.3">
      <c r="B125" s="174"/>
      <c r="C125" s="175"/>
      <c r="D125" s="175"/>
      <c r="E125" s="175"/>
    </row>
    <row r="126" spans="2:5" x14ac:dyDescent="0.3">
      <c r="B126" s="174"/>
      <c r="C126" s="175"/>
      <c r="D126" s="175"/>
      <c r="E126" s="175"/>
    </row>
    <row r="127" spans="2:5" x14ac:dyDescent="0.3">
      <c r="B127" s="174"/>
      <c r="C127" s="175"/>
      <c r="D127" s="175"/>
      <c r="E127" s="175"/>
    </row>
    <row r="128" spans="2:5" x14ac:dyDescent="0.3">
      <c r="B128" s="174"/>
      <c r="C128" s="175"/>
      <c r="D128" s="175"/>
      <c r="E128" s="175"/>
    </row>
    <row r="129" spans="2:5" x14ac:dyDescent="0.3">
      <c r="B129" s="174"/>
      <c r="C129" s="175"/>
      <c r="D129" s="175"/>
      <c r="E129" s="175"/>
    </row>
    <row r="130" spans="2:5" x14ac:dyDescent="0.3">
      <c r="B130" s="174"/>
      <c r="C130" s="175"/>
      <c r="D130" s="175"/>
      <c r="E130" s="175"/>
    </row>
    <row r="131" spans="2:5" x14ac:dyDescent="0.3">
      <c r="B131" s="174"/>
      <c r="C131" s="175"/>
      <c r="D131" s="175"/>
      <c r="E131" s="175"/>
    </row>
    <row r="132" spans="2:5" x14ac:dyDescent="0.3">
      <c r="B132" s="174"/>
      <c r="C132" s="175"/>
      <c r="D132" s="175"/>
      <c r="E132" s="175"/>
    </row>
    <row r="133" spans="2:5" x14ac:dyDescent="0.3">
      <c r="B133" s="174"/>
      <c r="C133" s="175"/>
      <c r="D133" s="175"/>
      <c r="E133" s="175"/>
    </row>
    <row r="134" spans="2:5" x14ac:dyDescent="0.3">
      <c r="B134" s="174"/>
      <c r="C134" s="175"/>
      <c r="D134" s="175"/>
      <c r="E134" s="175"/>
    </row>
    <row r="135" spans="2:5" x14ac:dyDescent="0.3">
      <c r="B135" s="174"/>
      <c r="C135" s="175"/>
      <c r="D135" s="175"/>
      <c r="E135" s="175"/>
    </row>
    <row r="136" spans="2:5" x14ac:dyDescent="0.3">
      <c r="B136" s="174"/>
      <c r="C136" s="175"/>
      <c r="D136" s="175"/>
      <c r="E136" s="175"/>
    </row>
    <row r="137" spans="2:5" x14ac:dyDescent="0.3">
      <c r="B137" s="174"/>
      <c r="C137" s="175"/>
      <c r="D137" s="175"/>
      <c r="E137" s="175"/>
    </row>
    <row r="138" spans="2:5" x14ac:dyDescent="0.3">
      <c r="B138" s="174"/>
      <c r="C138" s="175"/>
      <c r="D138" s="175"/>
      <c r="E138" s="175"/>
    </row>
    <row r="139" spans="2:5" x14ac:dyDescent="0.3">
      <c r="B139" s="174"/>
      <c r="C139" s="175"/>
      <c r="D139" s="175"/>
      <c r="E139" s="175"/>
    </row>
    <row r="140" spans="2:5" x14ac:dyDescent="0.3">
      <c r="B140" s="174"/>
      <c r="C140" s="175"/>
      <c r="D140" s="175"/>
      <c r="E140" s="175"/>
    </row>
    <row r="141" spans="2:5" x14ac:dyDescent="0.3">
      <c r="B141" s="174"/>
      <c r="C141" s="175"/>
      <c r="D141" s="175"/>
      <c r="E141" s="175"/>
    </row>
    <row r="142" spans="2:5" x14ac:dyDescent="0.3">
      <c r="B142" s="174"/>
      <c r="C142" s="175"/>
      <c r="D142" s="175"/>
      <c r="E142" s="175"/>
    </row>
    <row r="143" spans="2:5" x14ac:dyDescent="0.3">
      <c r="B143" s="174"/>
      <c r="C143" s="175"/>
      <c r="D143" s="175"/>
      <c r="E143" s="175"/>
    </row>
    <row r="144" spans="2:5" x14ac:dyDescent="0.3">
      <c r="B144" s="174"/>
      <c r="C144" s="175"/>
      <c r="D144" s="175"/>
      <c r="E144" s="175"/>
    </row>
    <row r="145" spans="2:5" x14ac:dyDescent="0.3">
      <c r="B145" s="174"/>
      <c r="C145" s="175"/>
      <c r="D145" s="175"/>
      <c r="E145" s="175"/>
    </row>
    <row r="146" spans="2:5" x14ac:dyDescent="0.3">
      <c r="B146" s="174"/>
      <c r="C146" s="175"/>
      <c r="D146" s="175"/>
      <c r="E146" s="175"/>
    </row>
    <row r="147" spans="2:5" x14ac:dyDescent="0.3">
      <c r="B147" s="174"/>
      <c r="C147" s="175"/>
      <c r="D147" s="175"/>
      <c r="E147" s="175"/>
    </row>
    <row r="148" spans="2:5" x14ac:dyDescent="0.3">
      <c r="B148" s="174"/>
      <c r="C148" s="175"/>
      <c r="D148" s="175"/>
      <c r="E148" s="175"/>
    </row>
    <row r="149" spans="2:5" x14ac:dyDescent="0.3">
      <c r="B149" s="174"/>
      <c r="C149" s="175"/>
      <c r="D149" s="175"/>
      <c r="E149" s="175"/>
    </row>
    <row r="150" spans="2:5" x14ac:dyDescent="0.3">
      <c r="B150" s="174"/>
      <c r="C150" s="175"/>
      <c r="D150" s="175"/>
      <c r="E150" s="175"/>
    </row>
    <row r="151" spans="2:5" x14ac:dyDescent="0.3">
      <c r="B151" s="174"/>
      <c r="C151" s="175"/>
      <c r="D151" s="175"/>
      <c r="E151" s="175"/>
    </row>
    <row r="152" spans="2:5" x14ac:dyDescent="0.3">
      <c r="B152" s="174"/>
      <c r="C152" s="175"/>
      <c r="D152" s="175"/>
      <c r="E152" s="175"/>
    </row>
    <row r="153" spans="2:5" x14ac:dyDescent="0.3">
      <c r="B153" s="174"/>
      <c r="C153" s="175"/>
      <c r="D153" s="175"/>
      <c r="E153" s="175"/>
    </row>
    <row r="154" spans="2:5" x14ac:dyDescent="0.3">
      <c r="B154" s="174"/>
      <c r="C154" s="175"/>
      <c r="D154" s="175"/>
      <c r="E154" s="175"/>
    </row>
    <row r="155" spans="2:5" x14ac:dyDescent="0.3">
      <c r="B155" s="174"/>
      <c r="C155" s="175"/>
      <c r="D155" s="175"/>
      <c r="E155" s="175"/>
    </row>
    <row r="156" spans="2:5" x14ac:dyDescent="0.3">
      <c r="B156" s="174"/>
      <c r="C156" s="175"/>
      <c r="D156" s="175"/>
      <c r="E156" s="175"/>
    </row>
    <row r="157" spans="2:5" x14ac:dyDescent="0.3">
      <c r="B157" s="174"/>
      <c r="C157" s="175"/>
      <c r="D157" s="175"/>
      <c r="E157" s="175"/>
    </row>
    <row r="158" spans="2:5" x14ac:dyDescent="0.3">
      <c r="B158" s="174"/>
      <c r="C158" s="175"/>
      <c r="D158" s="175"/>
      <c r="E158" s="175"/>
    </row>
    <row r="159" spans="2:5" x14ac:dyDescent="0.3">
      <c r="B159" s="174"/>
      <c r="C159" s="175"/>
      <c r="D159" s="175"/>
      <c r="E159" s="175"/>
    </row>
    <row r="160" spans="2:5" x14ac:dyDescent="0.3">
      <c r="B160" s="174"/>
      <c r="C160" s="175"/>
      <c r="D160" s="175"/>
      <c r="E160" s="175"/>
    </row>
    <row r="161" spans="2:5" x14ac:dyDescent="0.3">
      <c r="B161" s="174"/>
      <c r="C161" s="175"/>
      <c r="D161" s="175"/>
      <c r="E161" s="175"/>
    </row>
    <row r="162" spans="2:5" x14ac:dyDescent="0.3">
      <c r="B162" s="174"/>
      <c r="C162" s="175"/>
      <c r="D162" s="175"/>
      <c r="E162" s="175"/>
    </row>
    <row r="163" spans="2:5" x14ac:dyDescent="0.3">
      <c r="B163" s="174"/>
      <c r="C163" s="175"/>
      <c r="D163" s="175"/>
      <c r="E163" s="175"/>
    </row>
    <row r="164" spans="2:5" x14ac:dyDescent="0.3">
      <c r="B164" s="174"/>
      <c r="C164" s="175"/>
      <c r="D164" s="175"/>
      <c r="E164" s="175"/>
    </row>
    <row r="165" spans="2:5" x14ac:dyDescent="0.3">
      <c r="B165" s="174"/>
      <c r="C165" s="175"/>
      <c r="D165" s="175"/>
      <c r="E165" s="175"/>
    </row>
    <row r="166" spans="2:5" x14ac:dyDescent="0.3">
      <c r="B166" s="174"/>
      <c r="C166" s="175"/>
      <c r="D166" s="175"/>
      <c r="E166" s="175"/>
    </row>
    <row r="167" spans="2:5" x14ac:dyDescent="0.3">
      <c r="B167" s="174"/>
      <c r="C167" s="175"/>
      <c r="D167" s="175"/>
      <c r="E167" s="175"/>
    </row>
    <row r="168" spans="2:5" x14ac:dyDescent="0.3">
      <c r="B168" s="174"/>
      <c r="C168" s="175"/>
      <c r="D168" s="175"/>
      <c r="E168" s="175"/>
    </row>
    <row r="169" spans="2:5" x14ac:dyDescent="0.3">
      <c r="B169" s="174"/>
      <c r="C169" s="175"/>
      <c r="D169" s="175"/>
      <c r="E169" s="175"/>
    </row>
    <row r="170" spans="2:5" x14ac:dyDescent="0.3">
      <c r="B170" s="174"/>
      <c r="C170" s="175"/>
      <c r="D170" s="175"/>
      <c r="E170" s="175"/>
    </row>
    <row r="171" spans="2:5" x14ac:dyDescent="0.3">
      <c r="B171" s="174"/>
      <c r="C171" s="175"/>
      <c r="D171" s="175"/>
      <c r="E171" s="175"/>
    </row>
    <row r="172" spans="2:5" x14ac:dyDescent="0.3">
      <c r="B172" s="174"/>
      <c r="C172" s="175"/>
      <c r="D172" s="175"/>
      <c r="E172" s="175"/>
    </row>
    <row r="173" spans="2:5" x14ac:dyDescent="0.3">
      <c r="B173" s="174"/>
      <c r="C173" s="175"/>
      <c r="D173" s="175"/>
      <c r="E173" s="175"/>
    </row>
    <row r="174" spans="2:5" x14ac:dyDescent="0.3">
      <c r="B174" s="174"/>
      <c r="C174" s="175"/>
      <c r="D174" s="175"/>
      <c r="E174" s="175"/>
    </row>
    <row r="175" spans="2:5" x14ac:dyDescent="0.3">
      <c r="B175" s="174"/>
      <c r="C175" s="175"/>
      <c r="D175" s="175"/>
      <c r="E175" s="175"/>
    </row>
    <row r="176" spans="2:5" x14ac:dyDescent="0.3">
      <c r="B176" s="174"/>
      <c r="C176" s="175"/>
      <c r="D176" s="175"/>
      <c r="E176" s="175"/>
    </row>
    <row r="177" spans="2:5" x14ac:dyDescent="0.3">
      <c r="B177" s="174"/>
      <c r="C177" s="175"/>
      <c r="D177" s="175"/>
      <c r="E177" s="175"/>
    </row>
    <row r="178" spans="2:5" x14ac:dyDescent="0.3">
      <c r="B178" s="174"/>
      <c r="C178" s="175"/>
      <c r="D178" s="175"/>
      <c r="E178" s="175"/>
    </row>
    <row r="179" spans="2:5" x14ac:dyDescent="0.3">
      <c r="B179" s="174"/>
      <c r="C179" s="175"/>
      <c r="D179" s="175"/>
      <c r="E179" s="175"/>
    </row>
    <row r="180" spans="2:5" x14ac:dyDescent="0.3">
      <c r="B180" s="174"/>
      <c r="C180" s="175"/>
      <c r="D180" s="175"/>
      <c r="E180" s="175"/>
    </row>
    <row r="181" spans="2:5" x14ac:dyDescent="0.3">
      <c r="B181" s="174"/>
      <c r="C181" s="175"/>
      <c r="D181" s="175"/>
      <c r="E181" s="175"/>
    </row>
    <row r="182" spans="2:5" x14ac:dyDescent="0.3">
      <c r="B182" s="174"/>
      <c r="C182" s="175"/>
      <c r="D182" s="175"/>
      <c r="E182" s="175"/>
    </row>
    <row r="183" spans="2:5" x14ac:dyDescent="0.3">
      <c r="B183" s="174"/>
      <c r="C183" s="175"/>
      <c r="D183" s="175"/>
      <c r="E183" s="175"/>
    </row>
    <row r="184" spans="2:5" x14ac:dyDescent="0.3">
      <c r="B184" s="174"/>
      <c r="C184" s="175"/>
      <c r="D184" s="175"/>
      <c r="E184" s="175"/>
    </row>
    <row r="185" spans="2:5" x14ac:dyDescent="0.3">
      <c r="B185" s="174"/>
      <c r="C185" s="175"/>
      <c r="D185" s="175"/>
      <c r="E185" s="175"/>
    </row>
    <row r="186" spans="2:5" x14ac:dyDescent="0.3">
      <c r="B186" s="174"/>
      <c r="C186" s="175"/>
      <c r="D186" s="175"/>
      <c r="E186" s="175"/>
    </row>
    <row r="187" spans="2:5" x14ac:dyDescent="0.3">
      <c r="B187" s="174"/>
      <c r="C187" s="175"/>
      <c r="D187" s="175"/>
      <c r="E187" s="175"/>
    </row>
    <row r="188" spans="2:5" x14ac:dyDescent="0.3">
      <c r="B188" s="174"/>
      <c r="C188" s="175"/>
      <c r="D188" s="175"/>
      <c r="E188" s="175"/>
    </row>
    <row r="189" spans="2:5" x14ac:dyDescent="0.3">
      <c r="B189" s="174"/>
      <c r="C189" s="175"/>
      <c r="D189" s="175"/>
      <c r="E189" s="175"/>
    </row>
    <row r="190" spans="2:5" x14ac:dyDescent="0.3">
      <c r="B190" s="174"/>
      <c r="C190" s="175"/>
      <c r="D190" s="175"/>
      <c r="E190" s="175"/>
    </row>
    <row r="191" spans="2:5" x14ac:dyDescent="0.3">
      <c r="B191" s="174"/>
      <c r="C191" s="175"/>
      <c r="D191" s="175"/>
      <c r="E191" s="175"/>
    </row>
    <row r="192" spans="2:5" x14ac:dyDescent="0.3">
      <c r="B192" s="174"/>
      <c r="C192" s="175"/>
      <c r="D192" s="175"/>
      <c r="E192" s="175"/>
    </row>
    <row r="193" spans="2:5" x14ac:dyDescent="0.3">
      <c r="B193" s="174"/>
      <c r="C193" s="175"/>
      <c r="D193" s="175"/>
      <c r="E193" s="175"/>
    </row>
    <row r="194" spans="2:5" x14ac:dyDescent="0.3">
      <c r="B194" s="174"/>
      <c r="C194" s="175"/>
      <c r="D194" s="175"/>
      <c r="E194" s="175"/>
    </row>
    <row r="195" spans="2:5" x14ac:dyDescent="0.3">
      <c r="B195" s="174"/>
      <c r="C195" s="175"/>
      <c r="D195" s="175"/>
      <c r="E195" s="175"/>
    </row>
    <row r="196" spans="2:5" x14ac:dyDescent="0.3">
      <c r="B196" s="174"/>
      <c r="C196" s="175"/>
      <c r="D196" s="175"/>
      <c r="E196" s="175"/>
    </row>
    <row r="197" spans="2:5" x14ac:dyDescent="0.3">
      <c r="B197" s="174"/>
      <c r="C197" s="175"/>
      <c r="D197" s="175"/>
      <c r="E197" s="175"/>
    </row>
    <row r="198" spans="2:5" x14ac:dyDescent="0.3">
      <c r="B198" s="174"/>
      <c r="C198" s="175"/>
      <c r="D198" s="175"/>
      <c r="E198" s="175"/>
    </row>
    <row r="199" spans="2:5" x14ac:dyDescent="0.3">
      <c r="B199" s="174"/>
      <c r="C199" s="175"/>
      <c r="D199" s="175"/>
      <c r="E199" s="175"/>
    </row>
    <row r="200" spans="2:5" x14ac:dyDescent="0.3">
      <c r="B200" s="174"/>
      <c r="C200" s="175"/>
      <c r="D200" s="175"/>
      <c r="E200" s="175"/>
    </row>
    <row r="201" spans="2:5" x14ac:dyDescent="0.3">
      <c r="B201" s="174"/>
      <c r="C201" s="175"/>
      <c r="D201" s="175"/>
      <c r="E201" s="175"/>
    </row>
    <row r="202" spans="2:5" x14ac:dyDescent="0.3">
      <c r="B202" s="174"/>
      <c r="C202" s="175"/>
      <c r="D202" s="175"/>
      <c r="E202" s="175"/>
    </row>
    <row r="203" spans="2:5" x14ac:dyDescent="0.3">
      <c r="B203" s="174"/>
      <c r="C203" s="175"/>
      <c r="D203" s="175"/>
      <c r="E203" s="175"/>
    </row>
    <row r="204" spans="2:5" x14ac:dyDescent="0.3">
      <c r="B204" s="174"/>
      <c r="C204" s="175"/>
      <c r="D204" s="175"/>
      <c r="E204" s="175"/>
    </row>
    <row r="205" spans="2:5" x14ac:dyDescent="0.3">
      <c r="B205" s="174"/>
      <c r="C205" s="175"/>
      <c r="D205" s="175"/>
      <c r="E205" s="175"/>
    </row>
    <row r="206" spans="2:5" x14ac:dyDescent="0.3">
      <c r="B206" s="174"/>
      <c r="C206" s="175"/>
      <c r="D206" s="175"/>
      <c r="E206" s="175"/>
    </row>
    <row r="207" spans="2:5" x14ac:dyDescent="0.3">
      <c r="B207" s="174"/>
      <c r="C207" s="175"/>
      <c r="D207" s="175"/>
      <c r="E207" s="175"/>
    </row>
    <row r="208" spans="2:5" x14ac:dyDescent="0.3">
      <c r="B208" s="174"/>
      <c r="C208" s="175"/>
      <c r="D208" s="175"/>
      <c r="E208" s="175"/>
    </row>
    <row r="209" spans="2:5" x14ac:dyDescent="0.3">
      <c r="B209" s="174"/>
      <c r="C209" s="175"/>
      <c r="D209" s="175"/>
      <c r="E209" s="175"/>
    </row>
    <row r="210" spans="2:5" x14ac:dyDescent="0.3">
      <c r="B210" s="174"/>
      <c r="C210" s="175"/>
      <c r="D210" s="175"/>
      <c r="E210" s="175"/>
    </row>
    <row r="211" spans="2:5" x14ac:dyDescent="0.3">
      <c r="B211" s="174"/>
      <c r="C211" s="175"/>
      <c r="D211" s="175"/>
      <c r="E211" s="175"/>
    </row>
    <row r="212" spans="2:5" x14ac:dyDescent="0.3">
      <c r="B212" s="174"/>
      <c r="C212" s="175"/>
      <c r="D212" s="175"/>
      <c r="E212" s="175"/>
    </row>
    <row r="213" spans="2:5" x14ac:dyDescent="0.3">
      <c r="B213" s="174"/>
      <c r="C213" s="175"/>
      <c r="D213" s="175"/>
      <c r="E213" s="175"/>
    </row>
    <row r="214" spans="2:5" x14ac:dyDescent="0.3">
      <c r="B214" s="174"/>
      <c r="C214" s="175"/>
      <c r="D214" s="175"/>
      <c r="E214" s="175"/>
    </row>
    <row r="215" spans="2:5" x14ac:dyDescent="0.3">
      <c r="B215" s="174"/>
      <c r="C215" s="175"/>
      <c r="D215" s="175"/>
      <c r="E215" s="175"/>
    </row>
    <row r="216" spans="2:5" x14ac:dyDescent="0.3">
      <c r="B216" s="174"/>
      <c r="C216" s="175"/>
      <c r="D216" s="175"/>
      <c r="E216" s="175"/>
    </row>
    <row r="217" spans="2:5" x14ac:dyDescent="0.3">
      <c r="B217" s="174"/>
      <c r="C217" s="175"/>
      <c r="D217" s="175"/>
      <c r="E217" s="175"/>
    </row>
    <row r="218" spans="2:5" x14ac:dyDescent="0.3">
      <c r="B218" s="174"/>
      <c r="C218" s="175"/>
      <c r="D218" s="175"/>
      <c r="E218" s="175"/>
    </row>
    <row r="219" spans="2:5" x14ac:dyDescent="0.3">
      <c r="B219" s="174"/>
      <c r="C219" s="175"/>
      <c r="D219" s="175"/>
      <c r="E219" s="175"/>
    </row>
    <row r="220" spans="2:5" x14ac:dyDescent="0.3">
      <c r="B220" s="174"/>
      <c r="C220" s="175"/>
      <c r="D220" s="175"/>
      <c r="E220" s="175"/>
    </row>
    <row r="221" spans="2:5" x14ac:dyDescent="0.3">
      <c r="B221" s="174"/>
      <c r="C221" s="175"/>
      <c r="D221" s="175"/>
      <c r="E221" s="175"/>
    </row>
    <row r="222" spans="2:5" x14ac:dyDescent="0.3">
      <c r="B222" s="174"/>
      <c r="C222" s="175"/>
      <c r="D222" s="175"/>
      <c r="E222" s="175"/>
    </row>
    <row r="223" spans="2:5" x14ac:dyDescent="0.3">
      <c r="B223" s="174"/>
      <c r="C223" s="175"/>
      <c r="D223" s="175"/>
      <c r="E223" s="175"/>
    </row>
    <row r="224" spans="2:5" x14ac:dyDescent="0.3">
      <c r="B224" s="174"/>
      <c r="C224" s="175"/>
      <c r="D224" s="175"/>
      <c r="E224" s="175"/>
    </row>
    <row r="225" spans="2:5" x14ac:dyDescent="0.3">
      <c r="B225" s="174"/>
      <c r="C225" s="175"/>
      <c r="D225" s="175"/>
      <c r="E225" s="175"/>
    </row>
    <row r="226" spans="2:5" x14ac:dyDescent="0.3">
      <c r="B226" s="174"/>
      <c r="C226" s="175"/>
      <c r="D226" s="175"/>
      <c r="E226" s="175"/>
    </row>
    <row r="227" spans="2:5" x14ac:dyDescent="0.3">
      <c r="B227" s="174"/>
      <c r="C227" s="175"/>
      <c r="D227" s="175"/>
      <c r="E227" s="175"/>
    </row>
    <row r="228" spans="2:5" x14ac:dyDescent="0.3">
      <c r="B228" s="174"/>
      <c r="C228" s="175"/>
      <c r="D228" s="175"/>
      <c r="E228" s="175"/>
    </row>
    <row r="229" spans="2:5" x14ac:dyDescent="0.3">
      <c r="B229" s="174"/>
      <c r="C229" s="175"/>
      <c r="D229" s="175"/>
      <c r="E229" s="175"/>
    </row>
    <row r="230" spans="2:5" x14ac:dyDescent="0.3">
      <c r="B230" s="174"/>
      <c r="C230" s="175"/>
      <c r="D230" s="175"/>
      <c r="E230" s="175"/>
    </row>
    <row r="231" spans="2:5" x14ac:dyDescent="0.3">
      <c r="B231" s="174"/>
      <c r="C231" s="175"/>
      <c r="D231" s="175"/>
      <c r="E231" s="175"/>
    </row>
    <row r="232" spans="2:5" x14ac:dyDescent="0.3">
      <c r="B232" s="174"/>
      <c r="C232" s="175"/>
      <c r="D232" s="175"/>
      <c r="E232" s="175"/>
    </row>
    <row r="233" spans="2:5" x14ac:dyDescent="0.3">
      <c r="B233" s="174"/>
      <c r="C233" s="175"/>
      <c r="D233" s="175"/>
      <c r="E233" s="175"/>
    </row>
    <row r="234" spans="2:5" x14ac:dyDescent="0.3">
      <c r="B234" s="174"/>
      <c r="C234" s="175"/>
      <c r="D234" s="175"/>
      <c r="E234" s="175"/>
    </row>
    <row r="235" spans="2:5" x14ac:dyDescent="0.3">
      <c r="B235" s="174"/>
      <c r="C235" s="175"/>
      <c r="D235" s="175"/>
      <c r="E235" s="175"/>
    </row>
    <row r="236" spans="2:5" x14ac:dyDescent="0.3">
      <c r="B236" s="174"/>
      <c r="C236" s="175"/>
      <c r="D236" s="175"/>
      <c r="E236" s="175"/>
    </row>
    <row r="237" spans="2:5" x14ac:dyDescent="0.3">
      <c r="B237" s="174"/>
      <c r="C237" s="175"/>
      <c r="D237" s="175"/>
      <c r="E237" s="175"/>
    </row>
    <row r="238" spans="2:5" x14ac:dyDescent="0.3">
      <c r="B238" s="174"/>
      <c r="C238" s="175"/>
      <c r="D238" s="175"/>
      <c r="E238" s="175"/>
    </row>
    <row r="239" spans="2:5" x14ac:dyDescent="0.3">
      <c r="B239" s="174"/>
      <c r="C239" s="175"/>
      <c r="D239" s="175"/>
      <c r="E239" s="175"/>
    </row>
    <row r="240" spans="2:5" x14ac:dyDescent="0.3">
      <c r="B240" s="174"/>
      <c r="C240" s="175"/>
      <c r="D240" s="175"/>
      <c r="E240" s="175"/>
    </row>
    <row r="241" spans="2:5" x14ac:dyDescent="0.3">
      <c r="B241" s="174"/>
      <c r="C241" s="175"/>
      <c r="D241" s="175"/>
      <c r="E241" s="175"/>
    </row>
    <row r="242" spans="2:5" x14ac:dyDescent="0.3">
      <c r="B242" s="174"/>
      <c r="C242" s="175"/>
      <c r="D242" s="175"/>
      <c r="E242" s="175"/>
    </row>
    <row r="243" spans="2:5" x14ac:dyDescent="0.3">
      <c r="B243" s="174"/>
      <c r="C243" s="175"/>
      <c r="D243" s="175"/>
      <c r="E243" s="175"/>
    </row>
    <row r="244" spans="2:5" x14ac:dyDescent="0.3">
      <c r="B244" s="174"/>
      <c r="C244" s="175"/>
      <c r="D244" s="175"/>
      <c r="E244" s="175"/>
    </row>
    <row r="245" spans="2:5" x14ac:dyDescent="0.3">
      <c r="B245" s="174"/>
      <c r="C245" s="175"/>
      <c r="D245" s="175"/>
      <c r="E245" s="175"/>
    </row>
    <row r="246" spans="2:5" x14ac:dyDescent="0.3">
      <c r="B246" s="174"/>
      <c r="C246" s="175"/>
      <c r="D246" s="175"/>
      <c r="E246" s="175"/>
    </row>
    <row r="247" spans="2:5" x14ac:dyDescent="0.3">
      <c r="B247" s="174"/>
      <c r="C247" s="175"/>
      <c r="D247" s="175"/>
      <c r="E247" s="175"/>
    </row>
    <row r="248" spans="2:5" x14ac:dyDescent="0.3">
      <c r="B248" s="174"/>
      <c r="C248" s="175"/>
      <c r="D248" s="175"/>
      <c r="E248" s="175"/>
    </row>
    <row r="249" spans="2:5" x14ac:dyDescent="0.3">
      <c r="B249" s="174"/>
      <c r="C249" s="175"/>
      <c r="D249" s="175"/>
      <c r="E249" s="175"/>
    </row>
    <row r="250" spans="2:5" x14ac:dyDescent="0.3">
      <c r="B250" s="174"/>
      <c r="C250" s="175"/>
      <c r="D250" s="175"/>
      <c r="E250" s="175"/>
    </row>
    <row r="251" spans="2:5" x14ac:dyDescent="0.3">
      <c r="B251" s="174"/>
      <c r="C251" s="175"/>
      <c r="D251" s="175"/>
      <c r="E251" s="175"/>
    </row>
    <row r="252" spans="2:5" x14ac:dyDescent="0.3">
      <c r="B252" s="174"/>
      <c r="C252" s="175"/>
      <c r="D252" s="175"/>
      <c r="E252" s="175"/>
    </row>
    <row r="253" spans="2:5" x14ac:dyDescent="0.3">
      <c r="B253" s="174"/>
      <c r="C253" s="175"/>
      <c r="D253" s="175"/>
      <c r="E253" s="175"/>
    </row>
    <row r="254" spans="2:5" x14ac:dyDescent="0.3">
      <c r="B254" s="174"/>
      <c r="C254" s="175"/>
      <c r="D254" s="175"/>
      <c r="E254" s="175"/>
    </row>
    <row r="255" spans="2:5" x14ac:dyDescent="0.3">
      <c r="B255" s="174"/>
      <c r="C255" s="175"/>
      <c r="D255" s="175"/>
      <c r="E255" s="175"/>
    </row>
    <row r="256" spans="2:5" x14ac:dyDescent="0.3">
      <c r="B256" s="174"/>
      <c r="C256" s="175"/>
      <c r="D256" s="175"/>
      <c r="E256" s="175"/>
    </row>
    <row r="257" spans="2:5" x14ac:dyDescent="0.3">
      <c r="B257" s="174"/>
      <c r="C257" s="175"/>
      <c r="D257" s="175"/>
      <c r="E257" s="175"/>
    </row>
    <row r="258" spans="2:5" x14ac:dyDescent="0.3">
      <c r="B258" s="174"/>
      <c r="C258" s="175"/>
      <c r="D258" s="175"/>
      <c r="E258" s="175"/>
    </row>
    <row r="259" spans="2:5" x14ac:dyDescent="0.3">
      <c r="B259" s="174"/>
      <c r="C259" s="175"/>
      <c r="D259" s="175"/>
      <c r="E259" s="175"/>
    </row>
    <row r="260" spans="2:5" x14ac:dyDescent="0.3">
      <c r="B260" s="174"/>
      <c r="C260" s="175"/>
      <c r="D260" s="175"/>
      <c r="E260" s="175"/>
    </row>
    <row r="261" spans="2:5" x14ac:dyDescent="0.3">
      <c r="B261" s="174"/>
      <c r="C261" s="175"/>
      <c r="D261" s="175"/>
      <c r="E261" s="175"/>
    </row>
    <row r="262" spans="2:5" x14ac:dyDescent="0.3">
      <c r="B262" s="174"/>
      <c r="C262" s="175"/>
      <c r="D262" s="175"/>
      <c r="E262" s="175"/>
    </row>
    <row r="263" spans="2:5" x14ac:dyDescent="0.3">
      <c r="B263" s="174"/>
      <c r="C263" s="175"/>
      <c r="D263" s="175"/>
      <c r="E263" s="175"/>
    </row>
    <row r="264" spans="2:5" x14ac:dyDescent="0.3">
      <c r="B264" s="174"/>
      <c r="C264" s="175"/>
      <c r="D264" s="175"/>
      <c r="E264" s="175"/>
    </row>
    <row r="265" spans="2:5" x14ac:dyDescent="0.3">
      <c r="B265" s="174"/>
      <c r="C265" s="175"/>
      <c r="D265" s="175"/>
      <c r="E265" s="175"/>
    </row>
    <row r="266" spans="2:5" x14ac:dyDescent="0.3">
      <c r="B266" s="174"/>
      <c r="C266" s="175"/>
      <c r="D266" s="175"/>
      <c r="E266" s="175"/>
    </row>
    <row r="267" spans="2:5" x14ac:dyDescent="0.3">
      <c r="B267" s="174"/>
      <c r="C267" s="175"/>
      <c r="D267" s="175"/>
      <c r="E267" s="175"/>
    </row>
    <row r="268" spans="2:5" x14ac:dyDescent="0.3">
      <c r="B268" s="174"/>
      <c r="C268" s="175"/>
      <c r="D268" s="175"/>
      <c r="E268" s="175"/>
    </row>
    <row r="269" spans="2:5" x14ac:dyDescent="0.3">
      <c r="B269" s="174"/>
      <c r="C269" s="175"/>
      <c r="D269" s="175"/>
      <c r="E269" s="175"/>
    </row>
    <row r="270" spans="2:5" x14ac:dyDescent="0.3">
      <c r="B270" s="174"/>
      <c r="C270" s="175"/>
      <c r="D270" s="175"/>
      <c r="E270" s="175"/>
    </row>
    <row r="271" spans="2:5" x14ac:dyDescent="0.3">
      <c r="B271" s="174"/>
      <c r="C271" s="175"/>
      <c r="D271" s="175"/>
      <c r="E271" s="175"/>
    </row>
    <row r="272" spans="2:5" x14ac:dyDescent="0.3">
      <c r="B272" s="174"/>
      <c r="C272" s="175"/>
      <c r="D272" s="175"/>
      <c r="E272" s="175"/>
    </row>
    <row r="273" spans="2:5" x14ac:dyDescent="0.3">
      <c r="B273" s="174"/>
      <c r="C273" s="175"/>
      <c r="D273" s="175"/>
      <c r="E273" s="175"/>
    </row>
    <row r="274" spans="2:5" x14ac:dyDescent="0.3">
      <c r="B274" s="174"/>
      <c r="C274" s="175"/>
      <c r="D274" s="175"/>
      <c r="E274" s="175"/>
    </row>
    <row r="275" spans="2:5" x14ac:dyDescent="0.3">
      <c r="B275" s="174"/>
      <c r="C275" s="175"/>
      <c r="D275" s="175"/>
      <c r="E275" s="175"/>
    </row>
    <row r="276" spans="2:5" x14ac:dyDescent="0.3">
      <c r="B276" s="174"/>
      <c r="C276" s="175"/>
      <c r="D276" s="175"/>
      <c r="E276" s="175"/>
    </row>
    <row r="277" spans="2:5" x14ac:dyDescent="0.3">
      <c r="B277" s="174"/>
      <c r="C277" s="175"/>
      <c r="D277" s="175"/>
      <c r="E277" s="175"/>
    </row>
    <row r="278" spans="2:5" x14ac:dyDescent="0.3">
      <c r="B278" s="174"/>
      <c r="C278" s="175"/>
      <c r="D278" s="175"/>
      <c r="E278" s="175"/>
    </row>
    <row r="279" spans="2:5" x14ac:dyDescent="0.3">
      <c r="B279" s="174"/>
      <c r="C279" s="175"/>
      <c r="D279" s="175"/>
      <c r="E279" s="175"/>
    </row>
    <row r="280" spans="2:5" x14ac:dyDescent="0.3">
      <c r="B280" s="174"/>
      <c r="C280" s="175"/>
      <c r="D280" s="175"/>
      <c r="E280" s="175"/>
    </row>
    <row r="281" spans="2:5" x14ac:dyDescent="0.3">
      <c r="B281" s="174"/>
      <c r="C281" s="175"/>
      <c r="D281" s="175"/>
      <c r="E281" s="175"/>
    </row>
    <row r="282" spans="2:5" x14ac:dyDescent="0.3">
      <c r="B282" s="174"/>
      <c r="C282" s="175"/>
      <c r="D282" s="175"/>
      <c r="E282" s="175"/>
    </row>
    <row r="283" spans="2:5" x14ac:dyDescent="0.3">
      <c r="B283" s="174"/>
      <c r="C283" s="175"/>
      <c r="D283" s="175"/>
      <c r="E283" s="175"/>
    </row>
    <row r="284" spans="2:5" x14ac:dyDescent="0.3">
      <c r="B284" s="174"/>
      <c r="C284" s="175"/>
      <c r="D284" s="175"/>
      <c r="E284" s="175"/>
    </row>
    <row r="285" spans="2:5" x14ac:dyDescent="0.3">
      <c r="B285" s="174"/>
      <c r="C285" s="175"/>
      <c r="D285" s="175"/>
      <c r="E285" s="175"/>
    </row>
    <row r="286" spans="2:5" x14ac:dyDescent="0.3">
      <c r="B286" s="174"/>
      <c r="C286" s="175"/>
      <c r="D286" s="175"/>
      <c r="E286" s="175"/>
    </row>
    <row r="287" spans="2:5" x14ac:dyDescent="0.3">
      <c r="B287" s="174"/>
      <c r="C287" s="175"/>
      <c r="D287" s="175"/>
      <c r="E287" s="175"/>
    </row>
    <row r="288" spans="2:5" x14ac:dyDescent="0.3">
      <c r="B288" s="174"/>
      <c r="C288" s="175"/>
      <c r="D288" s="175"/>
      <c r="E288" s="175"/>
    </row>
    <row r="289" spans="2:5" x14ac:dyDescent="0.3">
      <c r="B289" s="174"/>
      <c r="C289" s="175"/>
      <c r="D289" s="175"/>
      <c r="E289" s="175"/>
    </row>
    <row r="290" spans="2:5" x14ac:dyDescent="0.3">
      <c r="B290" s="174"/>
      <c r="C290" s="175"/>
      <c r="D290" s="175"/>
      <c r="E290" s="175"/>
    </row>
    <row r="291" spans="2:5" x14ac:dyDescent="0.3">
      <c r="B291" s="174"/>
      <c r="C291" s="175"/>
      <c r="D291" s="175"/>
      <c r="E291" s="175"/>
    </row>
    <row r="292" spans="2:5" x14ac:dyDescent="0.3">
      <c r="B292" s="174"/>
      <c r="C292" s="175"/>
      <c r="D292" s="175"/>
      <c r="E292" s="175"/>
    </row>
    <row r="293" spans="2:5" x14ac:dyDescent="0.3">
      <c r="B293" s="174"/>
      <c r="C293" s="175"/>
      <c r="D293" s="175"/>
      <c r="E293" s="175"/>
    </row>
    <row r="294" spans="2:5" x14ac:dyDescent="0.3">
      <c r="B294" s="174"/>
      <c r="C294" s="175"/>
      <c r="D294" s="175"/>
      <c r="E294" s="175"/>
    </row>
    <row r="295" spans="2:5" x14ac:dyDescent="0.3">
      <c r="B295" s="174"/>
      <c r="C295" s="175"/>
      <c r="D295" s="175"/>
      <c r="E295" s="175"/>
    </row>
    <row r="296" spans="2:5" x14ac:dyDescent="0.3">
      <c r="B296" s="174"/>
      <c r="C296" s="175"/>
      <c r="D296" s="175"/>
      <c r="E296" s="175"/>
    </row>
    <row r="297" spans="2:5" x14ac:dyDescent="0.3">
      <c r="B297" s="174"/>
      <c r="C297" s="175"/>
      <c r="D297" s="175"/>
      <c r="E297" s="175"/>
    </row>
    <row r="298" spans="2:5" x14ac:dyDescent="0.3">
      <c r="B298" s="174"/>
      <c r="C298" s="175"/>
      <c r="D298" s="175"/>
      <c r="E298" s="175"/>
    </row>
    <row r="299" spans="2:5" x14ac:dyDescent="0.3">
      <c r="B299" s="174"/>
      <c r="C299" s="175"/>
      <c r="D299" s="175"/>
      <c r="E299" s="175"/>
    </row>
    <row r="300" spans="2:5" x14ac:dyDescent="0.3">
      <c r="B300" s="174"/>
      <c r="C300" s="175"/>
      <c r="D300" s="175"/>
      <c r="E300" s="175"/>
    </row>
    <row r="301" spans="2:5" x14ac:dyDescent="0.3">
      <c r="B301" s="174"/>
      <c r="C301" s="175"/>
      <c r="D301" s="175"/>
      <c r="E301" s="175"/>
    </row>
    <row r="302" spans="2:5" x14ac:dyDescent="0.3">
      <c r="B302" s="174"/>
      <c r="C302" s="175"/>
      <c r="D302" s="175"/>
      <c r="E302" s="175"/>
    </row>
    <row r="303" spans="2:5" x14ac:dyDescent="0.3">
      <c r="B303" s="174"/>
      <c r="C303" s="175"/>
      <c r="D303" s="175"/>
      <c r="E303" s="175"/>
    </row>
    <row r="304" spans="2:5" x14ac:dyDescent="0.3">
      <c r="B304" s="174"/>
      <c r="C304" s="175"/>
      <c r="D304" s="175"/>
      <c r="E304" s="175"/>
    </row>
    <row r="305" spans="2:5" x14ac:dyDescent="0.3">
      <c r="B305" s="174"/>
      <c r="C305" s="175"/>
      <c r="D305" s="175"/>
      <c r="E305" s="175"/>
    </row>
    <row r="306" spans="2:5" x14ac:dyDescent="0.3">
      <c r="B306" s="174"/>
      <c r="C306" s="175"/>
      <c r="D306" s="175"/>
      <c r="E306" s="175"/>
    </row>
    <row r="307" spans="2:5" x14ac:dyDescent="0.3">
      <c r="B307" s="174"/>
      <c r="C307" s="175"/>
      <c r="D307" s="175"/>
      <c r="E307" s="175"/>
    </row>
    <row r="308" spans="2:5" x14ac:dyDescent="0.3">
      <c r="B308" s="174"/>
      <c r="C308" s="175"/>
      <c r="D308" s="175"/>
      <c r="E308" s="175"/>
    </row>
    <row r="309" spans="2:5" x14ac:dyDescent="0.3">
      <c r="B309" s="174"/>
      <c r="C309" s="175"/>
      <c r="D309" s="175"/>
      <c r="E309" s="175"/>
    </row>
    <row r="310" spans="2:5" x14ac:dyDescent="0.3">
      <c r="B310" s="174"/>
      <c r="C310" s="175"/>
      <c r="D310" s="175"/>
      <c r="E310" s="175"/>
    </row>
    <row r="311" spans="2:5" x14ac:dyDescent="0.3">
      <c r="B311" s="174"/>
      <c r="C311" s="175"/>
      <c r="D311" s="175"/>
      <c r="E311" s="175"/>
    </row>
    <row r="312" spans="2:5" x14ac:dyDescent="0.3">
      <c r="B312" s="174"/>
      <c r="C312" s="175"/>
      <c r="D312" s="175"/>
      <c r="E312" s="175"/>
    </row>
    <row r="313" spans="2:5" x14ac:dyDescent="0.3">
      <c r="B313" s="174"/>
      <c r="C313" s="175"/>
      <c r="D313" s="175"/>
      <c r="E313" s="175"/>
    </row>
    <row r="314" spans="2:5" x14ac:dyDescent="0.3">
      <c r="B314" s="174"/>
      <c r="C314" s="175"/>
      <c r="D314" s="175"/>
      <c r="E314" s="175"/>
    </row>
    <row r="315" spans="2:5" x14ac:dyDescent="0.3">
      <c r="B315" s="174"/>
      <c r="C315" s="175"/>
      <c r="D315" s="175"/>
      <c r="E315" s="175"/>
    </row>
    <row r="316" spans="2:5" x14ac:dyDescent="0.3">
      <c r="B316" s="174"/>
      <c r="C316" s="175"/>
      <c r="D316" s="175"/>
      <c r="E316" s="175"/>
    </row>
    <row r="317" spans="2:5" x14ac:dyDescent="0.3">
      <c r="B317" s="174"/>
      <c r="C317" s="175"/>
      <c r="D317" s="175"/>
      <c r="E317" s="175"/>
    </row>
    <row r="318" spans="2:5" x14ac:dyDescent="0.3">
      <c r="B318" s="174"/>
      <c r="C318" s="175"/>
      <c r="D318" s="175"/>
      <c r="E318" s="175"/>
    </row>
    <row r="319" spans="2:5" x14ac:dyDescent="0.3">
      <c r="B319" s="174"/>
      <c r="C319" s="175"/>
      <c r="D319" s="175"/>
      <c r="E319" s="175"/>
    </row>
    <row r="320" spans="2:5" x14ac:dyDescent="0.3">
      <c r="B320" s="174"/>
      <c r="C320" s="175"/>
      <c r="D320" s="175"/>
      <c r="E320" s="175"/>
    </row>
    <row r="321" spans="2:5" x14ac:dyDescent="0.3">
      <c r="B321" s="174"/>
      <c r="C321" s="175"/>
      <c r="D321" s="175"/>
      <c r="E321" s="175"/>
    </row>
    <row r="322" spans="2:5" x14ac:dyDescent="0.3">
      <c r="B322" s="174"/>
      <c r="C322" s="175"/>
      <c r="D322" s="175"/>
      <c r="E322" s="175"/>
    </row>
    <row r="323" spans="2:5" x14ac:dyDescent="0.3">
      <c r="B323" s="174"/>
      <c r="C323" s="175"/>
      <c r="D323" s="175"/>
      <c r="E323" s="175"/>
    </row>
    <row r="324" spans="2:5" x14ac:dyDescent="0.3">
      <c r="B324" s="174"/>
      <c r="C324" s="175"/>
      <c r="D324" s="175"/>
      <c r="E324" s="175"/>
    </row>
    <row r="325" spans="2:5" x14ac:dyDescent="0.3">
      <c r="B325" s="174"/>
      <c r="C325" s="175"/>
      <c r="D325" s="175"/>
      <c r="E325" s="175"/>
    </row>
    <row r="326" spans="2:5" x14ac:dyDescent="0.3">
      <c r="B326" s="174"/>
      <c r="C326" s="175"/>
      <c r="D326" s="175"/>
      <c r="E326" s="175"/>
    </row>
    <row r="327" spans="2:5" x14ac:dyDescent="0.3">
      <c r="B327" s="174"/>
      <c r="C327" s="175"/>
      <c r="D327" s="175"/>
      <c r="E327" s="175"/>
    </row>
    <row r="328" spans="2:5" x14ac:dyDescent="0.3">
      <c r="B328" s="174"/>
      <c r="C328" s="175"/>
      <c r="D328" s="175"/>
      <c r="E328" s="175"/>
    </row>
    <row r="329" spans="2:5" x14ac:dyDescent="0.3">
      <c r="B329" s="174"/>
      <c r="C329" s="175"/>
      <c r="D329" s="175"/>
      <c r="E329" s="175"/>
    </row>
    <row r="330" spans="2:5" x14ac:dyDescent="0.3">
      <c r="B330" s="174"/>
      <c r="C330" s="175"/>
      <c r="D330" s="175"/>
      <c r="E330" s="175"/>
    </row>
    <row r="331" spans="2:5" x14ac:dyDescent="0.3">
      <c r="B331" s="174"/>
      <c r="C331" s="175"/>
      <c r="D331" s="175"/>
      <c r="E331" s="175"/>
    </row>
    <row r="332" spans="2:5" x14ac:dyDescent="0.3">
      <c r="B332" s="174"/>
      <c r="C332" s="175"/>
      <c r="D332" s="175"/>
      <c r="E332" s="175"/>
    </row>
    <row r="333" spans="2:5" x14ac:dyDescent="0.3">
      <c r="B333" s="174"/>
      <c r="C333" s="175"/>
      <c r="D333" s="175"/>
      <c r="E333" s="175"/>
    </row>
    <row r="334" spans="2:5" x14ac:dyDescent="0.3">
      <c r="B334" s="174"/>
      <c r="C334" s="175"/>
      <c r="D334" s="175"/>
      <c r="E334" s="175"/>
    </row>
    <row r="335" spans="2:5" x14ac:dyDescent="0.3">
      <c r="B335" s="174"/>
      <c r="C335" s="175"/>
      <c r="D335" s="175"/>
      <c r="E335" s="175"/>
    </row>
    <row r="336" spans="2:5" x14ac:dyDescent="0.3">
      <c r="B336" s="174"/>
      <c r="C336" s="175"/>
      <c r="D336" s="175"/>
      <c r="E336" s="175"/>
    </row>
    <row r="337" spans="2:5" x14ac:dyDescent="0.3">
      <c r="B337" s="174"/>
      <c r="C337" s="175"/>
      <c r="D337" s="175"/>
      <c r="E337" s="175"/>
    </row>
    <row r="338" spans="2:5" x14ac:dyDescent="0.3">
      <c r="B338" s="174"/>
      <c r="C338" s="175"/>
      <c r="D338" s="175"/>
      <c r="E338" s="175"/>
    </row>
    <row r="339" spans="2:5" x14ac:dyDescent="0.3">
      <c r="B339" s="174"/>
      <c r="C339" s="175"/>
      <c r="D339" s="175"/>
      <c r="E339" s="175"/>
    </row>
    <row r="340" spans="2:5" x14ac:dyDescent="0.3">
      <c r="B340" s="174"/>
      <c r="C340" s="175"/>
      <c r="D340" s="175"/>
      <c r="E340" s="175"/>
    </row>
    <row r="341" spans="2:5" x14ac:dyDescent="0.3">
      <c r="B341" s="174"/>
      <c r="C341" s="175"/>
      <c r="D341" s="175"/>
      <c r="E341" s="175"/>
    </row>
    <row r="342" spans="2:5" x14ac:dyDescent="0.3">
      <c r="B342" s="174"/>
      <c r="C342" s="175"/>
      <c r="D342" s="175"/>
      <c r="E342" s="175"/>
    </row>
  </sheetData>
  <mergeCells count="2">
    <mergeCell ref="B2:K2"/>
    <mergeCell ref="B55:K55"/>
  </mergeCells>
  <pageMargins left="0.7" right="0.7" top="0.75" bottom="0.75" header="0.3" footer="0.3"/>
  <pageSetup scale="86" fitToWidth="0" orientation="portrait" r:id="rId1"/>
  <ignoredErrors>
    <ignoredError sqref="I15:I17" formulaRange="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56868-2222-472F-BB42-CAE7F12414D9}">
  <sheetPr>
    <pageSetUpPr fitToPage="1"/>
  </sheetPr>
  <dimension ref="B2:M104"/>
  <sheetViews>
    <sheetView showGridLines="0" topLeftCell="E46" workbookViewId="0">
      <selection activeCell="B2" sqref="B2:M55"/>
    </sheetView>
  </sheetViews>
  <sheetFormatPr defaultRowHeight="14.4" x14ac:dyDescent="0.3"/>
  <cols>
    <col min="1" max="1" width="3" customWidth="1"/>
    <col min="5" max="5" width="13.5546875" bestFit="1" customWidth="1"/>
    <col min="6" max="6" width="13.5546875" customWidth="1"/>
    <col min="7" max="7" width="16.44140625" bestFit="1" customWidth="1"/>
    <col min="8" max="8" width="3.21875" customWidth="1"/>
    <col min="9" max="9" width="24" bestFit="1" customWidth="1"/>
    <col min="10" max="10" width="10.5546875" bestFit="1" customWidth="1"/>
    <col min="12" max="12" width="10.21875" bestFit="1" customWidth="1"/>
  </cols>
  <sheetData>
    <row r="2" spans="2:13" x14ac:dyDescent="0.3">
      <c r="B2" s="270" t="s">
        <v>447</v>
      </c>
      <c r="C2" s="270"/>
      <c r="D2" s="270"/>
      <c r="E2" s="270"/>
      <c r="F2" s="270"/>
      <c r="G2" s="270"/>
      <c r="H2" s="270"/>
      <c r="I2" s="270"/>
      <c r="J2" s="270"/>
      <c r="K2" s="270"/>
      <c r="L2" s="270"/>
      <c r="M2" s="270"/>
    </row>
    <row r="3" spans="2:13" x14ac:dyDescent="0.3">
      <c r="B3" s="54"/>
      <c r="C3" s="54"/>
      <c r="D3" s="54"/>
      <c r="E3" s="54"/>
      <c r="F3" s="54"/>
      <c r="G3" s="54"/>
      <c r="H3" s="54"/>
      <c r="I3" s="54"/>
      <c r="J3" s="54"/>
      <c r="K3" s="54"/>
      <c r="L3" s="54"/>
      <c r="M3" s="54"/>
    </row>
    <row r="4" spans="2:13" x14ac:dyDescent="0.3">
      <c r="B4" s="68" t="s">
        <v>359</v>
      </c>
      <c r="C4" s="68" t="s">
        <v>445</v>
      </c>
      <c r="D4" s="68" t="s">
        <v>446</v>
      </c>
      <c r="E4" s="68" t="s">
        <v>448</v>
      </c>
      <c r="F4" s="68" t="s">
        <v>459</v>
      </c>
      <c r="G4" s="68" t="s">
        <v>460</v>
      </c>
      <c r="I4" s="68" t="s">
        <v>449</v>
      </c>
      <c r="J4" s="68"/>
      <c r="K4" s="68"/>
      <c r="L4" s="68"/>
      <c r="M4" s="68"/>
    </row>
    <row r="5" spans="2:13" x14ac:dyDescent="0.3">
      <c r="B5" s="174">
        <v>43922</v>
      </c>
      <c r="C5" s="175">
        <v>578.83563200000003</v>
      </c>
      <c r="D5" s="175">
        <v>-0.69992722641458249</v>
      </c>
      <c r="E5" s="175">
        <v>0.33502079005715424</v>
      </c>
      <c r="F5" s="175">
        <v>1</v>
      </c>
      <c r="G5" s="175">
        <f t="shared" ref="G5:G36" ca="1" si="0">_xlfn.NORM.INV(RAND(),M$7,M$8)</f>
        <v>-1.71592158615765E-2</v>
      </c>
    </row>
    <row r="6" spans="2:13" x14ac:dyDescent="0.3">
      <c r="B6" s="174">
        <v>45108</v>
      </c>
      <c r="C6" s="175">
        <v>1165.5469969999999</v>
      </c>
      <c r="D6" s="175">
        <v>0.49991192146117303</v>
      </c>
      <c r="E6" s="175">
        <v>0.14642874643052264</v>
      </c>
      <c r="F6" s="175">
        <v>2</v>
      </c>
      <c r="G6" s="175">
        <f t="shared" ca="1" si="0"/>
        <v>-1.904325274674205E-2</v>
      </c>
      <c r="I6" s="2" t="s">
        <v>461</v>
      </c>
    </row>
    <row r="7" spans="2:13" x14ac:dyDescent="0.3">
      <c r="B7" s="174">
        <v>44013</v>
      </c>
      <c r="C7" s="175">
        <v>707.00225799999998</v>
      </c>
      <c r="D7" s="175">
        <v>-0.23436949282289674</v>
      </c>
      <c r="E7" s="175">
        <v>0.11760091827507239</v>
      </c>
      <c r="F7" s="175">
        <v>3</v>
      </c>
      <c r="G7" s="175">
        <f t="shared" ca="1" si="0"/>
        <v>0.13827102520446402</v>
      </c>
      <c r="I7" s="220" t="s">
        <v>145</v>
      </c>
      <c r="J7" s="220"/>
      <c r="K7" s="220"/>
      <c r="L7" s="220"/>
      <c r="M7" s="233">
        <v>2.4871810431067645E-2</v>
      </c>
    </row>
    <row r="8" spans="2:13" x14ac:dyDescent="0.3">
      <c r="B8" s="174">
        <v>44287</v>
      </c>
      <c r="C8" s="175">
        <v>893.72967500000004</v>
      </c>
      <c r="D8" s="175">
        <v>-0.11731693640516809</v>
      </c>
      <c r="E8" s="175">
        <v>0.11051837715850613</v>
      </c>
      <c r="F8" s="175">
        <v>4</v>
      </c>
      <c r="G8" s="175">
        <f t="shared" ca="1" si="0"/>
        <v>1.377159705335709E-2</v>
      </c>
      <c r="I8" s="220" t="s">
        <v>452</v>
      </c>
      <c r="J8" s="220"/>
      <c r="K8" s="220"/>
      <c r="L8" s="220"/>
      <c r="M8" s="233">
        <v>7.6129516947286119E-2</v>
      </c>
    </row>
    <row r="9" spans="2:13" x14ac:dyDescent="0.3">
      <c r="B9" s="174">
        <v>44621</v>
      </c>
      <c r="C9" s="175">
        <v>1004.977356</v>
      </c>
      <c r="D9" s="175">
        <v>0.22190265277487778</v>
      </c>
      <c r="E9" s="175">
        <v>9.5796507007122084E-2</v>
      </c>
      <c r="F9" s="175">
        <v>5</v>
      </c>
      <c r="G9" s="175">
        <f t="shared" ca="1" si="0"/>
        <v>4.0734865922348783E-2</v>
      </c>
      <c r="I9" s="220" t="s">
        <v>450</v>
      </c>
      <c r="J9" s="220"/>
      <c r="K9" s="220"/>
      <c r="L9" s="220"/>
      <c r="M9" s="227">
        <v>-0.11606532253868006</v>
      </c>
    </row>
    <row r="10" spans="2:13" x14ac:dyDescent="0.3">
      <c r="B10" s="174">
        <v>44166</v>
      </c>
      <c r="C10" s="175">
        <v>804.98016399999995</v>
      </c>
      <c r="D10" s="175">
        <v>0.23512122345816003</v>
      </c>
      <c r="E10" s="175">
        <v>9.5054131867374547E-2</v>
      </c>
      <c r="F10" s="175">
        <v>6</v>
      </c>
      <c r="G10" s="175">
        <f t="shared" ca="1" si="0"/>
        <v>-7.1306540600578408E-2</v>
      </c>
      <c r="I10" s="220" t="s">
        <v>451</v>
      </c>
      <c r="J10" s="220"/>
      <c r="K10" s="220"/>
      <c r="L10" s="220"/>
      <c r="M10" s="227">
        <v>0.33502079005715424</v>
      </c>
    </row>
    <row r="11" spans="2:13" x14ac:dyDescent="0.3">
      <c r="B11" s="174">
        <v>43952</v>
      </c>
      <c r="C11" s="175">
        <v>636.31671100000005</v>
      </c>
      <c r="D11" s="175">
        <v>-0.84433739641072336</v>
      </c>
      <c r="E11" s="175">
        <v>9.467785794843657E-2</v>
      </c>
      <c r="F11" s="175">
        <v>7</v>
      </c>
      <c r="G11" s="175">
        <f t="shared" ca="1" si="0"/>
        <v>4.1339547957971179E-2</v>
      </c>
      <c r="I11" s="220" t="s">
        <v>455</v>
      </c>
      <c r="J11" s="220"/>
      <c r="K11" s="220"/>
      <c r="L11" s="220"/>
      <c r="M11" s="234">
        <v>1470.9</v>
      </c>
    </row>
    <row r="12" spans="2:13" x14ac:dyDescent="0.3">
      <c r="B12" s="174">
        <v>45323</v>
      </c>
      <c r="C12" s="175">
        <v>1480.349976</v>
      </c>
      <c r="D12" s="175">
        <v>0.66598370405674212</v>
      </c>
      <c r="E12" s="175">
        <v>9.1433471113544579E-2</v>
      </c>
      <c r="F12" s="175">
        <v>8</v>
      </c>
      <c r="G12" s="175">
        <f t="shared" ca="1" si="0"/>
        <v>4.5935818997677354E-2</v>
      </c>
    </row>
    <row r="13" spans="2:13" x14ac:dyDescent="0.3">
      <c r="B13" s="174">
        <v>44075</v>
      </c>
      <c r="C13" s="175">
        <v>760.55627400000003</v>
      </c>
      <c r="D13" s="175">
        <v>-0.5745502329431974</v>
      </c>
      <c r="E13" s="175">
        <v>8.222341428059797E-2</v>
      </c>
      <c r="F13" s="175">
        <v>9</v>
      </c>
      <c r="G13" s="175">
        <f t="shared" ca="1" si="0"/>
        <v>-9.495248944925494E-2</v>
      </c>
      <c r="I13" s="2" t="s">
        <v>462</v>
      </c>
    </row>
    <row r="14" spans="2:13" x14ac:dyDescent="0.3">
      <c r="B14" s="174">
        <v>45292</v>
      </c>
      <c r="C14" s="175">
        <v>1351</v>
      </c>
      <c r="D14" s="175">
        <v>7.1639935369226526E-2</v>
      </c>
      <c r="E14" s="175">
        <v>8.0665857811492089E-2</v>
      </c>
      <c r="F14" s="175">
        <v>10</v>
      </c>
      <c r="G14" s="175">
        <f t="shared" ca="1" si="0"/>
        <v>-2.6845947370433266E-2</v>
      </c>
      <c r="I14" s="220" t="s">
        <v>145</v>
      </c>
      <c r="J14" s="220"/>
      <c r="K14" s="220"/>
      <c r="L14" s="220"/>
      <c r="M14" s="233">
        <f ca="1">AVERAGE(G5:G53)</f>
        <v>1.9041558809680715E-2</v>
      </c>
    </row>
    <row r="15" spans="2:13" x14ac:dyDescent="0.3">
      <c r="B15" s="174">
        <v>45139</v>
      </c>
      <c r="C15" s="175">
        <v>1257.599976</v>
      </c>
      <c r="D15" s="175">
        <v>0.12847321072476481</v>
      </c>
      <c r="E15" s="175">
        <v>7.6014621461806292E-2</v>
      </c>
      <c r="F15" s="175">
        <v>11</v>
      </c>
      <c r="G15" s="175">
        <f t="shared" ca="1" si="0"/>
        <v>3.2494961595109853E-2</v>
      </c>
      <c r="I15" s="220" t="s">
        <v>452</v>
      </c>
      <c r="J15" s="220"/>
      <c r="K15" s="220"/>
      <c r="L15" s="220"/>
      <c r="M15" s="233">
        <f ca="1">_xlfn.STDEV.S(G5:G53)</f>
        <v>7.4568521436461893E-2</v>
      </c>
    </row>
    <row r="16" spans="2:13" x14ac:dyDescent="0.3">
      <c r="B16" s="174">
        <v>44805</v>
      </c>
      <c r="C16" s="175">
        <v>1105.9801030000001</v>
      </c>
      <c r="D16" s="175">
        <v>0.1427758651490163</v>
      </c>
      <c r="E16" s="175">
        <v>7.5926644200610557E-2</v>
      </c>
      <c r="F16" s="175">
        <v>12</v>
      </c>
      <c r="G16" s="175">
        <f t="shared" ca="1" si="0"/>
        <v>-4.7953384483166703E-2</v>
      </c>
      <c r="I16" s="220" t="s">
        <v>450</v>
      </c>
      <c r="J16" s="220"/>
      <c r="K16" s="220"/>
      <c r="L16" s="220"/>
      <c r="M16" s="227">
        <f ca="1">MIN(G5:G53)</f>
        <v>-0.13979719776307012</v>
      </c>
    </row>
    <row r="17" spans="2:13" x14ac:dyDescent="0.3">
      <c r="B17" s="174">
        <v>44501</v>
      </c>
      <c r="C17" s="175">
        <v>958.82763699999998</v>
      </c>
      <c r="D17" s="175">
        <v>-6.2606639915683245E-3</v>
      </c>
      <c r="E17" s="175">
        <v>7.0645122916231956E-2</v>
      </c>
      <c r="F17" s="175">
        <v>13</v>
      </c>
      <c r="G17" s="175">
        <f t="shared" ca="1" si="0"/>
        <v>-8.3450260575791441E-2</v>
      </c>
      <c r="I17" s="220" t="s">
        <v>451</v>
      </c>
      <c r="J17" s="220"/>
      <c r="K17" s="220"/>
      <c r="L17" s="220"/>
      <c r="M17" s="227">
        <f ca="1">MAX(G5:G53)</f>
        <v>0.14892521456609756</v>
      </c>
    </row>
    <row r="18" spans="2:13" x14ac:dyDescent="0.3">
      <c r="B18" s="174">
        <v>44743</v>
      </c>
      <c r="C18" s="175">
        <v>964.84936500000003</v>
      </c>
      <c r="D18" s="175">
        <v>-4.2545043989883721E-2</v>
      </c>
      <c r="E18" s="175">
        <v>6.3570456431635183E-2</v>
      </c>
      <c r="F18" s="175">
        <v>14</v>
      </c>
      <c r="G18" s="175">
        <f t="shared" ca="1" si="0"/>
        <v>0.12622255058916648</v>
      </c>
      <c r="I18" s="220" t="s">
        <v>455</v>
      </c>
      <c r="J18" s="220"/>
      <c r="K18" s="220"/>
      <c r="L18" s="220"/>
      <c r="M18" s="234">
        <v>1470.9</v>
      </c>
    </row>
    <row r="19" spans="2:13" x14ac:dyDescent="0.3">
      <c r="B19" s="174">
        <v>45078</v>
      </c>
      <c r="C19" s="175">
        <v>1006.784668</v>
      </c>
      <c r="D19" s="175">
        <v>-1.8043512966953557E-2</v>
      </c>
      <c r="E19" s="175">
        <v>6.2927290741444666E-2</v>
      </c>
      <c r="F19" s="175">
        <v>15</v>
      </c>
      <c r="G19" s="175">
        <f t="shared" ca="1" si="0"/>
        <v>1.5876650044361063E-2</v>
      </c>
    </row>
    <row r="20" spans="2:13" ht="15" thickBot="1" x14ac:dyDescent="0.35">
      <c r="B20" s="174">
        <v>44774</v>
      </c>
      <c r="C20" s="175">
        <v>1025.1154790000001</v>
      </c>
      <c r="D20" s="175">
        <v>0.90656278300816773</v>
      </c>
      <c r="E20" s="175">
        <v>6.0588556956837313E-2</v>
      </c>
      <c r="F20" s="175">
        <v>16</v>
      </c>
      <c r="G20" s="175">
        <f t="shared" ca="1" si="0"/>
        <v>2.2458039176130835E-2</v>
      </c>
    </row>
    <row r="21" spans="2:13" ht="15" thickBot="1" x14ac:dyDescent="0.35">
      <c r="B21" s="174">
        <v>43891</v>
      </c>
      <c r="C21" s="175">
        <v>414.05456500000003</v>
      </c>
      <c r="D21" s="175">
        <v>-0.82559197929976935</v>
      </c>
      <c r="E21" s="175">
        <v>5.031668370533552E-2</v>
      </c>
      <c r="F21" s="175">
        <v>17</v>
      </c>
      <c r="G21" s="175">
        <f t="shared" ca="1" si="0"/>
        <v>1.8557302801747666E-2</v>
      </c>
      <c r="I21" s="235" t="s">
        <v>453</v>
      </c>
      <c r="J21" s="235" t="s">
        <v>458</v>
      </c>
      <c r="K21" s="235" t="s">
        <v>454</v>
      </c>
      <c r="L21" s="235" t="s">
        <v>456</v>
      </c>
      <c r="M21" s="235" t="s">
        <v>457</v>
      </c>
    </row>
    <row r="22" spans="2:13" x14ac:dyDescent="0.3">
      <c r="B22" s="174">
        <v>45047</v>
      </c>
      <c r="C22" s="175">
        <v>945.38262899999995</v>
      </c>
      <c r="D22" s="175">
        <v>-0.20286697719052224</v>
      </c>
      <c r="E22" s="175">
        <v>4.8367957155544351E-2</v>
      </c>
      <c r="F22" s="175">
        <v>18</v>
      </c>
      <c r="G22" s="175">
        <f t="shared" ca="1" si="0"/>
        <v>-1.6771636343376983E-2</v>
      </c>
      <c r="I22" s="236">
        <v>0.05</v>
      </c>
      <c r="J22" s="236">
        <v>0.95</v>
      </c>
      <c r="K22" s="236">
        <f ca="1">_xlfn.PERCENTILE.INC($G$5:$G$53,I22)</f>
        <v>-9.1477929626500629E-2</v>
      </c>
      <c r="L22" s="237">
        <v>1590.9973613673858</v>
      </c>
      <c r="M22" s="238">
        <v>-120.0973613673857</v>
      </c>
    </row>
    <row r="23" spans="2:13" x14ac:dyDescent="0.3">
      <c r="B23" s="174">
        <v>44835</v>
      </c>
      <c r="C23" s="175">
        <v>1158.0081789999999</v>
      </c>
      <c r="D23" s="175">
        <v>0.17621222326016212</v>
      </c>
      <c r="E23" s="175">
        <v>4.596952928151337E-2</v>
      </c>
      <c r="F23" s="175">
        <v>19</v>
      </c>
      <c r="G23" s="175">
        <f t="shared" ca="1" si="0"/>
        <v>7.4085613952745349E-2</v>
      </c>
      <c r="I23" s="239">
        <v>0.01</v>
      </c>
      <c r="J23" s="239">
        <v>0.99</v>
      </c>
      <c r="K23" s="239">
        <f ca="1">_xlfn.PERCENTILE.INC($G$5:$G$53,I23)</f>
        <v>-0.11827173777243884</v>
      </c>
      <c r="L23" s="241">
        <v>1634.4090814827689</v>
      </c>
      <c r="M23" s="242">
        <v>-163.50908148276881</v>
      </c>
    </row>
    <row r="24" spans="2:13" x14ac:dyDescent="0.3">
      <c r="B24" s="174">
        <v>44440</v>
      </c>
      <c r="C24" s="175">
        <v>970.92040999999995</v>
      </c>
      <c r="D24" s="175">
        <v>4.0892757415396164E-2</v>
      </c>
      <c r="E24" s="175">
        <v>4.2526816226515454E-2</v>
      </c>
      <c r="F24" s="175">
        <v>20</v>
      </c>
      <c r="G24" s="175">
        <f t="shared" ca="1" si="0"/>
        <v>1.932583177578634E-4</v>
      </c>
      <c r="I24" s="239">
        <v>5.0000000000000001E-3</v>
      </c>
      <c r="J24" s="239">
        <v>0.995</v>
      </c>
      <c r="K24" s="239">
        <f ca="1">_xlfn.PERCENTILE.INC($G$5:$G$53,I24)</f>
        <v>-0.12903446776775448</v>
      </c>
      <c r="L24" s="241">
        <v>1638.0914992390458</v>
      </c>
      <c r="M24" s="242">
        <v>-167.1914992390457</v>
      </c>
    </row>
    <row r="25" spans="2:13" x14ac:dyDescent="0.3">
      <c r="B25" s="174">
        <v>44317</v>
      </c>
      <c r="C25" s="175">
        <v>932.01763900000003</v>
      </c>
      <c r="D25" s="175">
        <v>0.15246676513977891</v>
      </c>
      <c r="E25" s="175">
        <v>4.1948387981272789E-2</v>
      </c>
      <c r="F25" s="175">
        <v>21</v>
      </c>
      <c r="G25" s="175">
        <f t="shared" ca="1" si="0"/>
        <v>0.13468657956504429</v>
      </c>
      <c r="I25" s="239">
        <v>0.1</v>
      </c>
      <c r="J25" s="239">
        <v>0.9</v>
      </c>
      <c r="K25" s="239">
        <f ca="1">_xlfn.PERCENTILE.INC($G$5:$G$53,I25)</f>
        <v>-7.8670150813287654E-2</v>
      </c>
      <c r="L25" s="241">
        <v>1556.2192804263543</v>
      </c>
      <c r="M25" s="242">
        <v>-85.319280426354226</v>
      </c>
    </row>
    <row r="26" spans="2:13" x14ac:dyDescent="0.3">
      <c r="B26" s="174">
        <v>44256</v>
      </c>
      <c r="C26" s="175">
        <v>800.21862799999997</v>
      </c>
      <c r="D26" s="175">
        <v>-0.15083270632865958</v>
      </c>
      <c r="E26" s="175">
        <v>3.5018966756106898E-2</v>
      </c>
      <c r="F26" s="175">
        <v>22</v>
      </c>
      <c r="G26" s="175">
        <f t="shared" ca="1" si="0"/>
        <v>-5.6038436483089843E-2</v>
      </c>
    </row>
    <row r="27" spans="2:13" x14ac:dyDescent="0.3">
      <c r="B27" s="174">
        <v>44409</v>
      </c>
      <c r="C27" s="175">
        <v>930.49591099999998</v>
      </c>
      <c r="D27" s="175">
        <v>-0.29221679848766352</v>
      </c>
      <c r="E27" s="175">
        <v>2.9715405465360653E-2</v>
      </c>
      <c r="F27" s="175">
        <v>23</v>
      </c>
      <c r="G27" s="175">
        <f t="shared" ca="1" si="0"/>
        <v>-9.1588170914755587E-2</v>
      </c>
    </row>
    <row r="28" spans="2:13" x14ac:dyDescent="0.3">
      <c r="B28" s="174">
        <v>45261</v>
      </c>
      <c r="C28" s="175">
        <v>1246.3000489999999</v>
      </c>
      <c r="D28" s="175">
        <v>0.26710735769867622</v>
      </c>
      <c r="E28" s="175">
        <v>2.7659778977131774E-2</v>
      </c>
      <c r="F28" s="175">
        <v>24</v>
      </c>
      <c r="G28" s="175">
        <f t="shared" ca="1" si="0"/>
        <v>-9.1312567694118191E-2</v>
      </c>
    </row>
    <row r="29" spans="2:13" x14ac:dyDescent="0.3">
      <c r="B29" s="174">
        <v>44348</v>
      </c>
      <c r="C29" s="175">
        <v>954.15594499999997</v>
      </c>
      <c r="D29" s="175">
        <v>-2.6929211106783698E-2</v>
      </c>
      <c r="E29" s="175">
        <v>2.3475381977868016E-2</v>
      </c>
      <c r="F29" s="175">
        <v>25</v>
      </c>
      <c r="G29" s="175">
        <f t="shared" ca="1" si="0"/>
        <v>0.13811037485102753</v>
      </c>
    </row>
    <row r="30" spans="2:13" x14ac:dyDescent="0.3">
      <c r="B30" s="174">
        <v>44682</v>
      </c>
      <c r="C30" s="175">
        <v>980.19970699999999</v>
      </c>
      <c r="D30" s="175">
        <v>-0.2023205022192773</v>
      </c>
      <c r="E30" s="175">
        <v>1.1903998590965957E-2</v>
      </c>
      <c r="F30" s="175">
        <v>26</v>
      </c>
      <c r="G30" s="175">
        <f t="shared" ca="1" si="0"/>
        <v>-4.6085816464794579E-2</v>
      </c>
    </row>
    <row r="31" spans="2:13" x14ac:dyDescent="0.3">
      <c r="B31" s="174">
        <v>45200</v>
      </c>
      <c r="C31" s="175">
        <v>1200</v>
      </c>
      <c r="D31" s="175">
        <v>-1.019786539548336E-2</v>
      </c>
      <c r="E31" s="175">
        <v>1.1608768434189466E-2</v>
      </c>
      <c r="F31" s="175">
        <v>27</v>
      </c>
      <c r="G31" s="175">
        <f t="shared" ca="1" si="0"/>
        <v>8.2769983612594494E-2</v>
      </c>
    </row>
    <row r="32" spans="2:13" x14ac:dyDescent="0.3">
      <c r="B32" s="174">
        <v>45231</v>
      </c>
      <c r="C32" s="175">
        <v>1212.3000489999999</v>
      </c>
      <c r="D32" s="175">
        <v>0.29705291436992048</v>
      </c>
      <c r="E32" s="175">
        <v>1.0197865395483299E-2</v>
      </c>
      <c r="F32" s="175">
        <v>28</v>
      </c>
      <c r="G32" s="175">
        <f t="shared" ca="1" si="0"/>
        <v>0.11291807528858712</v>
      </c>
    </row>
    <row r="33" spans="2:7" x14ac:dyDescent="0.3">
      <c r="B33" s="174">
        <v>45017</v>
      </c>
      <c r="C33" s="175">
        <v>900.74462900000003</v>
      </c>
      <c r="D33" s="175">
        <v>0.10517381485568987</v>
      </c>
      <c r="E33" s="175">
        <v>8.3492087523377601E-3</v>
      </c>
      <c r="F33" s="175">
        <v>29</v>
      </c>
      <c r="G33" s="175">
        <f t="shared" ca="1" si="0"/>
        <v>-7.7475123372661714E-2</v>
      </c>
    </row>
    <row r="34" spans="2:7" x14ac:dyDescent="0.3">
      <c r="B34" s="174">
        <v>44197</v>
      </c>
      <c r="C34" s="175">
        <v>810.82153300000004</v>
      </c>
      <c r="D34" s="175">
        <v>-0.14021297090827076</v>
      </c>
      <c r="E34" s="175">
        <v>7.2303358247845151E-3</v>
      </c>
      <c r="F34" s="175">
        <v>30</v>
      </c>
      <c r="G34" s="175">
        <f t="shared" ca="1" si="0"/>
        <v>7.141924965535594E-2</v>
      </c>
    </row>
    <row r="35" spans="2:7" x14ac:dyDescent="0.3">
      <c r="B35" s="174">
        <v>44562</v>
      </c>
      <c r="C35" s="175">
        <v>932.86541699999998</v>
      </c>
      <c r="D35" s="175">
        <v>4.3388364804918617E-2</v>
      </c>
      <c r="E35" s="175">
        <v>9.5281731462049254E-4</v>
      </c>
      <c r="F35" s="175">
        <v>31</v>
      </c>
      <c r="G35" s="175">
        <f t="shared" ca="1" si="0"/>
        <v>0.134477937644431</v>
      </c>
    </row>
    <row r="36" spans="2:7" x14ac:dyDescent="0.3">
      <c r="B36" s="174">
        <v>44986</v>
      </c>
      <c r="C36" s="175">
        <v>893.25543200000004</v>
      </c>
      <c r="D36" s="175">
        <v>0.24304588731291349</v>
      </c>
      <c r="E36" s="175">
        <v>-6.5305504343107839E-3</v>
      </c>
      <c r="F36" s="175">
        <v>32</v>
      </c>
      <c r="G36" s="175">
        <f t="shared" ca="1" si="0"/>
        <v>-6.2843549894152466E-3</v>
      </c>
    </row>
    <row r="37" spans="2:7" x14ac:dyDescent="0.3">
      <c r="B37" s="174">
        <v>44044</v>
      </c>
      <c r="C37" s="175">
        <v>700.52264400000001</v>
      </c>
      <c r="D37" s="175">
        <v>-4.3936813517402439E-2</v>
      </c>
      <c r="E37" s="175">
        <v>-9.2071689315898417E-3</v>
      </c>
      <c r="F37" s="175">
        <v>33</v>
      </c>
      <c r="G37" s="175">
        <f t="shared" ref="G37:G53" ca="1" si="1">_xlfn.NORM.INV(RAND(),M$7,M$8)</f>
        <v>-3.5111654378450222E-2</v>
      </c>
    </row>
    <row r="38" spans="2:7" x14ac:dyDescent="0.3">
      <c r="B38" s="174">
        <v>44136</v>
      </c>
      <c r="C38" s="175">
        <v>731.98754899999994</v>
      </c>
      <c r="D38" s="175">
        <v>0.15233056286088489</v>
      </c>
      <c r="E38" s="175">
        <v>-1.1865982003269059E-2</v>
      </c>
      <c r="F38" s="175">
        <v>34</v>
      </c>
      <c r="G38" s="175">
        <f t="shared" ca="1" si="1"/>
        <v>4.8855268611731305E-3</v>
      </c>
    </row>
    <row r="39" spans="2:7" x14ac:dyDescent="0.3">
      <c r="B39" s="174">
        <v>43983</v>
      </c>
      <c r="C39" s="175">
        <v>628.56091300000003</v>
      </c>
      <c r="D39" s="175">
        <v>-0.37349084049601511</v>
      </c>
      <c r="E39" s="175">
        <v>-1.2263471270099286E-2</v>
      </c>
      <c r="F39" s="175">
        <v>35</v>
      </c>
      <c r="G39" s="175">
        <f t="shared" ca="1" si="1"/>
        <v>-3.5376198836019862E-2</v>
      </c>
    </row>
    <row r="40" spans="2:7" x14ac:dyDescent="0.3">
      <c r="B40" s="174">
        <v>44593</v>
      </c>
      <c r="C40" s="175">
        <v>913.17156999999997</v>
      </c>
      <c r="D40" s="175">
        <v>-0.21347509660283989</v>
      </c>
      <c r="E40" s="175">
        <v>-2.1337160965299515E-2</v>
      </c>
      <c r="F40" s="175">
        <v>36</v>
      </c>
      <c r="G40" s="175">
        <f t="shared" ca="1" si="1"/>
        <v>8.5265632755868903E-2</v>
      </c>
    </row>
    <row r="41" spans="2:7" x14ac:dyDescent="0.3">
      <c r="B41" s="174">
        <v>44866</v>
      </c>
      <c r="C41" s="175">
        <v>1130.4814449999999</v>
      </c>
      <c r="D41" s="175">
        <v>0.42276939223470106</v>
      </c>
      <c r="E41" s="175">
        <v>-2.405784265594528E-2</v>
      </c>
      <c r="F41" s="175">
        <v>37</v>
      </c>
      <c r="G41" s="175">
        <f t="shared" ca="1" si="1"/>
        <v>-3.0477325150754412E-2</v>
      </c>
    </row>
    <row r="42" spans="2:7" x14ac:dyDescent="0.3">
      <c r="B42" s="174">
        <v>44105</v>
      </c>
      <c r="C42" s="175">
        <v>740.72503700000004</v>
      </c>
      <c r="D42" s="175">
        <v>-0.22967863928254018</v>
      </c>
      <c r="E42" s="175">
        <v>-2.6420618759926573E-2</v>
      </c>
      <c r="F42" s="175">
        <v>38</v>
      </c>
      <c r="G42" s="175">
        <f t="shared" ca="1" si="1"/>
        <v>-0.13979719776307012</v>
      </c>
    </row>
    <row r="43" spans="2:7" x14ac:dyDescent="0.3">
      <c r="B43" s="174">
        <v>44531</v>
      </c>
      <c r="C43" s="175">
        <v>931.97699</v>
      </c>
      <c r="D43" s="175">
        <v>-3.8544209426233537E-2</v>
      </c>
      <c r="E43" s="175">
        <v>-2.8403201177576436E-2</v>
      </c>
      <c r="F43" s="175">
        <v>39</v>
      </c>
      <c r="G43" s="175">
        <f t="shared" ca="1" si="1"/>
        <v>0.10965896421536793</v>
      </c>
    </row>
    <row r="44" spans="2:7" x14ac:dyDescent="0.3">
      <c r="B44" s="174">
        <v>44652</v>
      </c>
      <c r="C44" s="175">
        <v>968.60058600000002</v>
      </c>
      <c r="D44" s="175">
        <v>0.22598632638957183</v>
      </c>
      <c r="E44" s="175">
        <v>-3.6867953930209425E-2</v>
      </c>
      <c r="F44" s="175">
        <v>40</v>
      </c>
      <c r="G44" s="175">
        <f t="shared" ca="1" si="1"/>
        <v>0.11494219185593334</v>
      </c>
    </row>
    <row r="45" spans="2:7" x14ac:dyDescent="0.3">
      <c r="B45" s="174">
        <v>44228</v>
      </c>
      <c r="C45" s="175">
        <v>772.68078600000001</v>
      </c>
      <c r="D45" s="175">
        <v>-0.15613626761940605</v>
      </c>
      <c r="E45" s="175">
        <v>-4.8181963369687879E-2</v>
      </c>
      <c r="F45" s="175">
        <v>41</v>
      </c>
      <c r="G45" s="175">
        <f t="shared" ca="1" si="1"/>
        <v>9.0416232639953659E-2</v>
      </c>
    </row>
    <row r="46" spans="2:7" x14ac:dyDescent="0.3">
      <c r="B46" s="174">
        <v>44378</v>
      </c>
      <c r="C46" s="175">
        <v>903.25262499999997</v>
      </c>
      <c r="D46" s="175">
        <v>-0.11146617482662477</v>
      </c>
      <c r="E46" s="175">
        <v>-5.4824846254347907E-2</v>
      </c>
      <c r="F46" s="175">
        <v>42</v>
      </c>
      <c r="G46" s="175">
        <f t="shared" ca="1" si="1"/>
        <v>-3.7286553846739151E-2</v>
      </c>
    </row>
    <row r="47" spans="2:7" x14ac:dyDescent="0.3">
      <c r="B47" s="174">
        <v>44927</v>
      </c>
      <c r="C47" s="175">
        <v>1009.760498</v>
      </c>
      <c r="D47" s="175">
        <v>-5.541313537969289E-2</v>
      </c>
      <c r="E47" s="175">
        <v>-5.541313537969289E-2</v>
      </c>
      <c r="F47" s="175">
        <v>43</v>
      </c>
      <c r="G47" s="175">
        <f t="shared" ca="1" si="1"/>
        <v>4.0339395001059063E-2</v>
      </c>
    </row>
    <row r="48" spans="2:7" x14ac:dyDescent="0.3">
      <c r="B48" s="174">
        <v>44896</v>
      </c>
      <c r="C48" s="175">
        <v>1067.293823</v>
      </c>
      <c r="D48" s="175">
        <v>-0.10558648093990164</v>
      </c>
      <c r="E48" s="175">
        <v>-5.7517292089775386E-2</v>
      </c>
      <c r="F48" s="175">
        <v>44</v>
      </c>
      <c r="G48" s="175">
        <f t="shared" ca="1" si="1"/>
        <v>-5.4330287723227511E-2</v>
      </c>
    </row>
    <row r="49" spans="2:13" x14ac:dyDescent="0.3">
      <c r="B49" s="174">
        <v>45170</v>
      </c>
      <c r="C49" s="175">
        <v>1186.150024</v>
      </c>
      <c r="D49" s="175">
        <v>0.27006653306477746</v>
      </c>
      <c r="E49" s="175">
        <v>-5.8492335249070299E-2</v>
      </c>
      <c r="F49" s="175">
        <v>45</v>
      </c>
      <c r="G49" s="175">
        <f t="shared" ca="1" si="1"/>
        <v>2.6937411659964466E-2</v>
      </c>
    </row>
    <row r="50" spans="2:13" x14ac:dyDescent="0.3">
      <c r="B50" s="174">
        <v>44713</v>
      </c>
      <c r="C50" s="175">
        <v>905.42236300000002</v>
      </c>
      <c r="D50" s="175">
        <v>1.333533047616522E-2</v>
      </c>
      <c r="E50" s="175">
        <v>-7.9354799279689775E-2</v>
      </c>
      <c r="F50" s="175">
        <v>46</v>
      </c>
      <c r="G50" s="175">
        <f t="shared" ca="1" si="1"/>
        <v>9.7482785134981376E-2</v>
      </c>
    </row>
    <row r="51" spans="2:13" x14ac:dyDescent="0.3">
      <c r="B51" s="174">
        <v>44470</v>
      </c>
      <c r="C51" s="175">
        <v>893.428406</v>
      </c>
      <c r="D51" s="175">
        <v>0.81938512284886567</v>
      </c>
      <c r="E51" s="175">
        <v>-8.3178294086599311E-2</v>
      </c>
      <c r="F51" s="175">
        <v>47</v>
      </c>
      <c r="G51" s="175">
        <f t="shared" ca="1" si="1"/>
        <v>2.8246722039815111E-2</v>
      </c>
    </row>
    <row r="52" spans="2:13" x14ac:dyDescent="0.3">
      <c r="B52" s="174">
        <v>43862</v>
      </c>
      <c r="C52" s="175">
        <v>393.736176</v>
      </c>
      <c r="D52" s="175">
        <v>-0.82572204753153355</v>
      </c>
      <c r="E52" s="175">
        <v>-0.10563401699933615</v>
      </c>
      <c r="F52" s="175">
        <v>48</v>
      </c>
      <c r="G52" s="175">
        <f t="shared" ca="1" si="1"/>
        <v>0.14892521456609756</v>
      </c>
    </row>
    <row r="53" spans="2:13" x14ac:dyDescent="0.3">
      <c r="B53" s="174">
        <v>44958</v>
      </c>
      <c r="C53" s="175">
        <v>899.10797100000002</v>
      </c>
      <c r="D53" s="175">
        <v>1.2835289866786335</v>
      </c>
      <c r="E53" s="175">
        <v>-0.11606532253868006</v>
      </c>
      <c r="F53" s="175">
        <v>49</v>
      </c>
      <c r="G53" s="175">
        <f t="shared" ca="1" si="1"/>
        <v>2.0259287762279352E-2</v>
      </c>
    </row>
    <row r="54" spans="2:13" x14ac:dyDescent="0.3">
      <c r="F54" s="175"/>
    </row>
    <row r="55" spans="2:13" ht="7.2" customHeight="1" x14ac:dyDescent="0.3">
      <c r="B55" s="59"/>
      <c r="C55" s="59"/>
      <c r="D55" s="59"/>
      <c r="E55" s="59"/>
      <c r="F55" s="243"/>
      <c r="G55" s="59"/>
      <c r="H55" s="59"/>
      <c r="I55" s="59"/>
      <c r="J55" s="59"/>
      <c r="K55" s="59"/>
      <c r="L55" s="59"/>
      <c r="M55" s="59"/>
    </row>
    <row r="56" spans="2:13" x14ac:dyDescent="0.3">
      <c r="F56" s="175"/>
    </row>
    <row r="57" spans="2:13" x14ac:dyDescent="0.3">
      <c r="F57" s="175"/>
    </row>
    <row r="58" spans="2:13" x14ac:dyDescent="0.3">
      <c r="F58" s="175"/>
    </row>
    <row r="59" spans="2:13" x14ac:dyDescent="0.3">
      <c r="F59" s="175"/>
    </row>
    <row r="60" spans="2:13" x14ac:dyDescent="0.3">
      <c r="F60" s="175"/>
    </row>
    <row r="61" spans="2:13" x14ac:dyDescent="0.3">
      <c r="F61" s="175"/>
    </row>
    <row r="62" spans="2:13" x14ac:dyDescent="0.3">
      <c r="F62" s="175"/>
    </row>
    <row r="63" spans="2:13" x14ac:dyDescent="0.3">
      <c r="F63" s="175"/>
    </row>
    <row r="64" spans="2:13" x14ac:dyDescent="0.3">
      <c r="F64" s="175"/>
    </row>
    <row r="65" spans="6:6" x14ac:dyDescent="0.3">
      <c r="F65" s="175"/>
    </row>
    <row r="66" spans="6:6" x14ac:dyDescent="0.3">
      <c r="F66" s="175"/>
    </row>
    <row r="67" spans="6:6" x14ac:dyDescent="0.3">
      <c r="F67" s="175"/>
    </row>
    <row r="68" spans="6:6" x14ac:dyDescent="0.3">
      <c r="F68" s="175"/>
    </row>
    <row r="69" spans="6:6" x14ac:dyDescent="0.3">
      <c r="F69" s="175"/>
    </row>
    <row r="70" spans="6:6" x14ac:dyDescent="0.3">
      <c r="F70" s="175"/>
    </row>
    <row r="71" spans="6:6" x14ac:dyDescent="0.3">
      <c r="F71" s="175"/>
    </row>
    <row r="72" spans="6:6" x14ac:dyDescent="0.3">
      <c r="F72" s="175"/>
    </row>
    <row r="73" spans="6:6" x14ac:dyDescent="0.3">
      <c r="F73" s="175"/>
    </row>
    <row r="74" spans="6:6" x14ac:dyDescent="0.3">
      <c r="F74" s="175"/>
    </row>
    <row r="75" spans="6:6" x14ac:dyDescent="0.3">
      <c r="F75" s="175"/>
    </row>
    <row r="76" spans="6:6" x14ac:dyDescent="0.3">
      <c r="F76" s="175"/>
    </row>
    <row r="77" spans="6:6" x14ac:dyDescent="0.3">
      <c r="F77" s="175"/>
    </row>
    <row r="78" spans="6:6" x14ac:dyDescent="0.3">
      <c r="F78" s="175"/>
    </row>
    <row r="79" spans="6:6" x14ac:dyDescent="0.3">
      <c r="F79" s="175"/>
    </row>
    <row r="80" spans="6:6" x14ac:dyDescent="0.3">
      <c r="F80" s="175"/>
    </row>
    <row r="81" spans="6:6" x14ac:dyDescent="0.3">
      <c r="F81" s="175"/>
    </row>
    <row r="82" spans="6:6" x14ac:dyDescent="0.3">
      <c r="F82" s="175"/>
    </row>
    <row r="83" spans="6:6" x14ac:dyDescent="0.3">
      <c r="F83" s="175"/>
    </row>
    <row r="84" spans="6:6" x14ac:dyDescent="0.3">
      <c r="F84" s="175"/>
    </row>
    <row r="85" spans="6:6" x14ac:dyDescent="0.3">
      <c r="F85" s="175"/>
    </row>
    <row r="86" spans="6:6" x14ac:dyDescent="0.3">
      <c r="F86" s="175"/>
    </row>
    <row r="87" spans="6:6" x14ac:dyDescent="0.3">
      <c r="F87" s="175"/>
    </row>
    <row r="88" spans="6:6" x14ac:dyDescent="0.3">
      <c r="F88" s="175"/>
    </row>
    <row r="89" spans="6:6" x14ac:dyDescent="0.3">
      <c r="F89" s="175"/>
    </row>
    <row r="90" spans="6:6" x14ac:dyDescent="0.3">
      <c r="F90" s="175"/>
    </row>
    <row r="91" spans="6:6" x14ac:dyDescent="0.3">
      <c r="F91" s="175"/>
    </row>
    <row r="92" spans="6:6" x14ac:dyDescent="0.3">
      <c r="F92" s="175"/>
    </row>
    <row r="93" spans="6:6" x14ac:dyDescent="0.3">
      <c r="F93" s="175"/>
    </row>
    <row r="94" spans="6:6" x14ac:dyDescent="0.3">
      <c r="F94" s="175"/>
    </row>
    <row r="95" spans="6:6" x14ac:dyDescent="0.3">
      <c r="F95" s="175"/>
    </row>
    <row r="96" spans="6:6" x14ac:dyDescent="0.3">
      <c r="F96" s="175"/>
    </row>
    <row r="97" spans="6:6" x14ac:dyDescent="0.3">
      <c r="F97" s="175"/>
    </row>
    <row r="98" spans="6:6" x14ac:dyDescent="0.3">
      <c r="F98" s="175"/>
    </row>
    <row r="99" spans="6:6" x14ac:dyDescent="0.3">
      <c r="F99" s="175"/>
    </row>
    <row r="100" spans="6:6" x14ac:dyDescent="0.3">
      <c r="F100" s="175"/>
    </row>
    <row r="101" spans="6:6" x14ac:dyDescent="0.3">
      <c r="F101" s="175"/>
    </row>
    <row r="102" spans="6:6" x14ac:dyDescent="0.3">
      <c r="F102" s="175"/>
    </row>
    <row r="103" spans="6:6" x14ac:dyDescent="0.3">
      <c r="F103" s="175"/>
    </row>
    <row r="104" spans="6:6" x14ac:dyDescent="0.3">
      <c r="F104" s="175"/>
    </row>
  </sheetData>
  <mergeCells count="1">
    <mergeCell ref="B2:M2"/>
  </mergeCells>
  <pageMargins left="0.7" right="0.7" top="0.75" bottom="0.75" header="0.3" footer="0.3"/>
  <pageSetup scale="61"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89B3-62C0-41EF-B83D-FFA36F029E67}">
  <dimension ref="B2:K151"/>
  <sheetViews>
    <sheetView showGridLines="0" topLeftCell="A82" workbookViewId="0">
      <pane xSplit="2" ySplit="9" topLeftCell="C145" activePane="bottomRight" state="frozen"/>
      <selection activeCell="A82" sqref="A82"/>
      <selection pane="topRight" activeCell="C82" sqref="C82"/>
      <selection pane="bottomLeft" activeCell="A91" sqref="A91"/>
      <selection pane="bottomRight" activeCell="E151" sqref="E151"/>
    </sheetView>
  </sheetViews>
  <sheetFormatPr defaultRowHeight="14.4" x14ac:dyDescent="0.3"/>
  <cols>
    <col min="1" max="1" width="2.88671875" customWidth="1"/>
    <col min="2" max="2" width="23.33203125" customWidth="1"/>
    <col min="3" max="3" width="22.77734375" bestFit="1" customWidth="1"/>
    <col min="4" max="6" width="13.109375" bestFit="1" customWidth="1"/>
    <col min="7" max="7" width="10.109375" bestFit="1" customWidth="1"/>
    <col min="9" max="9" width="13.33203125" bestFit="1" customWidth="1"/>
    <col min="10" max="10" width="13.6640625" bestFit="1" customWidth="1"/>
    <col min="11" max="11" width="18.21875" bestFit="1" customWidth="1"/>
  </cols>
  <sheetData>
    <row r="2" spans="2:8" x14ac:dyDescent="0.3">
      <c r="B2" s="61"/>
      <c r="C2" s="61">
        <v>2023</v>
      </c>
      <c r="D2" s="61">
        <v>2022</v>
      </c>
      <c r="E2" s="61">
        <v>2021</v>
      </c>
      <c r="F2" s="61">
        <v>2020</v>
      </c>
      <c r="H2" s="55">
        <v>10000000</v>
      </c>
    </row>
    <row r="3" spans="2:8" x14ac:dyDescent="0.3">
      <c r="B3" t="s">
        <v>166</v>
      </c>
      <c r="C3" s="63">
        <v>22753</v>
      </c>
      <c r="D3" s="63">
        <v>21763</v>
      </c>
      <c r="E3" s="63">
        <v>19159</v>
      </c>
      <c r="F3" s="63">
        <v>17131</v>
      </c>
    </row>
    <row r="4" spans="2:8" x14ac:dyDescent="0.3">
      <c r="B4" t="s">
        <v>9</v>
      </c>
      <c r="C4" s="63">
        <v>2835</v>
      </c>
      <c r="D4" s="63">
        <v>2559</v>
      </c>
      <c r="E4" s="63">
        <v>2401</v>
      </c>
      <c r="F4" s="63">
        <v>1546</v>
      </c>
    </row>
    <row r="5" spans="2:8" x14ac:dyDescent="0.3">
      <c r="B5" t="s">
        <v>167</v>
      </c>
      <c r="C5" s="21">
        <v>89606300</v>
      </c>
      <c r="D5" s="21">
        <v>92297200</v>
      </c>
      <c r="E5" s="21">
        <v>80203800</v>
      </c>
      <c r="F5" s="21">
        <v>66093800</v>
      </c>
    </row>
    <row r="6" spans="2:8" x14ac:dyDescent="0.3">
      <c r="B6" t="s">
        <v>60</v>
      </c>
      <c r="C6" s="21">
        <v>135125500</v>
      </c>
      <c r="D6" s="21">
        <v>123936400</v>
      </c>
      <c r="E6" s="21">
        <v>109681400</v>
      </c>
      <c r="F6" s="21">
        <v>100854700</v>
      </c>
    </row>
    <row r="7" spans="2:8" x14ac:dyDescent="0.3">
      <c r="B7" t="s">
        <v>168</v>
      </c>
      <c r="C7" s="21">
        <v>94946800</v>
      </c>
      <c r="D7" s="21">
        <v>88232100</v>
      </c>
      <c r="E7" s="21">
        <v>77174000</v>
      </c>
      <c r="F7" s="21">
        <v>79749500</v>
      </c>
    </row>
    <row r="8" spans="2:8" x14ac:dyDescent="0.3">
      <c r="B8" t="s">
        <v>169</v>
      </c>
      <c r="C8" s="21">
        <v>40178700</v>
      </c>
      <c r="D8" s="21">
        <v>35704300</v>
      </c>
      <c r="E8" s="21">
        <v>32507400</v>
      </c>
      <c r="F8" s="21">
        <v>21105200</v>
      </c>
    </row>
    <row r="9" spans="2:8" x14ac:dyDescent="0.3">
      <c r="B9" t="s">
        <v>170</v>
      </c>
      <c r="C9" s="21">
        <v>527000</v>
      </c>
      <c r="D9" s="21">
        <v>-267300</v>
      </c>
      <c r="E9" s="21">
        <v>-1134400</v>
      </c>
      <c r="F9" s="21">
        <v>-1296900</v>
      </c>
    </row>
    <row r="10" spans="2:8" x14ac:dyDescent="0.3">
      <c r="B10" t="s">
        <v>171</v>
      </c>
      <c r="C10" s="21">
        <v>40383500</v>
      </c>
      <c r="D10" s="21">
        <v>34932700</v>
      </c>
      <c r="E10" s="21">
        <v>32900600</v>
      </c>
      <c r="F10" s="21">
        <v>21781800</v>
      </c>
    </row>
    <row r="11" spans="2:8" x14ac:dyDescent="0.3">
      <c r="B11" t="s">
        <v>172</v>
      </c>
      <c r="C11" s="21">
        <v>12028600</v>
      </c>
      <c r="D11" s="21">
        <v>9338000</v>
      </c>
      <c r="E11" s="21">
        <v>8887600</v>
      </c>
      <c r="F11" s="21">
        <v>6312000</v>
      </c>
    </row>
    <row r="12" spans="2:8" x14ac:dyDescent="0.3">
      <c r="B12" t="s">
        <v>173</v>
      </c>
      <c r="C12" s="21">
        <v>28019100</v>
      </c>
      <c r="D12" s="21">
        <v>25167500</v>
      </c>
      <c r="E12" s="21">
        <v>24048700</v>
      </c>
      <c r="F12" s="21">
        <v>15465200</v>
      </c>
    </row>
    <row r="13" spans="2:8" x14ac:dyDescent="0.3">
      <c r="B13" t="s">
        <v>174</v>
      </c>
      <c r="C13" s="21">
        <v>28019100</v>
      </c>
      <c r="D13" s="21">
        <v>25167500</v>
      </c>
      <c r="E13" s="21">
        <v>24048700</v>
      </c>
      <c r="F13" s="21">
        <v>15465200</v>
      </c>
    </row>
    <row r="14" spans="2:8" x14ac:dyDescent="0.3">
      <c r="B14" t="s">
        <v>175</v>
      </c>
      <c r="C14">
        <v>34.72</v>
      </c>
      <c r="D14">
        <v>31.2</v>
      </c>
      <c r="E14">
        <v>29.82</v>
      </c>
      <c r="F14">
        <v>19.190000000000001</v>
      </c>
    </row>
    <row r="15" spans="2:8" x14ac:dyDescent="0.3">
      <c r="B15" t="s">
        <v>176</v>
      </c>
      <c r="C15">
        <v>34.69</v>
      </c>
      <c r="D15">
        <v>31.17</v>
      </c>
      <c r="E15">
        <v>29.79</v>
      </c>
      <c r="F15">
        <v>19.16</v>
      </c>
    </row>
    <row r="16" spans="2:8" x14ac:dyDescent="0.3">
      <c r="B16" t="s">
        <v>177</v>
      </c>
      <c r="C16" s="21">
        <v>807008</v>
      </c>
      <c r="D16" s="21">
        <v>806668</v>
      </c>
      <c r="E16" s="21">
        <v>806358</v>
      </c>
      <c r="F16" s="21">
        <v>806018</v>
      </c>
    </row>
    <row r="17" spans="2:10" x14ac:dyDescent="0.3">
      <c r="B17" t="s">
        <v>178</v>
      </c>
      <c r="C17" s="21">
        <v>807628</v>
      </c>
      <c r="D17" s="21">
        <v>807441</v>
      </c>
      <c r="E17" s="21">
        <v>807297</v>
      </c>
      <c r="F17" s="21">
        <v>807077</v>
      </c>
      <c r="J17" t="s">
        <v>198</v>
      </c>
    </row>
    <row r="18" spans="2:10" x14ac:dyDescent="0.3">
      <c r="B18" t="s">
        <v>179</v>
      </c>
      <c r="C18" s="21">
        <v>868600</v>
      </c>
      <c r="D18" s="21">
        <v>781800</v>
      </c>
      <c r="E18" s="21">
        <v>758600</v>
      </c>
      <c r="F18" s="21">
        <v>684400</v>
      </c>
    </row>
    <row r="19" spans="2:10" x14ac:dyDescent="0.3">
      <c r="B19" t="s">
        <v>180</v>
      </c>
      <c r="C19" s="21">
        <v>184553100</v>
      </c>
      <c r="D19" s="21">
        <v>180529300</v>
      </c>
      <c r="E19" s="21">
        <v>157377800</v>
      </c>
      <c r="F19" s="21">
        <v>145843300</v>
      </c>
    </row>
    <row r="20" spans="2:10" x14ac:dyDescent="0.3">
      <c r="B20" t="s">
        <v>181</v>
      </c>
      <c r="C20" s="21">
        <v>28019100</v>
      </c>
      <c r="D20" s="21">
        <v>25167500</v>
      </c>
      <c r="E20" s="21">
        <v>24048700</v>
      </c>
      <c r="F20" s="21">
        <v>15465200</v>
      </c>
    </row>
    <row r="21" spans="2:10" x14ac:dyDescent="0.3">
      <c r="B21" t="s">
        <v>182</v>
      </c>
      <c r="C21" s="21">
        <v>29037426</v>
      </c>
      <c r="D21" s="21">
        <v>26090116</v>
      </c>
      <c r="E21" s="21">
        <v>23551711</v>
      </c>
      <c r="F21" s="21">
        <v>15009039</v>
      </c>
    </row>
    <row r="22" spans="2:10" x14ac:dyDescent="0.3">
      <c r="B22" t="s">
        <v>183</v>
      </c>
      <c r="C22" s="21">
        <v>1622400</v>
      </c>
      <c r="D22" s="21">
        <v>796200</v>
      </c>
      <c r="E22" s="21">
        <v>472600</v>
      </c>
      <c r="F22" s="21">
        <v>676700</v>
      </c>
    </row>
    <row r="23" spans="2:10" x14ac:dyDescent="0.3">
      <c r="B23" t="s">
        <v>184</v>
      </c>
      <c r="C23" s="21">
        <v>1075500</v>
      </c>
      <c r="D23" s="21">
        <v>1048500</v>
      </c>
      <c r="E23" s="21">
        <v>1529800</v>
      </c>
      <c r="F23" s="21">
        <v>1892300</v>
      </c>
    </row>
    <row r="24" spans="2:10" x14ac:dyDescent="0.3">
      <c r="B24" t="s">
        <v>185</v>
      </c>
      <c r="C24" s="21">
        <v>527000</v>
      </c>
      <c r="D24" s="21">
        <v>-267300</v>
      </c>
      <c r="E24" s="21">
        <v>-1134400</v>
      </c>
      <c r="F24" s="21">
        <v>-1296900</v>
      </c>
    </row>
    <row r="25" spans="2:10" x14ac:dyDescent="0.3">
      <c r="B25" t="s">
        <v>186</v>
      </c>
      <c r="C25" s="21">
        <v>41459000</v>
      </c>
      <c r="D25" s="21">
        <v>35981200</v>
      </c>
      <c r="E25" s="21">
        <v>34430400</v>
      </c>
      <c r="F25" s="21">
        <v>23674100</v>
      </c>
    </row>
    <row r="26" spans="2:10" x14ac:dyDescent="0.3">
      <c r="B26" t="s">
        <v>63</v>
      </c>
      <c r="C26" s="21">
        <v>51650900</v>
      </c>
      <c r="D26" s="21">
        <v>45882000</v>
      </c>
      <c r="E26" s="21">
        <v>44461600</v>
      </c>
      <c r="F26" s="21">
        <v>35420600</v>
      </c>
    </row>
    <row r="27" spans="2:10" x14ac:dyDescent="0.3">
      <c r="B27" t="s">
        <v>187</v>
      </c>
      <c r="C27" s="21">
        <v>89606300</v>
      </c>
      <c r="D27" s="21">
        <v>92297200</v>
      </c>
      <c r="E27" s="21">
        <v>80203800</v>
      </c>
      <c r="F27" s="21">
        <v>66093800</v>
      </c>
    </row>
    <row r="28" spans="2:10" x14ac:dyDescent="0.3">
      <c r="B28" t="s">
        <v>188</v>
      </c>
      <c r="C28" s="21">
        <v>10191900</v>
      </c>
      <c r="D28" s="21">
        <v>9900800</v>
      </c>
      <c r="E28" s="21">
        <v>10031200</v>
      </c>
      <c r="F28" s="21">
        <v>11746500</v>
      </c>
    </row>
    <row r="29" spans="2:10" x14ac:dyDescent="0.3">
      <c r="B29" t="s">
        <v>189</v>
      </c>
      <c r="C29" s="21">
        <v>28019100</v>
      </c>
      <c r="D29" s="21">
        <v>25167500</v>
      </c>
      <c r="E29" s="21">
        <v>24048700</v>
      </c>
      <c r="F29" s="21">
        <v>15465200</v>
      </c>
    </row>
    <row r="30" spans="2:10" x14ac:dyDescent="0.3">
      <c r="B30" t="s">
        <v>190</v>
      </c>
      <c r="C30" s="21">
        <v>-1450400</v>
      </c>
      <c r="D30" s="21">
        <v>-1259200</v>
      </c>
      <c r="E30" s="21">
        <v>680900</v>
      </c>
      <c r="F30" s="21">
        <v>642300</v>
      </c>
    </row>
    <row r="31" spans="2:10" x14ac:dyDescent="0.3">
      <c r="B31" t="s">
        <v>191</v>
      </c>
      <c r="C31" s="21">
        <v>-1450400</v>
      </c>
      <c r="D31" s="21">
        <v>-1259200</v>
      </c>
      <c r="E31" s="21">
        <v>680900</v>
      </c>
      <c r="F31" s="21">
        <v>642300</v>
      </c>
    </row>
    <row r="32" spans="2:10" x14ac:dyDescent="0.3">
      <c r="B32" t="s">
        <v>192</v>
      </c>
      <c r="C32" s="21">
        <v>53101300</v>
      </c>
      <c r="D32" s="21">
        <v>47141200</v>
      </c>
      <c r="E32" s="21">
        <v>43780700</v>
      </c>
      <c r="F32" s="21">
        <v>34778300</v>
      </c>
    </row>
    <row r="33" spans="2:11" x14ac:dyDescent="0.3">
      <c r="B33" t="s">
        <v>193</v>
      </c>
      <c r="C33">
        <v>0</v>
      </c>
      <c r="D33">
        <v>0</v>
      </c>
      <c r="E33">
        <v>0</v>
      </c>
      <c r="F33">
        <v>0</v>
      </c>
    </row>
    <row r="34" spans="2:11" x14ac:dyDescent="0.3">
      <c r="B34" t="s">
        <v>194</v>
      </c>
      <c r="C34" s="21">
        <v>-432074</v>
      </c>
      <c r="D34" s="21">
        <v>-336584</v>
      </c>
      <c r="E34" s="21">
        <v>183911</v>
      </c>
      <c r="F34" s="21">
        <v>186139</v>
      </c>
    </row>
    <row r="35" spans="2:11" x14ac:dyDescent="0.3">
      <c r="K35" t="s">
        <v>72</v>
      </c>
    </row>
    <row r="36" spans="2:11" x14ac:dyDescent="0.3">
      <c r="B36" t="s">
        <v>203</v>
      </c>
      <c r="C36">
        <v>9.5</v>
      </c>
      <c r="D36">
        <v>9.2799999999999994</v>
      </c>
      <c r="E36">
        <v>9.56</v>
      </c>
      <c r="F36">
        <v>6.53</v>
      </c>
    </row>
    <row r="37" spans="2:11" x14ac:dyDescent="0.3">
      <c r="B37" t="s">
        <v>204</v>
      </c>
      <c r="C37">
        <v>11.96</v>
      </c>
      <c r="D37">
        <v>12.07</v>
      </c>
      <c r="E37">
        <v>13.12</v>
      </c>
      <c r="F37">
        <v>9.81</v>
      </c>
    </row>
    <row r="38" spans="2:11" x14ac:dyDescent="0.3">
      <c r="B38" t="s">
        <v>205</v>
      </c>
      <c r="C38" s="21">
        <v>29463</v>
      </c>
      <c r="D38" s="21">
        <v>27101</v>
      </c>
      <c r="E38" s="21">
        <v>25151</v>
      </c>
      <c r="F38" s="21">
        <v>23662</v>
      </c>
    </row>
    <row r="39" spans="2:11" x14ac:dyDescent="0.3">
      <c r="B39" t="s">
        <v>206</v>
      </c>
      <c r="C39" s="64">
        <v>1.3</v>
      </c>
      <c r="D39" s="64">
        <v>1.3</v>
      </c>
      <c r="E39" s="64">
        <v>1.4</v>
      </c>
      <c r="F39" s="64">
        <v>1.5</v>
      </c>
    </row>
    <row r="82" spans="3:9" x14ac:dyDescent="0.3">
      <c r="H82" t="s">
        <v>208</v>
      </c>
    </row>
    <row r="83" spans="3:9" x14ac:dyDescent="0.3">
      <c r="H83" t="s">
        <v>209</v>
      </c>
    </row>
    <row r="84" spans="3:9" x14ac:dyDescent="0.3">
      <c r="H84" t="s">
        <v>210</v>
      </c>
    </row>
    <row r="85" spans="3:9" x14ac:dyDescent="0.3">
      <c r="H85" t="s">
        <v>211</v>
      </c>
    </row>
    <row r="86" spans="3:9" x14ac:dyDescent="0.3">
      <c r="H86" t="s">
        <v>212</v>
      </c>
    </row>
    <row r="90" spans="3:9" x14ac:dyDescent="0.3">
      <c r="C90" s="65"/>
      <c r="D90" s="191">
        <v>43525</v>
      </c>
      <c r="E90" s="191">
        <v>43891</v>
      </c>
      <c r="F90" s="191">
        <v>44256</v>
      </c>
      <c r="G90" s="191">
        <v>44621</v>
      </c>
      <c r="H90" s="191">
        <v>44986</v>
      </c>
      <c r="I90" s="191">
        <v>45170</v>
      </c>
    </row>
    <row r="91" spans="3:9" x14ac:dyDescent="0.3">
      <c r="C91" s="2" t="s">
        <v>265</v>
      </c>
      <c r="D91">
        <v>161</v>
      </c>
      <c r="E91">
        <v>161</v>
      </c>
      <c r="F91">
        <v>161</v>
      </c>
      <c r="G91">
        <v>161</v>
      </c>
      <c r="H91">
        <v>161</v>
      </c>
      <c r="I91">
        <v>161</v>
      </c>
    </row>
    <row r="92" spans="3:9" x14ac:dyDescent="0.3">
      <c r="C92" s="2" t="s">
        <v>12</v>
      </c>
      <c r="D92" s="21">
        <v>14851</v>
      </c>
      <c r="E92" s="21">
        <v>15602</v>
      </c>
      <c r="F92" s="21">
        <v>18165</v>
      </c>
      <c r="G92" s="21">
        <v>20680</v>
      </c>
      <c r="H92" s="21">
        <v>23246</v>
      </c>
      <c r="I92" s="21">
        <v>24664</v>
      </c>
    </row>
    <row r="93" spans="3:9" x14ac:dyDescent="0.3">
      <c r="C93" s="2" t="s">
        <v>401</v>
      </c>
      <c r="D93" s="21">
        <v>4316</v>
      </c>
      <c r="E93" s="21">
        <v>2816</v>
      </c>
      <c r="F93" s="21">
        <v>2014</v>
      </c>
      <c r="G93" s="21">
        <v>1056</v>
      </c>
      <c r="H93">
        <v>803</v>
      </c>
      <c r="I93">
        <v>961</v>
      </c>
    </row>
    <row r="94" spans="3:9" x14ac:dyDescent="0.3">
      <c r="C94" s="2" t="s">
        <v>266</v>
      </c>
      <c r="D94" s="21">
        <v>3830</v>
      </c>
      <c r="E94" s="21">
        <v>2369</v>
      </c>
      <c r="F94" s="21">
        <v>1203</v>
      </c>
      <c r="G94">
        <v>416</v>
      </c>
      <c r="H94">
        <v>0</v>
      </c>
      <c r="I94">
        <v>0</v>
      </c>
    </row>
    <row r="95" spans="3:9" x14ac:dyDescent="0.3">
      <c r="C95" s="2" t="s">
        <v>267</v>
      </c>
      <c r="D95">
        <v>486</v>
      </c>
      <c r="E95">
        <v>447</v>
      </c>
      <c r="F95">
        <v>553</v>
      </c>
      <c r="G95">
        <v>408</v>
      </c>
      <c r="H95">
        <v>520</v>
      </c>
      <c r="I95">
        <v>674</v>
      </c>
    </row>
    <row r="96" spans="3:9" x14ac:dyDescent="0.3">
      <c r="C96" s="2" t="s">
        <v>268</v>
      </c>
      <c r="D96">
        <v>0</v>
      </c>
      <c r="E96">
        <v>0</v>
      </c>
      <c r="F96">
        <v>259</v>
      </c>
      <c r="G96">
        <v>232</v>
      </c>
      <c r="H96">
        <v>283</v>
      </c>
      <c r="I96">
        <v>287</v>
      </c>
    </row>
    <row r="97" spans="3:9" x14ac:dyDescent="0.3">
      <c r="C97" s="2" t="s">
        <v>269</v>
      </c>
      <c r="D97">
        <v>0</v>
      </c>
      <c r="E97">
        <v>0</v>
      </c>
      <c r="F97">
        <v>0</v>
      </c>
      <c r="G97">
        <v>0</v>
      </c>
      <c r="H97">
        <v>0</v>
      </c>
    </row>
    <row r="98" spans="3:9" x14ac:dyDescent="0.3">
      <c r="C98" s="2" t="s">
        <v>402</v>
      </c>
      <c r="D98" s="21">
        <v>4433</v>
      </c>
      <c r="E98" s="21">
        <v>4843</v>
      </c>
      <c r="F98" s="21">
        <v>4514</v>
      </c>
      <c r="G98" s="21">
        <v>4960</v>
      </c>
      <c r="H98" s="21">
        <v>5089</v>
      </c>
      <c r="I98" s="21">
        <v>5591</v>
      </c>
    </row>
    <row r="99" spans="3:9" x14ac:dyDescent="0.3">
      <c r="C99" s="2" t="s">
        <v>270</v>
      </c>
      <c r="D99">
        <v>332</v>
      </c>
      <c r="E99">
        <v>294</v>
      </c>
      <c r="F99">
        <v>259</v>
      </c>
      <c r="G99">
        <v>276</v>
      </c>
      <c r="H99">
        <v>306</v>
      </c>
      <c r="I99">
        <v>270</v>
      </c>
    </row>
    <row r="100" spans="3:9" x14ac:dyDescent="0.3">
      <c r="C100" s="2" t="s">
        <v>271</v>
      </c>
      <c r="D100" s="21">
        <v>1948</v>
      </c>
      <c r="E100" s="21">
        <v>2282</v>
      </c>
      <c r="F100" s="21">
        <v>2067</v>
      </c>
      <c r="G100" s="21">
        <v>2508</v>
      </c>
      <c r="H100" s="21">
        <v>2457</v>
      </c>
      <c r="I100" s="21">
        <v>2675</v>
      </c>
    </row>
    <row r="101" spans="3:9" x14ac:dyDescent="0.3">
      <c r="C101" s="2" t="s">
        <v>272</v>
      </c>
      <c r="D101">
        <v>44</v>
      </c>
      <c r="E101">
        <v>34</v>
      </c>
      <c r="F101">
        <v>40</v>
      </c>
      <c r="G101">
        <v>74</v>
      </c>
      <c r="H101">
        <v>63</v>
      </c>
    </row>
    <row r="102" spans="3:9" x14ac:dyDescent="0.3">
      <c r="C102" s="2" t="s">
        <v>273</v>
      </c>
      <c r="D102" s="21">
        <v>2109</v>
      </c>
      <c r="E102" s="21">
        <v>2233</v>
      </c>
      <c r="F102" s="21">
        <v>2149</v>
      </c>
      <c r="G102" s="21">
        <v>2102</v>
      </c>
      <c r="H102" s="21">
        <v>2264</v>
      </c>
      <c r="I102" s="21">
        <v>2646</v>
      </c>
    </row>
    <row r="103" spans="3:9" x14ac:dyDescent="0.3">
      <c r="C103" s="50" t="s">
        <v>81</v>
      </c>
      <c r="D103" s="190">
        <v>23762</v>
      </c>
      <c r="E103" s="190">
        <v>23423</v>
      </c>
      <c r="F103" s="190">
        <v>24855</v>
      </c>
      <c r="G103" s="190">
        <v>26857</v>
      </c>
      <c r="H103" s="190">
        <v>29300</v>
      </c>
      <c r="I103" s="190">
        <v>31377</v>
      </c>
    </row>
    <row r="104" spans="3:9" x14ac:dyDescent="0.3">
      <c r="C104" s="2" t="s">
        <v>274</v>
      </c>
      <c r="D104" s="21">
        <v>9608</v>
      </c>
      <c r="E104" s="21">
        <v>9683</v>
      </c>
      <c r="F104" s="21">
        <v>9516</v>
      </c>
      <c r="G104" s="21">
        <v>9683</v>
      </c>
      <c r="H104" s="21">
        <v>9160</v>
      </c>
      <c r="I104" s="21">
        <v>9397</v>
      </c>
    </row>
    <row r="105" spans="3:9" x14ac:dyDescent="0.3">
      <c r="C105" s="2" t="s">
        <v>275</v>
      </c>
      <c r="D105">
        <v>115</v>
      </c>
      <c r="E105">
        <v>161</v>
      </c>
      <c r="F105">
        <v>194</v>
      </c>
      <c r="G105">
        <v>219</v>
      </c>
      <c r="H105">
        <v>251</v>
      </c>
    </row>
    <row r="106" spans="3:9" x14ac:dyDescent="0.3">
      <c r="C106" s="2" t="s">
        <v>276</v>
      </c>
      <c r="D106" s="21">
        <v>2547</v>
      </c>
      <c r="E106" s="21">
        <v>2866</v>
      </c>
      <c r="F106" s="21">
        <v>2805</v>
      </c>
      <c r="G106" s="21">
        <v>3051</v>
      </c>
      <c r="H106" s="21">
        <v>3116</v>
      </c>
    </row>
    <row r="107" spans="3:9" x14ac:dyDescent="0.3">
      <c r="C107" s="2" t="s">
        <v>277</v>
      </c>
      <c r="D107" s="21">
        <v>4585</v>
      </c>
      <c r="E107" s="21">
        <v>4916</v>
      </c>
      <c r="F107" s="21">
        <v>5291</v>
      </c>
      <c r="G107" s="21">
        <v>5811</v>
      </c>
      <c r="H107" s="21">
        <v>5931</v>
      </c>
    </row>
    <row r="108" spans="3:9" x14ac:dyDescent="0.3">
      <c r="C108" s="2" t="s">
        <v>278</v>
      </c>
      <c r="D108">
        <v>98</v>
      </c>
      <c r="E108">
        <v>103</v>
      </c>
      <c r="F108">
        <v>92</v>
      </c>
      <c r="G108">
        <v>99</v>
      </c>
      <c r="H108">
        <v>109</v>
      </c>
    </row>
    <row r="109" spans="3:9" x14ac:dyDescent="0.3">
      <c r="C109" s="2" t="s">
        <v>403</v>
      </c>
      <c r="D109">
        <v>0</v>
      </c>
      <c r="E109">
        <v>35</v>
      </c>
      <c r="F109">
        <v>8</v>
      </c>
      <c r="G109">
        <v>1</v>
      </c>
      <c r="H109">
        <v>0</v>
      </c>
    </row>
    <row r="110" spans="3:9" x14ac:dyDescent="0.3">
      <c r="C110" s="2" t="s">
        <v>279</v>
      </c>
      <c r="D110">
        <v>150</v>
      </c>
      <c r="E110">
        <v>156</v>
      </c>
      <c r="F110">
        <v>147</v>
      </c>
      <c r="G110">
        <v>156</v>
      </c>
      <c r="H110">
        <v>159</v>
      </c>
    </row>
    <row r="111" spans="3:9" x14ac:dyDescent="0.3">
      <c r="C111" s="2" t="s">
        <v>280</v>
      </c>
      <c r="D111">
        <v>11</v>
      </c>
      <c r="E111">
        <v>13</v>
      </c>
      <c r="F111">
        <v>12</v>
      </c>
      <c r="G111">
        <v>14</v>
      </c>
      <c r="H111">
        <v>10</v>
      </c>
    </row>
    <row r="112" spans="3:9" x14ac:dyDescent="0.3">
      <c r="C112" s="2" t="s">
        <v>281</v>
      </c>
      <c r="D112" s="21">
        <v>3427</v>
      </c>
      <c r="E112" s="21">
        <v>3566</v>
      </c>
      <c r="F112" s="21">
        <v>3779</v>
      </c>
      <c r="G112" s="21">
        <v>3951</v>
      </c>
      <c r="H112" s="21">
        <v>3825</v>
      </c>
      <c r="I112" s="21">
        <v>4464</v>
      </c>
    </row>
    <row r="113" spans="3:9" x14ac:dyDescent="0.3">
      <c r="C113" s="2" t="s">
        <v>282</v>
      </c>
      <c r="D113" s="21">
        <v>2925</v>
      </c>
      <c r="E113" s="21">
        <v>3336</v>
      </c>
      <c r="F113" s="21">
        <v>3458</v>
      </c>
      <c r="G113" s="21">
        <v>3666</v>
      </c>
      <c r="H113" s="21">
        <v>3721</v>
      </c>
    </row>
    <row r="114" spans="3:9" x14ac:dyDescent="0.3">
      <c r="C114" s="2" t="s">
        <v>283</v>
      </c>
      <c r="D114" s="21">
        <v>13858</v>
      </c>
      <c r="E114" s="21">
        <v>15151</v>
      </c>
      <c r="F114" s="21">
        <v>15787</v>
      </c>
      <c r="G114" s="21">
        <v>16968</v>
      </c>
      <c r="H114" s="21">
        <v>17122</v>
      </c>
    </row>
    <row r="115" spans="3:9" x14ac:dyDescent="0.3">
      <c r="C115" s="2" t="s">
        <v>284</v>
      </c>
      <c r="D115" s="21">
        <v>4250</v>
      </c>
      <c r="E115" s="21">
        <v>5468</v>
      </c>
      <c r="F115" s="21">
        <v>6271</v>
      </c>
      <c r="G115" s="21">
        <v>7285</v>
      </c>
      <c r="H115" s="21">
        <v>7962</v>
      </c>
    </row>
    <row r="116" spans="3:9" x14ac:dyDescent="0.3">
      <c r="C116" s="2" t="s">
        <v>285</v>
      </c>
      <c r="D116">
        <v>676</v>
      </c>
      <c r="E116">
        <v>825</v>
      </c>
      <c r="F116">
        <v>969</v>
      </c>
      <c r="G116">
        <v>766</v>
      </c>
      <c r="H116" s="21">
        <v>1093</v>
      </c>
      <c r="I116">
        <v>791</v>
      </c>
    </row>
    <row r="117" spans="3:9" x14ac:dyDescent="0.3">
      <c r="C117" s="2" t="s">
        <v>16</v>
      </c>
      <c r="D117" s="21">
        <v>2554</v>
      </c>
      <c r="E117" s="21">
        <v>1471</v>
      </c>
      <c r="F117" s="21">
        <v>2710</v>
      </c>
      <c r="G117" s="21">
        <v>2551</v>
      </c>
      <c r="H117" s="21">
        <v>3662</v>
      </c>
      <c r="I117" s="21">
        <v>4272</v>
      </c>
    </row>
    <row r="118" spans="3:9" x14ac:dyDescent="0.3">
      <c r="C118" s="2" t="s">
        <v>404</v>
      </c>
      <c r="D118" s="21">
        <v>10923</v>
      </c>
      <c r="E118" s="21">
        <v>11444</v>
      </c>
      <c r="F118" s="21">
        <v>11661</v>
      </c>
      <c r="G118" s="21">
        <v>13857</v>
      </c>
      <c r="H118" s="21">
        <v>15384</v>
      </c>
      <c r="I118" s="21">
        <v>16917</v>
      </c>
    </row>
    <row r="119" spans="3:9" x14ac:dyDescent="0.3">
      <c r="C119" s="2" t="s">
        <v>286</v>
      </c>
      <c r="D119" s="21">
        <v>3965</v>
      </c>
      <c r="E119" s="21">
        <v>4378</v>
      </c>
      <c r="F119" s="21">
        <v>4669</v>
      </c>
      <c r="G119" s="21">
        <v>5350</v>
      </c>
      <c r="H119" s="21">
        <v>5156</v>
      </c>
      <c r="I119" s="21">
        <v>5470</v>
      </c>
    </row>
    <row r="120" spans="3:9" x14ac:dyDescent="0.3">
      <c r="C120" s="2" t="s">
        <v>405</v>
      </c>
      <c r="D120" s="21">
        <v>4151</v>
      </c>
      <c r="E120" s="21">
        <v>3891</v>
      </c>
      <c r="F120" s="21">
        <v>3446</v>
      </c>
      <c r="G120" s="21">
        <v>3424</v>
      </c>
      <c r="H120" s="21">
        <v>4057</v>
      </c>
      <c r="I120" s="21">
        <v>4850</v>
      </c>
    </row>
    <row r="121" spans="3:9" x14ac:dyDescent="0.3">
      <c r="C121" s="2" t="s">
        <v>287</v>
      </c>
      <c r="D121">
        <v>619</v>
      </c>
      <c r="E121" s="21">
        <v>1004</v>
      </c>
      <c r="F121" s="21">
        <v>1401</v>
      </c>
      <c r="G121" s="21">
        <v>1928</v>
      </c>
      <c r="H121" s="21">
        <v>1565</v>
      </c>
      <c r="I121" s="21">
        <v>1180</v>
      </c>
    </row>
    <row r="122" spans="3:9" x14ac:dyDescent="0.3">
      <c r="C122" s="2" t="s">
        <v>288</v>
      </c>
      <c r="D122">
        <v>9</v>
      </c>
      <c r="E122">
        <v>8</v>
      </c>
      <c r="F122">
        <v>1</v>
      </c>
      <c r="G122">
        <v>13</v>
      </c>
      <c r="H122">
        <v>8</v>
      </c>
      <c r="I122">
        <v>0</v>
      </c>
    </row>
    <row r="123" spans="3:9" x14ac:dyDescent="0.3">
      <c r="C123" s="2" t="s">
        <v>289</v>
      </c>
      <c r="D123" s="21">
        <v>2180</v>
      </c>
      <c r="E123" s="21">
        <v>2164</v>
      </c>
      <c r="F123" s="21">
        <v>2144</v>
      </c>
      <c r="G123" s="21">
        <v>3141</v>
      </c>
      <c r="H123" s="21">
        <v>4598</v>
      </c>
      <c r="I123" s="21">
        <v>5416</v>
      </c>
    </row>
    <row r="124" spans="3:9" x14ac:dyDescent="0.3">
      <c r="C124" s="2" t="s">
        <v>83</v>
      </c>
      <c r="D124" s="21">
        <v>23762</v>
      </c>
      <c r="E124" s="21">
        <v>23423</v>
      </c>
      <c r="F124" s="21">
        <v>24855</v>
      </c>
      <c r="G124" s="21">
        <v>26857</v>
      </c>
      <c r="H124" s="21">
        <v>29300</v>
      </c>
      <c r="I124" s="21">
        <v>31377</v>
      </c>
    </row>
    <row r="133" spans="3:11" x14ac:dyDescent="0.3">
      <c r="C133" s="232" t="s">
        <v>339</v>
      </c>
      <c r="D133" s="232" t="s">
        <v>340</v>
      </c>
      <c r="E133" s="232" t="s">
        <v>341</v>
      </c>
      <c r="F133" s="232" t="s">
        <v>342</v>
      </c>
      <c r="G133" s="232" t="s">
        <v>343</v>
      </c>
      <c r="H133" s="232" t="s">
        <v>344</v>
      </c>
      <c r="I133" s="232" t="s">
        <v>432</v>
      </c>
      <c r="J133" s="232" t="s">
        <v>433</v>
      </c>
      <c r="K133" s="232" t="s">
        <v>434</v>
      </c>
    </row>
    <row r="134" spans="3:11" x14ac:dyDescent="0.3">
      <c r="C134">
        <v>1</v>
      </c>
      <c r="D134" t="s">
        <v>347</v>
      </c>
      <c r="E134">
        <v>1470.9</v>
      </c>
      <c r="F134">
        <v>118734.46</v>
      </c>
      <c r="G134">
        <v>960.89</v>
      </c>
      <c r="H134">
        <v>0.04</v>
      </c>
      <c r="I134">
        <v>1443.98</v>
      </c>
      <c r="J134">
        <v>1564.62</v>
      </c>
      <c r="K134">
        <v>80.680000000000007</v>
      </c>
    </row>
    <row r="135" spans="3:11" x14ac:dyDescent="0.3">
      <c r="C135">
        <v>2</v>
      </c>
      <c r="D135" t="s">
        <v>346</v>
      </c>
      <c r="E135">
        <v>1559.25</v>
      </c>
      <c r="F135">
        <v>374531.67</v>
      </c>
      <c r="G135">
        <v>1928.23</v>
      </c>
      <c r="H135">
        <v>0.03</v>
      </c>
      <c r="I135">
        <v>1513.43</v>
      </c>
      <c r="J135">
        <v>5770.29</v>
      </c>
      <c r="K135">
        <v>239.93</v>
      </c>
    </row>
    <row r="136" spans="3:11" x14ac:dyDescent="0.3">
      <c r="C136">
        <v>3</v>
      </c>
      <c r="D136" t="s">
        <v>348</v>
      </c>
      <c r="E136">
        <v>6193.55</v>
      </c>
      <c r="F136">
        <v>103376.19</v>
      </c>
      <c r="G136">
        <v>1323</v>
      </c>
      <c r="H136">
        <v>0.05</v>
      </c>
      <c r="I136">
        <v>1696.7</v>
      </c>
      <c r="J136">
        <v>1730.2</v>
      </c>
      <c r="K136">
        <v>16.64</v>
      </c>
    </row>
    <row r="137" spans="3:11" x14ac:dyDescent="0.3">
      <c r="C137">
        <v>4</v>
      </c>
      <c r="D137" t="s">
        <v>349</v>
      </c>
      <c r="E137">
        <v>925.35</v>
      </c>
      <c r="F137">
        <v>93599.72</v>
      </c>
      <c r="G137">
        <v>191.9</v>
      </c>
      <c r="H137">
        <v>0.01</v>
      </c>
      <c r="I137">
        <v>793.5</v>
      </c>
      <c r="J137">
        <v>573.1</v>
      </c>
      <c r="K137">
        <v>102.37</v>
      </c>
    </row>
    <row r="138" spans="3:11" x14ac:dyDescent="0.3">
      <c r="C138">
        <v>5</v>
      </c>
      <c r="D138" t="s">
        <v>350</v>
      </c>
      <c r="E138">
        <v>2149.35</v>
      </c>
      <c r="F138">
        <v>86106.53</v>
      </c>
      <c r="G138">
        <v>9.74</v>
      </c>
      <c r="H138">
        <v>0</v>
      </c>
      <c r="I138">
        <v>419.9</v>
      </c>
      <c r="J138">
        <v>155.15</v>
      </c>
      <c r="K138">
        <v>40.06</v>
      </c>
    </row>
    <row r="139" spans="3:11" x14ac:dyDescent="0.3">
      <c r="C139">
        <v>6</v>
      </c>
      <c r="D139" t="s">
        <v>351</v>
      </c>
      <c r="E139">
        <v>1624.55</v>
      </c>
      <c r="F139">
        <v>74121.740000000005</v>
      </c>
      <c r="G139">
        <v>3784.61</v>
      </c>
      <c r="H139">
        <v>0.28999999999999998</v>
      </c>
      <c r="I139">
        <v>373.32</v>
      </c>
      <c r="J139">
        <v>1293.1300000000001</v>
      </c>
      <c r="K139">
        <v>45.45</v>
      </c>
    </row>
    <row r="140" spans="3:11" x14ac:dyDescent="0.3">
      <c r="C140">
        <v>7</v>
      </c>
      <c r="D140" t="s">
        <v>430</v>
      </c>
      <c r="E140">
        <v>5112.8999999999996</v>
      </c>
      <c r="F140">
        <v>61187.28</v>
      </c>
      <c r="G140">
        <v>1441.33</v>
      </c>
      <c r="H140">
        <v>0.15</v>
      </c>
      <c r="I140">
        <v>292.79000000000002</v>
      </c>
      <c r="J140">
        <v>2616.89</v>
      </c>
      <c r="K140">
        <v>11.96</v>
      </c>
    </row>
    <row r="141" spans="3:11" x14ac:dyDescent="0.3">
      <c r="C141">
        <v>8</v>
      </c>
      <c r="D141" t="s">
        <v>431</v>
      </c>
      <c r="E141">
        <v>1026.4000000000001</v>
      </c>
      <c r="F141">
        <v>60178.79</v>
      </c>
      <c r="G141">
        <v>6648.63</v>
      </c>
      <c r="H141">
        <v>0.24</v>
      </c>
      <c r="I141">
        <v>1112.6199999999999</v>
      </c>
      <c r="J141">
        <v>6084.2</v>
      </c>
      <c r="K141">
        <v>58.59</v>
      </c>
    </row>
    <row r="145" spans="5:5" x14ac:dyDescent="0.3">
      <c r="E145" t="s">
        <v>477</v>
      </c>
    </row>
    <row r="147" spans="5:5" x14ac:dyDescent="0.3">
      <c r="E147" t="s">
        <v>478</v>
      </c>
    </row>
    <row r="149" spans="5:5" x14ac:dyDescent="0.3">
      <c r="E149" t="s">
        <v>479</v>
      </c>
    </row>
    <row r="151" spans="5:5" x14ac:dyDescent="0.3">
      <c r="E151" t="s">
        <v>490</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CD2C4-6CB0-4856-AC0F-07D00A0E22BD}">
  <sheetPr>
    <pageSetUpPr fitToPage="1"/>
  </sheetPr>
  <dimension ref="B57:J104"/>
  <sheetViews>
    <sheetView showGridLines="0" topLeftCell="A79" workbookViewId="0">
      <selection activeCell="B57" sqref="B57:J104"/>
    </sheetView>
  </sheetViews>
  <sheetFormatPr defaultRowHeight="14.4" x14ac:dyDescent="0.3"/>
  <cols>
    <col min="1" max="1" width="2" customWidth="1"/>
    <col min="4" max="4" width="8.109375" customWidth="1"/>
    <col min="5" max="5" width="14.21875" customWidth="1"/>
    <col min="6" max="6" width="11.21875" customWidth="1"/>
    <col min="7" max="7" width="12.6640625" customWidth="1"/>
    <col min="8" max="8" width="8.77734375" customWidth="1"/>
    <col min="9" max="9" width="12" customWidth="1"/>
    <col min="10" max="11" width="18.5546875" customWidth="1"/>
  </cols>
  <sheetData>
    <row r="57" spans="2:10" x14ac:dyDescent="0.3">
      <c r="B57" s="287" t="s">
        <v>202</v>
      </c>
      <c r="C57" s="287"/>
      <c r="D57" s="287"/>
      <c r="E57" s="287"/>
      <c r="F57" s="287"/>
      <c r="G57" s="287"/>
      <c r="H57" s="287"/>
      <c r="I57" s="287"/>
      <c r="J57" s="287"/>
    </row>
    <row r="58" spans="2:10" x14ac:dyDescent="0.3">
      <c r="B58" s="54"/>
      <c r="C58" s="54"/>
      <c r="D58" s="54"/>
      <c r="E58" s="54"/>
      <c r="F58" s="54"/>
      <c r="G58" s="54"/>
      <c r="H58" s="54"/>
      <c r="I58" s="54"/>
      <c r="J58" s="54"/>
    </row>
    <row r="59" spans="2:10" x14ac:dyDescent="0.3">
      <c r="B59" s="54"/>
      <c r="C59" s="54"/>
      <c r="D59" s="54"/>
      <c r="E59" s="55" t="s">
        <v>155</v>
      </c>
      <c r="F59" s="54"/>
      <c r="G59" s="55" t="s">
        <v>157</v>
      </c>
      <c r="H59" s="54"/>
      <c r="I59" s="288" t="s">
        <v>159</v>
      </c>
      <c r="J59" s="288"/>
    </row>
    <row r="60" spans="2:10" ht="30.6" customHeight="1" x14ac:dyDescent="0.3">
      <c r="B60" s="54"/>
      <c r="C60" s="54"/>
      <c r="D60" s="54"/>
      <c r="E60" s="56" t="s">
        <v>156</v>
      </c>
      <c r="F60" s="54"/>
      <c r="G60" s="57" t="s">
        <v>158</v>
      </c>
      <c r="H60" s="54"/>
      <c r="I60" s="269" t="s">
        <v>160</v>
      </c>
      <c r="J60" s="269"/>
    </row>
    <row r="61" spans="2:10" ht="7.8" customHeight="1" x14ac:dyDescent="0.3">
      <c r="B61" s="54"/>
      <c r="C61" s="54"/>
      <c r="D61" s="54"/>
      <c r="E61" s="54"/>
      <c r="F61" s="54"/>
      <c r="H61" s="54"/>
      <c r="I61" s="54"/>
      <c r="J61" s="54"/>
    </row>
    <row r="62" spans="2:10" x14ac:dyDescent="0.3">
      <c r="B62" s="54"/>
      <c r="C62" s="54"/>
      <c r="D62" s="54"/>
      <c r="E62" s="55" t="s">
        <v>152</v>
      </c>
      <c r="F62" s="54"/>
      <c r="G62" s="55" t="s">
        <v>161</v>
      </c>
      <c r="H62" s="54"/>
      <c r="I62" s="288" t="s">
        <v>162</v>
      </c>
      <c r="J62" s="288"/>
    </row>
    <row r="63" spans="2:10" x14ac:dyDescent="0.3">
      <c r="B63" s="54"/>
      <c r="C63" s="54"/>
      <c r="D63" s="54"/>
      <c r="E63" s="57" t="s">
        <v>153</v>
      </c>
      <c r="F63" s="54"/>
      <c r="G63" s="53">
        <v>1469.75</v>
      </c>
      <c r="H63" s="54"/>
      <c r="I63" s="285">
        <v>22753</v>
      </c>
      <c r="J63" s="285"/>
    </row>
    <row r="64" spans="2:10" ht="28.8" customHeight="1" x14ac:dyDescent="0.3">
      <c r="B64" s="54"/>
      <c r="C64" s="54"/>
      <c r="D64" s="54"/>
      <c r="E64" s="57" t="s">
        <v>154</v>
      </c>
      <c r="F64" s="54"/>
      <c r="G64" s="58" t="s">
        <v>164</v>
      </c>
      <c r="H64" s="54"/>
      <c r="I64" s="286" t="s">
        <v>163</v>
      </c>
      <c r="J64" s="286"/>
    </row>
    <row r="65" spans="2:10" x14ac:dyDescent="0.3">
      <c r="B65" s="287" t="s">
        <v>151</v>
      </c>
      <c r="C65" s="287"/>
      <c r="D65" s="287"/>
      <c r="E65" s="287"/>
      <c r="F65" s="287"/>
      <c r="G65" s="287"/>
      <c r="H65" s="287"/>
      <c r="I65" s="287"/>
      <c r="J65" s="287"/>
    </row>
    <row r="66" spans="2:10" ht="4.8" customHeight="1" x14ac:dyDescent="0.3"/>
    <row r="67" spans="2:10" ht="67.2" customHeight="1" x14ac:dyDescent="0.3">
      <c r="B67" s="269" t="s">
        <v>150</v>
      </c>
      <c r="C67" s="269"/>
      <c r="D67" s="269"/>
      <c r="E67" s="269"/>
      <c r="F67" s="269"/>
      <c r="G67" s="269"/>
      <c r="H67" s="269"/>
      <c r="I67" s="269"/>
      <c r="J67" s="269"/>
    </row>
    <row r="68" spans="2:10" x14ac:dyDescent="0.3">
      <c r="B68" s="287" t="s">
        <v>165</v>
      </c>
      <c r="C68" s="287"/>
      <c r="D68" s="287"/>
      <c r="E68" s="287"/>
      <c r="F68" s="287"/>
      <c r="G68" s="287"/>
      <c r="H68" s="287"/>
      <c r="I68" s="287"/>
      <c r="J68" s="287"/>
    </row>
    <row r="69" spans="2:10" ht="8.4" customHeight="1" x14ac:dyDescent="0.3"/>
    <row r="70" spans="2:10" x14ac:dyDescent="0.3">
      <c r="B70" s="288" t="s">
        <v>195</v>
      </c>
      <c r="C70" s="288"/>
      <c r="D70" s="288"/>
      <c r="F70" s="288" t="s">
        <v>196</v>
      </c>
      <c r="G70" s="288"/>
      <c r="I70" s="62" t="s">
        <v>197</v>
      </c>
    </row>
    <row r="81" spans="2:10" x14ac:dyDescent="0.3">
      <c r="B81" s="288" t="s">
        <v>199</v>
      </c>
      <c r="C81" s="288"/>
      <c r="D81" s="288"/>
      <c r="F81" s="288" t="s">
        <v>200</v>
      </c>
      <c r="G81" s="288"/>
      <c r="I81" s="288" t="s">
        <v>201</v>
      </c>
      <c r="J81" s="288"/>
    </row>
    <row r="91" spans="2:10" ht="7.2" customHeight="1" x14ac:dyDescent="0.3"/>
    <row r="92" spans="2:10" x14ac:dyDescent="0.3">
      <c r="B92" s="270" t="s">
        <v>207</v>
      </c>
      <c r="C92" s="270"/>
      <c r="D92" s="270"/>
      <c r="E92" s="270"/>
      <c r="F92" s="270"/>
      <c r="G92" s="270"/>
      <c r="H92" s="270"/>
      <c r="I92" s="270"/>
      <c r="J92" s="270"/>
    </row>
    <row r="93" spans="2:10" ht="6" customHeight="1" x14ac:dyDescent="0.3"/>
    <row r="94" spans="2:10" ht="44.4" customHeight="1" x14ac:dyDescent="0.3">
      <c r="B94" s="269" t="s">
        <v>208</v>
      </c>
      <c r="C94" s="269"/>
      <c r="D94" s="269"/>
      <c r="E94" s="269"/>
      <c r="F94" s="269"/>
      <c r="G94" s="269"/>
      <c r="H94" s="269"/>
      <c r="I94" s="269"/>
      <c r="J94" s="269"/>
    </row>
    <row r="95" spans="2:10" ht="6" customHeight="1" x14ac:dyDescent="0.3">
      <c r="B95" s="289"/>
      <c r="C95" s="289"/>
      <c r="D95" s="289"/>
      <c r="E95" s="289"/>
      <c r="F95" s="289"/>
      <c r="G95" s="289"/>
      <c r="H95" s="289"/>
      <c r="I95" s="289"/>
      <c r="J95" s="289"/>
    </row>
    <row r="96" spans="2:10" ht="34.799999999999997" customHeight="1" x14ac:dyDescent="0.3">
      <c r="B96" s="269" t="s">
        <v>209</v>
      </c>
      <c r="C96" s="269"/>
      <c r="D96" s="269"/>
      <c r="E96" s="269"/>
      <c r="F96" s="269"/>
      <c r="G96" s="269"/>
      <c r="H96" s="269"/>
      <c r="I96" s="269"/>
      <c r="J96" s="269"/>
    </row>
    <row r="97" spans="2:10" ht="3.6" customHeight="1" x14ac:dyDescent="0.3">
      <c r="B97" s="289"/>
      <c r="C97" s="289"/>
      <c r="D97" s="289"/>
      <c r="E97" s="289"/>
      <c r="F97" s="289"/>
      <c r="G97" s="289"/>
      <c r="H97" s="289"/>
      <c r="I97" s="289"/>
      <c r="J97" s="289"/>
    </row>
    <row r="98" spans="2:10" x14ac:dyDescent="0.3">
      <c r="B98" s="289" t="s">
        <v>210</v>
      </c>
      <c r="C98" s="289"/>
      <c r="D98" s="289"/>
      <c r="E98" s="289"/>
      <c r="F98" s="289"/>
      <c r="G98" s="289"/>
      <c r="H98" s="289"/>
      <c r="I98" s="289"/>
      <c r="J98" s="289"/>
    </row>
    <row r="99" spans="2:10" ht="5.4" customHeight="1" x14ac:dyDescent="0.3"/>
    <row r="100" spans="2:10" x14ac:dyDescent="0.3">
      <c r="B100" s="289" t="s">
        <v>211</v>
      </c>
      <c r="C100" s="289"/>
      <c r="D100" s="289"/>
      <c r="E100" s="289"/>
      <c r="F100" s="289"/>
      <c r="G100" s="289"/>
      <c r="H100" s="289"/>
      <c r="I100" s="289"/>
      <c r="J100" s="289"/>
    </row>
    <row r="101" spans="2:10" ht="6" customHeight="1" x14ac:dyDescent="0.3"/>
    <row r="102" spans="2:10" x14ac:dyDescent="0.3">
      <c r="B102" s="289" t="s">
        <v>212</v>
      </c>
      <c r="C102" s="289"/>
      <c r="D102" s="289"/>
      <c r="E102" s="289"/>
      <c r="F102" s="289"/>
      <c r="G102" s="289"/>
      <c r="H102" s="289"/>
      <c r="I102" s="289"/>
      <c r="J102" s="289"/>
    </row>
    <row r="103" spans="2:10" ht="7.2" customHeight="1" x14ac:dyDescent="0.3"/>
    <row r="104" spans="2:10" x14ac:dyDescent="0.3">
      <c r="B104" s="59"/>
      <c r="C104" s="59"/>
      <c r="D104" s="59"/>
      <c r="E104" s="59"/>
      <c r="F104" s="59"/>
      <c r="G104" s="59"/>
      <c r="H104" s="59"/>
      <c r="I104" s="59"/>
      <c r="J104" s="59"/>
    </row>
  </sheetData>
  <mergeCells count="22">
    <mergeCell ref="B98:J98"/>
    <mergeCell ref="B100:J100"/>
    <mergeCell ref="B102:J102"/>
    <mergeCell ref="B92:J92"/>
    <mergeCell ref="B94:J94"/>
    <mergeCell ref="B95:J95"/>
    <mergeCell ref="B96:J96"/>
    <mergeCell ref="B97:J97"/>
    <mergeCell ref="B68:J68"/>
    <mergeCell ref="B70:D70"/>
    <mergeCell ref="F70:G70"/>
    <mergeCell ref="B81:D81"/>
    <mergeCell ref="F81:G81"/>
    <mergeCell ref="I81:J81"/>
    <mergeCell ref="I63:J63"/>
    <mergeCell ref="I64:J64"/>
    <mergeCell ref="B57:J57"/>
    <mergeCell ref="B67:J67"/>
    <mergeCell ref="B65:J65"/>
    <mergeCell ref="I60:J60"/>
    <mergeCell ref="I59:J59"/>
    <mergeCell ref="I62:J62"/>
  </mergeCells>
  <pageMargins left="0.7" right="0.7" top="0.75" bottom="0.75" header="0.3" footer="0.3"/>
  <pageSetup scale="73"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2F5FC-15BC-488B-B68C-AD4AC5480139}">
  <dimension ref="B1:X38"/>
  <sheetViews>
    <sheetView showGridLines="0" zoomScale="85" zoomScaleNormal="85" workbookViewId="0">
      <pane ySplit="3" topLeftCell="A4" activePane="bottomLeft" state="frozen"/>
      <selection pane="bottomLeft" activeCell="S27" sqref="S27"/>
    </sheetView>
  </sheetViews>
  <sheetFormatPr defaultRowHeight="14.4" x14ac:dyDescent="0.3"/>
  <cols>
    <col min="2" max="2" width="25.77734375" bestFit="1" customWidth="1"/>
  </cols>
  <sheetData>
    <row r="1" spans="2:24" ht="18" x14ac:dyDescent="0.35">
      <c r="B1" s="290" t="s">
        <v>109</v>
      </c>
      <c r="C1" s="290"/>
      <c r="D1" s="290"/>
      <c r="E1" s="290"/>
      <c r="F1" s="290"/>
      <c r="G1" s="290"/>
      <c r="H1" s="290"/>
      <c r="I1" s="290"/>
      <c r="J1" s="290"/>
      <c r="K1" s="290"/>
      <c r="L1" s="290"/>
    </row>
    <row r="3" spans="2:24" x14ac:dyDescent="0.3">
      <c r="B3" s="66" t="s">
        <v>55</v>
      </c>
      <c r="C3" s="66">
        <v>41699</v>
      </c>
      <c r="D3" s="66">
        <v>42064</v>
      </c>
      <c r="E3" s="66">
        <v>42430</v>
      </c>
      <c r="F3" s="66">
        <v>42795</v>
      </c>
      <c r="G3" s="66">
        <v>43160</v>
      </c>
      <c r="H3" s="66">
        <v>43525</v>
      </c>
      <c r="I3" s="66">
        <v>43891</v>
      </c>
      <c r="J3" s="66">
        <v>44256</v>
      </c>
      <c r="K3" s="66">
        <v>44621</v>
      </c>
      <c r="L3" s="66">
        <v>44986</v>
      </c>
    </row>
    <row r="4" spans="2:24" x14ac:dyDescent="0.3">
      <c r="B4" s="67"/>
      <c r="C4" s="67"/>
      <c r="D4" s="67"/>
      <c r="E4" s="67"/>
      <c r="F4" s="67"/>
      <c r="G4" s="67"/>
      <c r="H4" s="67"/>
      <c r="I4" s="67"/>
      <c r="J4" s="67"/>
      <c r="K4" s="67"/>
      <c r="L4" s="67"/>
    </row>
    <row r="5" spans="2:24" ht="7.8" customHeight="1" x14ac:dyDescent="0.3">
      <c r="B5" s="65"/>
      <c r="C5" s="65"/>
      <c r="D5" s="65"/>
      <c r="E5" s="65"/>
      <c r="F5" s="65"/>
      <c r="G5" s="65"/>
      <c r="H5" s="65"/>
      <c r="I5" s="65"/>
      <c r="J5" s="65"/>
      <c r="K5" s="65"/>
      <c r="L5" s="65"/>
    </row>
    <row r="6" spans="2:24" x14ac:dyDescent="0.3">
      <c r="B6" s="36" t="s">
        <v>217</v>
      </c>
      <c r="C6" s="36">
        <v>1563</v>
      </c>
      <c r="D6" s="36">
        <v>1173</v>
      </c>
      <c r="E6" s="36">
        <v>1741</v>
      </c>
      <c r="F6" s="36">
        <v>2382</v>
      </c>
      <c r="G6" s="36">
        <v>1463</v>
      </c>
      <c r="H6" s="36">
        <v>1691</v>
      </c>
      <c r="I6" s="36">
        <v>3068</v>
      </c>
      <c r="J6" s="36">
        <v>3755</v>
      </c>
      <c r="K6" s="36">
        <v>3326</v>
      </c>
      <c r="L6" s="36">
        <v>3238</v>
      </c>
      <c r="N6" s="65"/>
      <c r="O6" s="65"/>
      <c r="P6" s="65"/>
      <c r="Q6" s="65"/>
      <c r="R6" s="65"/>
      <c r="S6" s="65"/>
      <c r="T6" s="65"/>
      <c r="U6" s="65"/>
      <c r="V6" s="65"/>
      <c r="W6" s="65"/>
      <c r="X6" s="65"/>
    </row>
    <row r="7" spans="2:24" x14ac:dyDescent="0.3">
      <c r="B7" t="s">
        <v>87</v>
      </c>
      <c r="C7" s="21">
        <v>2433</v>
      </c>
      <c r="D7" s="21">
        <v>2284</v>
      </c>
      <c r="E7" s="21">
        <v>2678</v>
      </c>
      <c r="F7" s="21">
        <v>2597</v>
      </c>
      <c r="G7" s="21">
        <v>2963</v>
      </c>
      <c r="H7" s="21">
        <v>3348</v>
      </c>
      <c r="I7" s="21">
        <v>3544</v>
      </c>
      <c r="J7" s="21">
        <v>4421</v>
      </c>
      <c r="K7" s="21">
        <v>4643</v>
      </c>
      <c r="L7" s="21">
        <v>5099</v>
      </c>
      <c r="N7" s="21"/>
      <c r="O7" s="21"/>
      <c r="P7" s="21"/>
      <c r="Q7" s="21"/>
      <c r="R7" s="21"/>
      <c r="S7" s="21"/>
      <c r="T7" s="21"/>
      <c r="U7" s="21"/>
      <c r="V7" s="21"/>
      <c r="W7" s="21"/>
      <c r="X7" s="21"/>
    </row>
    <row r="8" spans="2:24" x14ac:dyDescent="0.3">
      <c r="B8" t="s">
        <v>43</v>
      </c>
      <c r="C8">
        <v>-251</v>
      </c>
      <c r="D8">
        <v>-443</v>
      </c>
      <c r="E8">
        <v>77</v>
      </c>
      <c r="F8">
        <v>-288</v>
      </c>
      <c r="G8">
        <v>-855</v>
      </c>
      <c r="H8" s="21">
        <v>-1015</v>
      </c>
      <c r="I8">
        <v>217</v>
      </c>
      <c r="J8">
        <v>423</v>
      </c>
      <c r="K8">
        <v>81</v>
      </c>
      <c r="L8">
        <v>-652</v>
      </c>
      <c r="N8" s="21"/>
      <c r="O8" s="21"/>
      <c r="P8" s="21"/>
      <c r="Q8" s="21"/>
      <c r="R8" s="21"/>
      <c r="S8" s="21"/>
      <c r="T8" s="21"/>
      <c r="U8" s="21"/>
      <c r="V8" s="21"/>
      <c r="W8" s="21"/>
      <c r="X8" s="21"/>
    </row>
    <row r="9" spans="2:24" x14ac:dyDescent="0.3">
      <c r="B9" t="s">
        <v>30</v>
      </c>
      <c r="C9">
        <v>-175</v>
      </c>
      <c r="D9">
        <v>-833</v>
      </c>
      <c r="E9">
        <v>-65</v>
      </c>
      <c r="F9">
        <v>323</v>
      </c>
      <c r="G9">
        <v>-559</v>
      </c>
      <c r="H9">
        <v>104</v>
      </c>
      <c r="I9">
        <v>-332</v>
      </c>
      <c r="J9">
        <v>-254</v>
      </c>
      <c r="K9">
        <v>-621</v>
      </c>
      <c r="L9">
        <v>111</v>
      </c>
      <c r="U9" s="21"/>
    </row>
    <row r="10" spans="2:24" x14ac:dyDescent="0.3">
      <c r="B10" t="s">
        <v>88</v>
      </c>
      <c r="C10">
        <v>-135</v>
      </c>
      <c r="D10">
        <v>557</v>
      </c>
      <c r="E10">
        <v>-441</v>
      </c>
      <c r="F10">
        <v>201</v>
      </c>
      <c r="G10">
        <v>636</v>
      </c>
      <c r="H10">
        <v>-153</v>
      </c>
      <c r="I10">
        <v>487</v>
      </c>
      <c r="J10">
        <v>203</v>
      </c>
      <c r="K10">
        <v>362</v>
      </c>
      <c r="L10">
        <v>-18</v>
      </c>
    </row>
    <row r="11" spans="2:24" x14ac:dyDescent="0.3">
      <c r="B11" t="s">
        <v>89</v>
      </c>
      <c r="C11">
        <v>-561</v>
      </c>
      <c r="D11">
        <v>-719</v>
      </c>
      <c r="E11">
        <v>-429</v>
      </c>
      <c r="F11">
        <v>235</v>
      </c>
      <c r="G11">
        <v>-778</v>
      </c>
      <c r="H11" s="21">
        <v>-1064</v>
      </c>
      <c r="I11">
        <v>373</v>
      </c>
      <c r="J11">
        <v>372</v>
      </c>
      <c r="K11">
        <v>-177</v>
      </c>
      <c r="L11">
        <v>-559</v>
      </c>
    </row>
    <row r="12" spans="2:24" x14ac:dyDescent="0.3">
      <c r="B12" t="s">
        <v>90</v>
      </c>
      <c r="C12">
        <v>-308</v>
      </c>
      <c r="D12">
        <v>-392</v>
      </c>
      <c r="E12">
        <v>-508</v>
      </c>
      <c r="F12">
        <v>-450</v>
      </c>
      <c r="G12">
        <v>-722</v>
      </c>
      <c r="H12">
        <v>-593</v>
      </c>
      <c r="I12">
        <v>-848</v>
      </c>
      <c r="J12" s="21">
        <v>-1037</v>
      </c>
      <c r="K12" s="21">
        <v>-1140</v>
      </c>
      <c r="L12" s="21">
        <v>-1302</v>
      </c>
      <c r="U12" s="21"/>
    </row>
    <row r="13" spans="2:24" x14ac:dyDescent="0.3">
      <c r="J13" s="21"/>
      <c r="K13" s="21"/>
      <c r="L13" s="21"/>
      <c r="U13" s="21"/>
    </row>
    <row r="14" spans="2:24" x14ac:dyDescent="0.3">
      <c r="B14" s="36" t="s">
        <v>213</v>
      </c>
      <c r="C14" s="36">
        <v>-1265</v>
      </c>
      <c r="D14" s="36">
        <v>-950</v>
      </c>
      <c r="E14" s="36">
        <v>-4533</v>
      </c>
      <c r="F14" s="36">
        <v>-1304</v>
      </c>
      <c r="G14" s="36">
        <v>-834</v>
      </c>
      <c r="H14" s="36">
        <v>-1688</v>
      </c>
      <c r="I14" s="36">
        <v>114</v>
      </c>
      <c r="J14" s="36">
        <v>-2374</v>
      </c>
      <c r="K14" s="36">
        <v>-1858</v>
      </c>
      <c r="L14" s="36">
        <v>-2376</v>
      </c>
      <c r="W14" s="21"/>
      <c r="X14" s="21"/>
    </row>
    <row r="15" spans="2:24" x14ac:dyDescent="0.3">
      <c r="B15" t="s">
        <v>91</v>
      </c>
      <c r="C15">
        <v>-570</v>
      </c>
      <c r="D15">
        <v>-646</v>
      </c>
      <c r="E15" s="21">
        <v>-1077</v>
      </c>
      <c r="F15" s="21">
        <v>-1136</v>
      </c>
      <c r="G15">
        <v>-816</v>
      </c>
      <c r="H15">
        <v>-527</v>
      </c>
      <c r="I15" s="21">
        <v>-1000</v>
      </c>
      <c r="J15">
        <v>-819</v>
      </c>
      <c r="K15">
        <v>-701</v>
      </c>
      <c r="L15" s="21">
        <v>-1183</v>
      </c>
      <c r="O15" s="21"/>
      <c r="P15" s="21"/>
      <c r="R15" s="21"/>
      <c r="S15" s="21"/>
      <c r="T15" t="s">
        <v>143</v>
      </c>
      <c r="U15" s="21"/>
      <c r="W15" s="21"/>
      <c r="X15" s="21"/>
    </row>
    <row r="16" spans="2:24" x14ac:dyDescent="0.3">
      <c r="B16" t="s">
        <v>92</v>
      </c>
      <c r="C16">
        <v>3</v>
      </c>
      <c r="D16">
        <v>21</v>
      </c>
      <c r="E16">
        <v>24</v>
      </c>
      <c r="F16">
        <v>38</v>
      </c>
      <c r="G16">
        <v>77</v>
      </c>
      <c r="H16">
        <v>23</v>
      </c>
      <c r="I16">
        <v>14</v>
      </c>
      <c r="J16">
        <v>28</v>
      </c>
      <c r="K16">
        <v>20</v>
      </c>
      <c r="L16">
        <v>47</v>
      </c>
      <c r="R16" s="21"/>
      <c r="S16" s="21"/>
      <c r="V16" s="21"/>
    </row>
    <row r="17" spans="2:24" x14ac:dyDescent="0.3">
      <c r="B17" t="s">
        <v>93</v>
      </c>
      <c r="C17" s="21">
        <v>-18029</v>
      </c>
      <c r="D17" s="21">
        <v>-20564</v>
      </c>
      <c r="E17" s="21">
        <v>-15940</v>
      </c>
      <c r="F17">
        <v>-198</v>
      </c>
      <c r="G17">
        <v>-190</v>
      </c>
      <c r="H17">
        <v>-910</v>
      </c>
      <c r="I17">
        <v>0</v>
      </c>
      <c r="J17" s="21">
        <v>-1245</v>
      </c>
      <c r="K17">
        <v>0</v>
      </c>
      <c r="L17">
        <v>-888</v>
      </c>
    </row>
    <row r="18" spans="2:24" x14ac:dyDescent="0.3">
      <c r="B18" t="s">
        <v>94</v>
      </c>
      <c r="C18" s="21">
        <v>19842</v>
      </c>
      <c r="D18" s="21">
        <v>20525</v>
      </c>
      <c r="E18" s="21">
        <v>15950</v>
      </c>
      <c r="F18">
        <v>137</v>
      </c>
      <c r="G18">
        <v>10</v>
      </c>
      <c r="H18">
        <v>84</v>
      </c>
      <c r="I18" s="21">
        <v>1210</v>
      </c>
      <c r="J18">
        <v>0</v>
      </c>
      <c r="K18">
        <v>171</v>
      </c>
      <c r="L18">
        <v>0</v>
      </c>
      <c r="N18" s="21"/>
      <c r="O18" s="21"/>
      <c r="P18" s="21"/>
      <c r="Q18" s="21"/>
      <c r="R18" s="21"/>
      <c r="W18" s="21"/>
    </row>
    <row r="19" spans="2:24" x14ac:dyDescent="0.3">
      <c r="B19" t="s">
        <v>214</v>
      </c>
      <c r="C19">
        <v>0</v>
      </c>
      <c r="D19">
        <v>0</v>
      </c>
      <c r="E19">
        <v>0</v>
      </c>
      <c r="F19">
        <v>0</v>
      </c>
      <c r="G19">
        <v>0</v>
      </c>
      <c r="H19">
        <v>0</v>
      </c>
      <c r="I19">
        <v>0</v>
      </c>
      <c r="J19">
        <v>0</v>
      </c>
      <c r="K19">
        <v>0</v>
      </c>
      <c r="L19">
        <v>0</v>
      </c>
      <c r="N19" s="21"/>
      <c r="O19" s="21"/>
      <c r="P19" s="21"/>
      <c r="Q19" s="21"/>
      <c r="R19" s="21"/>
      <c r="V19" s="21"/>
    </row>
    <row r="20" spans="2:24" x14ac:dyDescent="0.3">
      <c r="B20" t="s">
        <v>95</v>
      </c>
      <c r="C20">
        <v>19</v>
      </c>
      <c r="D20">
        <v>10</v>
      </c>
      <c r="E20">
        <v>9</v>
      </c>
      <c r="F20">
        <v>12</v>
      </c>
      <c r="G20">
        <v>30</v>
      </c>
      <c r="H20">
        <v>38</v>
      </c>
      <c r="I20">
        <v>50</v>
      </c>
      <c r="J20">
        <v>41</v>
      </c>
      <c r="K20">
        <v>47</v>
      </c>
      <c r="L20">
        <v>114</v>
      </c>
    </row>
    <row r="21" spans="2:24" x14ac:dyDescent="0.3">
      <c r="B21" t="s">
        <v>96</v>
      </c>
      <c r="C21">
        <v>74</v>
      </c>
      <c r="D21">
        <v>22</v>
      </c>
      <c r="E21">
        <v>0</v>
      </c>
      <c r="F21">
        <v>0</v>
      </c>
      <c r="G21">
        <v>4</v>
      </c>
      <c r="H21">
        <v>34</v>
      </c>
      <c r="I21">
        <v>0</v>
      </c>
      <c r="J21">
        <v>22</v>
      </c>
      <c r="K21">
        <v>0</v>
      </c>
      <c r="L21">
        <v>0</v>
      </c>
    </row>
    <row r="22" spans="2:24" x14ac:dyDescent="0.3">
      <c r="B22" t="s">
        <v>97</v>
      </c>
      <c r="C22">
        <v>-11</v>
      </c>
      <c r="D22">
        <v>0</v>
      </c>
      <c r="E22">
        <v>-13</v>
      </c>
      <c r="F22">
        <v>-3</v>
      </c>
      <c r="G22">
        <v>0</v>
      </c>
      <c r="H22">
        <v>0</v>
      </c>
      <c r="I22">
        <v>0</v>
      </c>
      <c r="J22">
        <v>0</v>
      </c>
      <c r="K22">
        <v>-18</v>
      </c>
      <c r="L22">
        <v>-51</v>
      </c>
    </row>
    <row r="23" spans="2:24" x14ac:dyDescent="0.3">
      <c r="B23" t="s">
        <v>98</v>
      </c>
      <c r="C23">
        <v>0</v>
      </c>
      <c r="D23">
        <v>0</v>
      </c>
      <c r="E23">
        <v>0</v>
      </c>
      <c r="F23">
        <v>21</v>
      </c>
      <c r="G23">
        <v>143</v>
      </c>
      <c r="H23">
        <v>0</v>
      </c>
      <c r="I23">
        <v>1</v>
      </c>
      <c r="J23">
        <v>3</v>
      </c>
      <c r="K23">
        <v>0</v>
      </c>
      <c r="L23">
        <v>26</v>
      </c>
    </row>
    <row r="24" spans="2:24" x14ac:dyDescent="0.3">
      <c r="B24" t="s">
        <v>99</v>
      </c>
      <c r="C24" s="21">
        <v>-2578</v>
      </c>
      <c r="D24">
        <v>-314</v>
      </c>
      <c r="E24" s="21">
        <v>-3482</v>
      </c>
      <c r="F24">
        <v>-188</v>
      </c>
      <c r="G24">
        <v>-14</v>
      </c>
      <c r="H24">
        <v>-421</v>
      </c>
      <c r="I24">
        <v>-33</v>
      </c>
      <c r="J24">
        <v>-14</v>
      </c>
      <c r="K24">
        <v>0</v>
      </c>
      <c r="L24">
        <v>0</v>
      </c>
    </row>
    <row r="25" spans="2:24" x14ac:dyDescent="0.3">
      <c r="B25" t="s">
        <v>100</v>
      </c>
      <c r="C25">
        <v>0</v>
      </c>
      <c r="D25">
        <v>0</v>
      </c>
      <c r="E25">
        <v>1</v>
      </c>
      <c r="F25">
        <v>0</v>
      </c>
      <c r="G25">
        <v>0</v>
      </c>
      <c r="H25">
        <v>0</v>
      </c>
      <c r="I25">
        <v>0</v>
      </c>
      <c r="J25">
        <v>0</v>
      </c>
      <c r="K25">
        <v>0</v>
      </c>
      <c r="L25">
        <v>0</v>
      </c>
      <c r="P25" s="21"/>
      <c r="R25" s="21"/>
    </row>
    <row r="26" spans="2:24" x14ac:dyDescent="0.3">
      <c r="B26" t="s">
        <v>101</v>
      </c>
      <c r="C26">
        <v>-15</v>
      </c>
      <c r="D26">
        <v>-3</v>
      </c>
      <c r="E26">
        <v>-4</v>
      </c>
      <c r="F26">
        <v>13</v>
      </c>
      <c r="G26">
        <v>-77</v>
      </c>
      <c r="H26">
        <v>-8</v>
      </c>
      <c r="I26">
        <v>-128</v>
      </c>
      <c r="J26">
        <v>-389</v>
      </c>
      <c r="K26" s="21">
        <v>-1377</v>
      </c>
      <c r="L26">
        <v>-442</v>
      </c>
    </row>
    <row r="27" spans="2:24" x14ac:dyDescent="0.3">
      <c r="K27" s="21"/>
    </row>
    <row r="28" spans="2:24" x14ac:dyDescent="0.3">
      <c r="B28" s="36" t="s">
        <v>215</v>
      </c>
      <c r="C28" s="36">
        <v>-266</v>
      </c>
      <c r="D28" s="36">
        <v>165</v>
      </c>
      <c r="E28" s="36">
        <v>3104</v>
      </c>
      <c r="F28" s="36">
        <v>-1326</v>
      </c>
      <c r="G28" s="36">
        <v>-385</v>
      </c>
      <c r="H28" s="36">
        <v>-349</v>
      </c>
      <c r="I28" s="36">
        <v>-2949</v>
      </c>
      <c r="J28" s="36">
        <v>-1240</v>
      </c>
      <c r="K28" s="36">
        <v>-1600</v>
      </c>
      <c r="L28" s="36">
        <v>-958</v>
      </c>
      <c r="X28" s="21"/>
    </row>
    <row r="29" spans="2:24" x14ac:dyDescent="0.3">
      <c r="B29" t="s">
        <v>102</v>
      </c>
      <c r="C29">
        <v>0</v>
      </c>
      <c r="D29">
        <v>0</v>
      </c>
      <c r="E29">
        <v>3</v>
      </c>
      <c r="F29">
        <v>12</v>
      </c>
      <c r="G29">
        <v>0</v>
      </c>
      <c r="H29">
        <v>0</v>
      </c>
      <c r="I29">
        <v>0</v>
      </c>
      <c r="J29">
        <v>0</v>
      </c>
      <c r="K29">
        <v>0</v>
      </c>
      <c r="L29">
        <v>0</v>
      </c>
      <c r="R29" s="21"/>
      <c r="S29" s="21"/>
      <c r="V29" s="21"/>
      <c r="W29" s="21"/>
      <c r="X29" s="21"/>
    </row>
    <row r="30" spans="2:24" x14ac:dyDescent="0.3">
      <c r="B30" t="s">
        <v>103</v>
      </c>
      <c r="C30">
        <v>156</v>
      </c>
      <c r="D30">
        <v>508</v>
      </c>
      <c r="E30" s="21">
        <v>3508</v>
      </c>
      <c r="F30" s="21">
        <v>3652</v>
      </c>
      <c r="G30">
        <v>0</v>
      </c>
      <c r="H30">
        <v>48</v>
      </c>
      <c r="I30">
        <v>264</v>
      </c>
      <c r="J30">
        <v>70</v>
      </c>
      <c r="K30">
        <v>35</v>
      </c>
      <c r="L30">
        <v>0</v>
      </c>
    </row>
    <row r="31" spans="2:24" x14ac:dyDescent="0.3">
      <c r="B31" t="s">
        <v>104</v>
      </c>
      <c r="C31">
        <v>-112</v>
      </c>
      <c r="D31">
        <v>0</v>
      </c>
      <c r="E31">
        <v>-66</v>
      </c>
      <c r="F31" s="21">
        <v>-4733</v>
      </c>
      <c r="G31">
        <v>-34</v>
      </c>
      <c r="H31">
        <v>-108</v>
      </c>
      <c r="I31" s="21">
        <v>-1948</v>
      </c>
      <c r="J31" s="21">
        <v>-1064</v>
      </c>
      <c r="K31" s="21">
        <v>-1041</v>
      </c>
      <c r="L31">
        <v>-352</v>
      </c>
      <c r="R31" s="21"/>
      <c r="S31" s="21"/>
    </row>
    <row r="32" spans="2:24" x14ac:dyDescent="0.3">
      <c r="B32" t="s">
        <v>105</v>
      </c>
      <c r="C32">
        <v>-121</v>
      </c>
      <c r="D32">
        <v>-167</v>
      </c>
      <c r="E32">
        <v>-161</v>
      </c>
      <c r="F32">
        <v>-159</v>
      </c>
      <c r="G32">
        <v>-118</v>
      </c>
      <c r="H32">
        <v>-159</v>
      </c>
      <c r="I32">
        <v>-164</v>
      </c>
      <c r="J32">
        <v>-121</v>
      </c>
      <c r="K32">
        <v>-76</v>
      </c>
      <c r="L32">
        <v>-65</v>
      </c>
      <c r="S32" s="21"/>
      <c r="V32" s="21"/>
      <c r="W32" s="21"/>
      <c r="X32" s="21"/>
    </row>
    <row r="33" spans="2:12" x14ac:dyDescent="0.3">
      <c r="B33" t="s">
        <v>106</v>
      </c>
      <c r="C33">
        <v>-161</v>
      </c>
      <c r="D33">
        <v>-161</v>
      </c>
      <c r="E33">
        <v>-159</v>
      </c>
      <c r="F33">
        <v>-161</v>
      </c>
      <c r="G33">
        <v>-161</v>
      </c>
      <c r="H33">
        <v>-242</v>
      </c>
      <c r="I33">
        <v>-564</v>
      </c>
      <c r="J33">
        <v>0</v>
      </c>
      <c r="K33">
        <v>-403</v>
      </c>
      <c r="L33">
        <v>-404</v>
      </c>
    </row>
    <row r="34" spans="2:12" x14ac:dyDescent="0.3">
      <c r="B34" t="s">
        <v>107</v>
      </c>
      <c r="C34">
        <v>0</v>
      </c>
      <c r="D34">
        <v>0</v>
      </c>
      <c r="E34">
        <v>0</v>
      </c>
      <c r="F34">
        <v>0</v>
      </c>
      <c r="G34">
        <v>0</v>
      </c>
      <c r="H34">
        <v>0</v>
      </c>
      <c r="I34">
        <v>-76</v>
      </c>
      <c r="J34">
        <v>-84</v>
      </c>
      <c r="K34">
        <v>-92</v>
      </c>
      <c r="L34">
        <v>-134</v>
      </c>
    </row>
    <row r="35" spans="2:12" x14ac:dyDescent="0.3">
      <c r="B35" t="s">
        <v>216</v>
      </c>
      <c r="C35">
        <v>0</v>
      </c>
      <c r="D35">
        <v>12</v>
      </c>
      <c r="E35">
        <v>0</v>
      </c>
      <c r="F35">
        <v>0</v>
      </c>
      <c r="G35">
        <v>0</v>
      </c>
      <c r="H35">
        <v>0</v>
      </c>
      <c r="I35">
        <v>0</v>
      </c>
      <c r="J35">
        <v>0</v>
      </c>
      <c r="K35">
        <v>0</v>
      </c>
      <c r="L35">
        <v>0</v>
      </c>
    </row>
    <row r="36" spans="2:12" x14ac:dyDescent="0.3">
      <c r="B36" t="s">
        <v>108</v>
      </c>
      <c r="C36">
        <v>-27</v>
      </c>
      <c r="D36">
        <v>-27</v>
      </c>
      <c r="E36">
        <v>-20</v>
      </c>
      <c r="F36">
        <v>63</v>
      </c>
      <c r="G36">
        <v>-72</v>
      </c>
      <c r="H36">
        <v>112</v>
      </c>
      <c r="I36">
        <v>-461</v>
      </c>
      <c r="J36">
        <v>-41</v>
      </c>
      <c r="K36">
        <v>-23</v>
      </c>
      <c r="L36">
        <v>-4</v>
      </c>
    </row>
    <row r="38" spans="2:12" x14ac:dyDescent="0.3">
      <c r="B38" s="36" t="s">
        <v>21</v>
      </c>
      <c r="C38" s="36">
        <v>33</v>
      </c>
      <c r="D38" s="36">
        <v>388</v>
      </c>
      <c r="E38" s="36">
        <v>312</v>
      </c>
      <c r="F38" s="36">
        <v>-248</v>
      </c>
      <c r="G38" s="36">
        <v>243</v>
      </c>
      <c r="H38" s="36">
        <v>-345</v>
      </c>
      <c r="I38" s="36">
        <v>234</v>
      </c>
      <c r="J38" s="36">
        <v>141</v>
      </c>
      <c r="K38" s="36">
        <v>-132</v>
      </c>
      <c r="L38" s="36">
        <v>-97</v>
      </c>
    </row>
  </sheetData>
  <mergeCells count="1">
    <mergeCell ref="B1:L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90B43-2CDF-414C-980B-7BDD4010B8BA}">
  <dimension ref="B2:P11"/>
  <sheetViews>
    <sheetView showGridLines="0" workbookViewId="0">
      <selection activeCell="I15" sqref="I15"/>
    </sheetView>
  </sheetViews>
  <sheetFormatPr defaultRowHeight="14.4" x14ac:dyDescent="0.3"/>
  <cols>
    <col min="1" max="1" width="2.44140625" style="79" customWidth="1"/>
    <col min="2" max="2" width="10.77734375" style="79" bestFit="1" customWidth="1"/>
    <col min="3" max="3" width="15.109375" style="79" bestFit="1" customWidth="1"/>
    <col min="4" max="4" width="7.6640625" style="79" bestFit="1" customWidth="1"/>
    <col min="5" max="5" width="13.6640625" style="79" bestFit="1" customWidth="1"/>
    <col min="6" max="6" width="10.21875" style="79" bestFit="1" customWidth="1"/>
    <col min="7" max="7" width="8.5546875" style="79" bestFit="1" customWidth="1"/>
    <col min="8" max="11" width="8.88671875" style="79"/>
    <col min="12" max="12" width="14.33203125" style="79" bestFit="1" customWidth="1"/>
    <col min="13" max="16384" width="8.88671875" style="79"/>
  </cols>
  <sheetData>
    <row r="2" spans="2:16" x14ac:dyDescent="0.3">
      <c r="B2" s="81" t="s">
        <v>221</v>
      </c>
      <c r="K2" s="81" t="s">
        <v>338</v>
      </c>
    </row>
    <row r="4" spans="2:16" x14ac:dyDescent="0.3">
      <c r="B4" s="100" t="s">
        <v>339</v>
      </c>
      <c r="C4" s="100" t="s">
        <v>340</v>
      </c>
      <c r="D4" s="100" t="s">
        <v>341</v>
      </c>
      <c r="E4" s="100" t="s">
        <v>342</v>
      </c>
      <c r="F4" s="100" t="s">
        <v>343</v>
      </c>
      <c r="G4" s="100" t="s">
        <v>344</v>
      </c>
      <c r="H4" s="89" t="s">
        <v>355</v>
      </c>
      <c r="I4" s="81"/>
      <c r="K4" s="100" t="s">
        <v>339</v>
      </c>
      <c r="L4" s="100" t="s">
        <v>340</v>
      </c>
      <c r="M4" s="100" t="s">
        <v>341</v>
      </c>
      <c r="N4" s="100" t="s">
        <v>342</v>
      </c>
      <c r="O4" s="100" t="s">
        <v>343</v>
      </c>
      <c r="P4" s="100" t="s">
        <v>344</v>
      </c>
    </row>
    <row r="5" spans="2:16" x14ac:dyDescent="0.3">
      <c r="B5" s="147">
        <v>1</v>
      </c>
      <c r="C5" s="79" t="s">
        <v>347</v>
      </c>
      <c r="D5" s="79">
        <v>1476.25</v>
      </c>
      <c r="E5" s="79">
        <v>119186.41</v>
      </c>
      <c r="F5" s="79">
        <v>960.89</v>
      </c>
      <c r="G5" s="79">
        <v>0.04</v>
      </c>
      <c r="H5" s="79">
        <v>-0.47</v>
      </c>
      <c r="K5" s="81"/>
      <c r="L5" s="81"/>
      <c r="M5" s="81"/>
      <c r="N5" s="81"/>
      <c r="O5" s="81"/>
      <c r="P5" s="81"/>
    </row>
    <row r="6" spans="2:16" x14ac:dyDescent="0.3">
      <c r="B6" s="147">
        <v>2</v>
      </c>
      <c r="C6" s="79" t="s">
        <v>346</v>
      </c>
      <c r="D6" s="79">
        <v>1570.5</v>
      </c>
      <c r="E6" s="79">
        <v>376815.55</v>
      </c>
      <c r="F6" s="79">
        <v>1928.23</v>
      </c>
      <c r="G6" s="79">
        <v>0.03</v>
      </c>
      <c r="H6" s="79">
        <v>7.0000000000000007E-2</v>
      </c>
      <c r="K6" s="147">
        <v>1</v>
      </c>
      <c r="L6" s="79" t="s">
        <v>231</v>
      </c>
      <c r="M6" s="79">
        <v>3754.8</v>
      </c>
      <c r="N6" s="79">
        <v>244337.36</v>
      </c>
      <c r="O6" s="79">
        <v>630.38</v>
      </c>
      <c r="P6" s="79">
        <v>0.04</v>
      </c>
    </row>
    <row r="7" spans="2:16" x14ac:dyDescent="0.3">
      <c r="B7" s="147">
        <v>3</v>
      </c>
      <c r="C7" s="79" t="s">
        <v>348</v>
      </c>
      <c r="D7" s="79">
        <v>6420.7</v>
      </c>
      <c r="E7" s="79">
        <v>107103.35</v>
      </c>
      <c r="F7" s="79">
        <v>1323</v>
      </c>
      <c r="G7" s="79">
        <v>0.05</v>
      </c>
      <c r="H7" s="79">
        <v>-0.45</v>
      </c>
      <c r="K7" s="147">
        <v>2</v>
      </c>
      <c r="L7" s="79" t="s">
        <v>233</v>
      </c>
      <c r="M7" s="79">
        <v>4015</v>
      </c>
      <c r="N7" s="79">
        <v>142728.20000000001</v>
      </c>
      <c r="O7" s="79">
        <v>4839.33</v>
      </c>
      <c r="P7" s="79">
        <v>1.66</v>
      </c>
    </row>
    <row r="8" spans="2:16" x14ac:dyDescent="0.3">
      <c r="B8" s="147">
        <v>4</v>
      </c>
      <c r="C8" s="79" t="s">
        <v>349</v>
      </c>
      <c r="D8" s="79">
        <v>931.25</v>
      </c>
      <c r="E8" s="79">
        <v>94261.54</v>
      </c>
      <c r="F8" s="79">
        <v>191.9</v>
      </c>
      <c r="G8" s="79">
        <v>0.01</v>
      </c>
      <c r="H8" s="79">
        <v>-0.12</v>
      </c>
      <c r="K8" s="147">
        <v>3</v>
      </c>
      <c r="L8" s="79" t="s">
        <v>234</v>
      </c>
      <c r="M8" s="79">
        <v>985</v>
      </c>
      <c r="N8" s="79">
        <v>23918.87</v>
      </c>
      <c r="O8" s="79">
        <v>365.02</v>
      </c>
      <c r="P8" s="79">
        <v>0.27</v>
      </c>
    </row>
    <row r="9" spans="2:16" x14ac:dyDescent="0.3">
      <c r="B9" s="147">
        <v>6</v>
      </c>
      <c r="C9" s="79" t="s">
        <v>351</v>
      </c>
      <c r="D9" s="79">
        <v>1610.1</v>
      </c>
      <c r="E9" s="79">
        <v>73360.45</v>
      </c>
      <c r="F9" s="79">
        <v>3784.61</v>
      </c>
      <c r="G9" s="79">
        <v>0.28999999999999998</v>
      </c>
      <c r="H9" s="79">
        <v>-0.55000000000000004</v>
      </c>
      <c r="K9" s="147">
        <v>4</v>
      </c>
      <c r="L9" s="79" t="s">
        <v>235</v>
      </c>
      <c r="M9" s="79">
        <v>236.85</v>
      </c>
      <c r="N9" s="79">
        <v>22480.53</v>
      </c>
      <c r="O9" s="79">
        <v>10174.77</v>
      </c>
      <c r="P9" s="79">
        <v>3.46</v>
      </c>
    </row>
    <row r="10" spans="2:16" x14ac:dyDescent="0.3">
      <c r="K10" s="147">
        <v>5</v>
      </c>
      <c r="L10" s="79" t="s">
        <v>236</v>
      </c>
      <c r="M10" s="79">
        <v>705.35</v>
      </c>
      <c r="N10" s="79">
        <v>8431.5400000000009</v>
      </c>
      <c r="O10" s="79">
        <v>958.08</v>
      </c>
      <c r="P10" s="79">
        <v>0.63</v>
      </c>
    </row>
    <row r="11" spans="2:16" x14ac:dyDescent="0.3">
      <c r="B11" s="14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7554C-E0B6-4AAA-8425-2987AF2512A1}">
  <dimension ref="A2:K40"/>
  <sheetViews>
    <sheetView showGridLines="0" topLeftCell="A31" workbookViewId="0">
      <selection activeCell="J55" sqref="J55"/>
    </sheetView>
  </sheetViews>
  <sheetFormatPr defaultRowHeight="14.4" x14ac:dyDescent="0.3"/>
  <cols>
    <col min="1" max="1" width="2.6640625" style="79" customWidth="1"/>
    <col min="2" max="2" width="26.77734375" style="79" bestFit="1" customWidth="1"/>
    <col min="3" max="5" width="8.88671875" style="79"/>
    <col min="6" max="6" width="9.5546875" style="79" bestFit="1" customWidth="1"/>
    <col min="7" max="7" width="19.5546875" style="79" bestFit="1" customWidth="1"/>
    <col min="8" max="9" width="18.44140625" style="79" bestFit="1" customWidth="1"/>
    <col min="10" max="10" width="18.33203125" style="79" bestFit="1" customWidth="1"/>
    <col min="11" max="11" width="10.5546875" style="79" bestFit="1" customWidth="1"/>
    <col min="12" max="16384" width="8.88671875" style="79"/>
  </cols>
  <sheetData>
    <row r="2" spans="2:11" x14ac:dyDescent="0.3">
      <c r="B2" s="129" t="s">
        <v>308</v>
      </c>
      <c r="C2" s="129"/>
      <c r="D2" s="129"/>
      <c r="E2" s="129"/>
      <c r="F2" s="130">
        <v>44986</v>
      </c>
      <c r="G2" s="131">
        <v>45352</v>
      </c>
      <c r="H2" s="131">
        <v>45717</v>
      </c>
      <c r="I2" s="131">
        <v>46082</v>
      </c>
      <c r="J2" s="131">
        <v>46447</v>
      </c>
      <c r="K2" s="131">
        <v>46813</v>
      </c>
    </row>
    <row r="4" spans="2:11" x14ac:dyDescent="0.3">
      <c r="B4" s="79" t="s">
        <v>186</v>
      </c>
      <c r="F4" s="132" t="e">
        <f>#REF!-#REF!</f>
        <v>#REF!</v>
      </c>
      <c r="G4" s="79" t="e">
        <f>F4*(1+$D$14)</f>
        <v>#REF!</v>
      </c>
      <c r="H4" s="79" t="e">
        <f>G4*(1+$D$14)</f>
        <v>#REF!</v>
      </c>
      <c r="I4" s="79" t="e">
        <f>H4*(1+$D$14)</f>
        <v>#REF!</v>
      </c>
      <c r="J4" s="79" t="e">
        <f>I4*(1+$D$14)</f>
        <v>#REF!</v>
      </c>
      <c r="K4" s="79" t="e">
        <f>J4*(1+$D$14)</f>
        <v>#REF!</v>
      </c>
    </row>
    <row r="5" spans="2:11" x14ac:dyDescent="0.3">
      <c r="B5" s="79" t="s">
        <v>253</v>
      </c>
      <c r="F5" s="133">
        <v>0.25</v>
      </c>
      <c r="G5" s="97">
        <f>F5</f>
        <v>0.25</v>
      </c>
      <c r="H5" s="97">
        <f t="shared" ref="H5:K5" si="0">G5</f>
        <v>0.25</v>
      </c>
      <c r="I5" s="97">
        <f t="shared" si="0"/>
        <v>0.25</v>
      </c>
      <c r="J5" s="97">
        <f t="shared" si="0"/>
        <v>0.25</v>
      </c>
      <c r="K5" s="97">
        <f t="shared" si="0"/>
        <v>0.25</v>
      </c>
    </row>
    <row r="6" spans="2:11" x14ac:dyDescent="0.3">
      <c r="B6" s="79" t="s">
        <v>302</v>
      </c>
      <c r="F6" s="132" t="e">
        <f t="shared" ref="F6:K6" si="1">F4*(1-F5)</f>
        <v>#REF!</v>
      </c>
      <c r="G6" s="79" t="e">
        <f t="shared" si="1"/>
        <v>#REF!</v>
      </c>
      <c r="H6" s="79" t="e">
        <f t="shared" si="1"/>
        <v>#REF!</v>
      </c>
      <c r="I6" s="79" t="e">
        <f t="shared" si="1"/>
        <v>#REF!</v>
      </c>
      <c r="J6" s="79" t="e">
        <f t="shared" si="1"/>
        <v>#REF!</v>
      </c>
      <c r="K6" s="79" t="e">
        <f t="shared" si="1"/>
        <v>#REF!</v>
      </c>
    </row>
    <row r="7" spans="2:11" x14ac:dyDescent="0.3">
      <c r="B7" s="79" t="s">
        <v>309</v>
      </c>
      <c r="F7" s="133">
        <f>ROIC!K52</f>
        <v>0.58701846630502641</v>
      </c>
      <c r="G7" s="97">
        <f>F7+(($K$7-$F$7)/4)</f>
        <v>0.56311384972876977</v>
      </c>
      <c r="H7" s="97">
        <f t="shared" ref="H7:J7" si="2">G7+(($K$7-$F$7)/4)</f>
        <v>0.53920923315251312</v>
      </c>
      <c r="I7" s="97">
        <f t="shared" si="2"/>
        <v>0.51530461657625648</v>
      </c>
      <c r="J7" s="97">
        <f t="shared" si="2"/>
        <v>0.49139999999999989</v>
      </c>
      <c r="K7" s="97">
        <v>0.4914</v>
      </c>
    </row>
    <row r="8" spans="2:11" x14ac:dyDescent="0.3">
      <c r="B8" s="79" t="s">
        <v>310</v>
      </c>
      <c r="F8" s="132" t="e">
        <f t="shared" ref="F8:K8" si="3">F6*(1-F7)</f>
        <v>#REF!</v>
      </c>
      <c r="G8" s="79" t="e">
        <f t="shared" si="3"/>
        <v>#REF!</v>
      </c>
      <c r="H8" s="79" t="e">
        <f t="shared" si="3"/>
        <v>#REF!</v>
      </c>
      <c r="I8" s="79" t="e">
        <f t="shared" si="3"/>
        <v>#REF!</v>
      </c>
      <c r="J8" s="79" t="e">
        <f t="shared" si="3"/>
        <v>#REF!</v>
      </c>
      <c r="K8" s="79" t="e">
        <f t="shared" si="3"/>
        <v>#REF!</v>
      </c>
    </row>
    <row r="9" spans="2:11" x14ac:dyDescent="0.3">
      <c r="B9" s="79" t="s">
        <v>311</v>
      </c>
      <c r="F9" s="132"/>
      <c r="G9" s="79">
        <v>0.5</v>
      </c>
      <c r="H9" s="79">
        <f>G9+1</f>
        <v>1.5</v>
      </c>
      <c r="I9" s="79">
        <f t="shared" ref="I9:K9" si="4">H9+1</f>
        <v>2.5</v>
      </c>
      <c r="J9" s="79">
        <f t="shared" si="4"/>
        <v>3.5</v>
      </c>
      <c r="K9" s="79">
        <f t="shared" si="4"/>
        <v>4.5</v>
      </c>
    </row>
    <row r="10" spans="2:11" x14ac:dyDescent="0.3">
      <c r="B10" s="79" t="s">
        <v>312</v>
      </c>
      <c r="F10" s="132"/>
      <c r="G10" s="134">
        <f>1/(1+$D$16)^G9</f>
        <v>0.96190410418982319</v>
      </c>
      <c r="H10" s="134">
        <f t="shared" ref="H10:K10" si="5">1/(1+$D$16)^H9</f>
        <v>0.89001091593233306</v>
      </c>
      <c r="I10" s="134">
        <f t="shared" si="5"/>
        <v>0.82349106010508577</v>
      </c>
      <c r="J10" s="134">
        <f t="shared" si="5"/>
        <v>0.761942931185977</v>
      </c>
      <c r="K10" s="134">
        <f t="shared" si="5"/>
        <v>0.70499493984815509</v>
      </c>
    </row>
    <row r="11" spans="2:11" ht="3.6" customHeight="1" x14ac:dyDescent="0.3">
      <c r="F11" s="132"/>
    </row>
    <row r="12" spans="2:11" ht="15" thickBot="1" x14ac:dyDescent="0.35">
      <c r="B12" s="135" t="s">
        <v>313</v>
      </c>
      <c r="C12" s="135"/>
      <c r="D12" s="135"/>
      <c r="E12" s="135"/>
      <c r="F12" s="136"/>
      <c r="G12" s="135" t="e">
        <f>G8*G10</f>
        <v>#REF!</v>
      </c>
      <c r="H12" s="135" t="e">
        <f t="shared" ref="H12:K12" si="6">H8*H10</f>
        <v>#REF!</v>
      </c>
      <c r="I12" s="135" t="e">
        <f t="shared" si="6"/>
        <v>#REF!</v>
      </c>
      <c r="J12" s="135" t="e">
        <f t="shared" si="6"/>
        <v>#REF!</v>
      </c>
      <c r="K12" s="135" t="e">
        <f t="shared" si="6"/>
        <v>#REF!</v>
      </c>
    </row>
    <row r="13" spans="2:11" ht="15" thickTop="1" x14ac:dyDescent="0.3"/>
    <row r="14" spans="2:11" x14ac:dyDescent="0.3">
      <c r="B14" s="137" t="s">
        <v>314</v>
      </c>
      <c r="C14" s="137"/>
      <c r="D14" s="138">
        <v>0.20749999999999999</v>
      </c>
    </row>
    <row r="15" spans="2:11" x14ac:dyDescent="0.3">
      <c r="B15" s="137" t="s">
        <v>315</v>
      </c>
      <c r="C15" s="137"/>
      <c r="D15" s="138">
        <v>5.3800000000000001E-2</v>
      </c>
    </row>
    <row r="16" spans="2:11" x14ac:dyDescent="0.3">
      <c r="B16" s="137" t="s">
        <v>316</v>
      </c>
      <c r="C16" s="137"/>
      <c r="D16" s="138">
        <f>WACC!J41</f>
        <v>8.0777872462584763E-2</v>
      </c>
    </row>
    <row r="19" spans="2:11" x14ac:dyDescent="0.3">
      <c r="B19" s="129" t="s">
        <v>317</v>
      </c>
      <c r="C19" s="129"/>
      <c r="D19" s="139"/>
      <c r="E19" s="129" t="s">
        <v>318</v>
      </c>
      <c r="F19" s="129"/>
      <c r="G19" s="129"/>
      <c r="H19" s="129"/>
      <c r="I19" s="129"/>
      <c r="J19" s="140"/>
      <c r="K19" s="140"/>
    </row>
    <row r="20" spans="2:11" x14ac:dyDescent="0.3">
      <c r="E20" s="141" t="e">
        <f>C31</f>
        <v>#REF!</v>
      </c>
      <c r="F20" s="142">
        <v>0.18</v>
      </c>
      <c r="G20" s="142">
        <v>0.2</v>
      </c>
      <c r="H20" s="142">
        <v>0.22</v>
      </c>
      <c r="I20" s="142">
        <v>0.24</v>
      </c>
    </row>
    <row r="21" spans="2:11" x14ac:dyDescent="0.3">
      <c r="B21" s="79" t="s">
        <v>319</v>
      </c>
      <c r="C21" s="79" t="e">
        <f>K8*(1+D14)</f>
        <v>#REF!</v>
      </c>
      <c r="E21" s="143">
        <v>0.03</v>
      </c>
      <c r="F21" s="101" t="e">
        <f t="dataTable" ref="F21:I25" dt2D="1" dtr="1" r1="C22" r2="C23"/>
        <v>#REF!</v>
      </c>
      <c r="G21" s="101" t="e">
        <v>#REF!</v>
      </c>
      <c r="H21" s="101" t="e">
        <v>#REF!</v>
      </c>
      <c r="I21" s="101" t="e">
        <v>#REF!</v>
      </c>
    </row>
    <row r="22" spans="2:11" x14ac:dyDescent="0.3">
      <c r="B22" s="79" t="s">
        <v>316</v>
      </c>
      <c r="C22" s="97">
        <f>D16</f>
        <v>8.0777872462584763E-2</v>
      </c>
      <c r="E22" s="143">
        <v>0.04</v>
      </c>
      <c r="F22" s="101" t="e">
        <v>#REF!</v>
      </c>
      <c r="G22" s="101" t="e">
        <v>#REF!</v>
      </c>
      <c r="H22" s="101" t="e">
        <v>#REF!</v>
      </c>
      <c r="I22" s="101" t="e">
        <v>#REF!</v>
      </c>
    </row>
    <row r="23" spans="2:11" x14ac:dyDescent="0.3">
      <c r="B23" s="79" t="s">
        <v>320</v>
      </c>
      <c r="C23" s="97">
        <f>D15</f>
        <v>5.3800000000000001E-2</v>
      </c>
      <c r="E23" s="143">
        <v>5.3800000000000001E-2</v>
      </c>
      <c r="F23" s="101" t="e">
        <v>#REF!</v>
      </c>
      <c r="G23" s="144" t="e">
        <v>#REF!</v>
      </c>
      <c r="H23" s="101" t="e">
        <v>#REF!</v>
      </c>
      <c r="I23" s="101" t="e">
        <v>#REF!</v>
      </c>
    </row>
    <row r="24" spans="2:11" x14ac:dyDescent="0.3">
      <c r="E24" s="143">
        <v>0.06</v>
      </c>
      <c r="F24" s="101" t="e">
        <v>#REF!</v>
      </c>
      <c r="G24" s="101" t="e">
        <v>#REF!</v>
      </c>
      <c r="H24" s="101" t="e">
        <v>#REF!</v>
      </c>
      <c r="I24" s="101" t="e">
        <v>#REF!</v>
      </c>
    </row>
    <row r="25" spans="2:11" ht="15" thickBot="1" x14ac:dyDescent="0.35">
      <c r="B25" s="145" t="s">
        <v>321</v>
      </c>
      <c r="C25" s="145" t="e">
        <f>C21/(C22-C23)</f>
        <v>#REF!</v>
      </c>
      <c r="E25" s="143">
        <v>7.0000000000000007E-2</v>
      </c>
      <c r="F25" s="101" t="e">
        <v>#REF!</v>
      </c>
      <c r="G25" s="101" t="e">
        <v>#REF!</v>
      </c>
      <c r="H25" s="101" t="e">
        <v>#REF!</v>
      </c>
      <c r="I25" s="101" t="e">
        <v>#REF!</v>
      </c>
    </row>
    <row r="26" spans="2:11" ht="15" thickTop="1" x14ac:dyDescent="0.3"/>
    <row r="27" spans="2:11" x14ac:dyDescent="0.3">
      <c r="B27" s="129" t="s">
        <v>322</v>
      </c>
      <c r="C27" s="146"/>
    </row>
    <row r="28" spans="2:11" x14ac:dyDescent="0.3">
      <c r="G28" s="79" t="s">
        <v>323</v>
      </c>
    </row>
    <row r="29" spans="2:11" x14ac:dyDescent="0.3">
      <c r="B29" s="79" t="s">
        <v>313</v>
      </c>
      <c r="C29" s="79" t="e">
        <f>SUM(G12:K12)</f>
        <v>#REF!</v>
      </c>
    </row>
    <row r="30" spans="2:11" x14ac:dyDescent="0.3">
      <c r="B30" s="79" t="s">
        <v>324</v>
      </c>
      <c r="C30" s="79" t="e">
        <f>C25*K10</f>
        <v>#REF!</v>
      </c>
    </row>
    <row r="31" spans="2:11" x14ac:dyDescent="0.3">
      <c r="B31" s="81" t="s">
        <v>325</v>
      </c>
      <c r="C31" s="81" t="e">
        <f>SUM(C29:C30)</f>
        <v>#REF!</v>
      </c>
    </row>
    <row r="33" spans="1:3" x14ac:dyDescent="0.3">
      <c r="B33" s="79" t="s">
        <v>326</v>
      </c>
      <c r="C33" s="79" t="e">
        <f>#REF!</f>
        <v>#REF!</v>
      </c>
    </row>
    <row r="34" spans="1:3" x14ac:dyDescent="0.3">
      <c r="B34" s="79" t="s">
        <v>327</v>
      </c>
      <c r="C34" s="79" t="e">
        <f>SUM(#REF!)</f>
        <v>#REF!</v>
      </c>
    </row>
    <row r="35" spans="1:3" x14ac:dyDescent="0.3">
      <c r="A35" s="81"/>
      <c r="B35" s="81" t="s">
        <v>328</v>
      </c>
      <c r="C35" s="81" t="e">
        <f>C31+C33-C34</f>
        <v>#REF!</v>
      </c>
    </row>
    <row r="36" spans="1:3" x14ac:dyDescent="0.3">
      <c r="B36" s="79" t="s">
        <v>329</v>
      </c>
      <c r="C36" s="79" t="e">
        <f>#REF!</f>
        <v>#REF!</v>
      </c>
    </row>
    <row r="37" spans="1:3" x14ac:dyDescent="0.3">
      <c r="B37" s="81" t="s">
        <v>330</v>
      </c>
      <c r="C37" s="81" t="e">
        <f>C35/C36</f>
        <v>#REF!</v>
      </c>
    </row>
    <row r="39" spans="1:3" x14ac:dyDescent="0.3">
      <c r="B39" s="79" t="s">
        <v>331</v>
      </c>
      <c r="C39" s="79">
        <v>2976</v>
      </c>
    </row>
    <row r="40" spans="1:3" x14ac:dyDescent="0.3">
      <c r="B40" s="79" t="s">
        <v>332</v>
      </c>
      <c r="C40" s="125" t="e">
        <f>C39/C37-1</f>
        <v>#REF!</v>
      </c>
    </row>
  </sheetData>
  <pageMargins left="0.7" right="0.7" top="0.75" bottom="0.7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9FD98-6762-4F28-8F7E-24E5FED1C025}">
  <dimension ref="B3:J31"/>
  <sheetViews>
    <sheetView showGridLines="0" topLeftCell="A7" workbookViewId="0">
      <selection activeCell="B3" sqref="B3:J32"/>
    </sheetView>
  </sheetViews>
  <sheetFormatPr defaultRowHeight="14.4" x14ac:dyDescent="0.3"/>
  <cols>
    <col min="1" max="1" width="2.33203125" style="79" customWidth="1"/>
    <col min="2" max="3" width="8.88671875" style="79"/>
    <col min="4" max="4" width="7" style="79" customWidth="1"/>
    <col min="5" max="5" width="19" style="79" bestFit="1" customWidth="1"/>
    <col min="6" max="6" width="7.109375" style="79" bestFit="1" customWidth="1"/>
    <col min="7" max="16384" width="8.88671875" style="79"/>
  </cols>
  <sheetData>
    <row r="3" spans="2:10" x14ac:dyDescent="0.3">
      <c r="B3" s="273" t="s">
        <v>396</v>
      </c>
      <c r="C3" s="273"/>
      <c r="D3" s="273"/>
      <c r="E3" s="273"/>
      <c r="F3" s="273"/>
      <c r="G3" s="273"/>
      <c r="H3" s="273"/>
      <c r="I3" s="273"/>
      <c r="J3" s="273"/>
    </row>
    <row r="4" spans="2:10" ht="13.2" customHeight="1" x14ac:dyDescent="0.3"/>
    <row r="5" spans="2:10" x14ac:dyDescent="0.3">
      <c r="B5" s="171" t="s">
        <v>148</v>
      </c>
      <c r="C5" s="89" t="s">
        <v>333</v>
      </c>
      <c r="D5" s="81"/>
      <c r="E5" s="100" t="s">
        <v>334</v>
      </c>
      <c r="F5" s="188">
        <f>AVERAGE(C6:C29)</f>
        <v>0.15609166666666666</v>
      </c>
    </row>
    <row r="6" spans="2:10" ht="16.2" x14ac:dyDescent="0.3">
      <c r="B6" s="147">
        <v>2000</v>
      </c>
      <c r="C6" s="148">
        <v>-0.14649999999999999</v>
      </c>
      <c r="E6" s="79" t="s">
        <v>335</v>
      </c>
      <c r="F6" s="97" t="s">
        <v>336</v>
      </c>
      <c r="H6"/>
    </row>
    <row r="7" spans="2:10" x14ac:dyDescent="0.3">
      <c r="B7" s="147">
        <v>2001</v>
      </c>
      <c r="C7" s="148">
        <v>-0.1618</v>
      </c>
      <c r="E7" s="186" t="s">
        <v>337</v>
      </c>
      <c r="F7" s="187">
        <f>SUM(F5:F6)</f>
        <v>0.15609166666666666</v>
      </c>
      <c r="H7"/>
    </row>
    <row r="8" spans="2:10" x14ac:dyDescent="0.3">
      <c r="B8" s="147">
        <v>2002</v>
      </c>
      <c r="C8" s="148">
        <v>3.2500000000000001E-2</v>
      </c>
      <c r="H8"/>
    </row>
    <row r="9" spans="2:10" x14ac:dyDescent="0.3">
      <c r="B9" s="147">
        <v>2003</v>
      </c>
      <c r="C9" s="148">
        <v>0.71900000000000008</v>
      </c>
      <c r="H9"/>
    </row>
    <row r="10" spans="2:10" x14ac:dyDescent="0.3">
      <c r="B10" s="147">
        <v>2004</v>
      </c>
      <c r="C10" s="148">
        <v>0.10679999999999999</v>
      </c>
      <c r="H10"/>
    </row>
    <row r="11" spans="2:10" x14ac:dyDescent="0.3">
      <c r="B11" s="147">
        <v>2005</v>
      </c>
      <c r="C11" s="148">
        <v>0.36340000000000006</v>
      </c>
      <c r="H11"/>
    </row>
    <row r="12" spans="2:10" x14ac:dyDescent="0.3">
      <c r="B12" s="147">
        <v>2006</v>
      </c>
      <c r="C12" s="148">
        <v>0.39829999999999999</v>
      </c>
      <c r="H12"/>
    </row>
    <row r="13" spans="2:10" x14ac:dyDescent="0.3">
      <c r="B13" s="147">
        <v>2007</v>
      </c>
      <c r="C13" s="148">
        <v>0.54770000000000008</v>
      </c>
      <c r="H13"/>
    </row>
    <row r="14" spans="2:10" x14ac:dyDescent="0.3">
      <c r="B14" s="147">
        <v>2008</v>
      </c>
      <c r="C14" s="148">
        <v>-0.51790000000000003</v>
      </c>
      <c r="H14"/>
    </row>
    <row r="15" spans="2:10" x14ac:dyDescent="0.3">
      <c r="B15" s="147">
        <v>2009</v>
      </c>
      <c r="C15" s="148">
        <v>0.75760000000000005</v>
      </c>
      <c r="H15"/>
    </row>
    <row r="16" spans="2:10" x14ac:dyDescent="0.3">
      <c r="B16" s="147">
        <v>2010</v>
      </c>
      <c r="C16" s="148">
        <v>0.17949999999999999</v>
      </c>
      <c r="H16"/>
    </row>
    <row r="17" spans="2:10" x14ac:dyDescent="0.3">
      <c r="B17" s="147">
        <v>2011</v>
      </c>
      <c r="C17" s="148">
        <v>-0.2462</v>
      </c>
      <c r="H17"/>
    </row>
    <row r="18" spans="2:10" x14ac:dyDescent="0.3">
      <c r="B18" s="147">
        <v>2012</v>
      </c>
      <c r="C18" s="148">
        <v>0.27699999999999997</v>
      </c>
      <c r="H18"/>
    </row>
    <row r="19" spans="2:10" x14ac:dyDescent="0.3">
      <c r="B19" s="147">
        <v>2013</v>
      </c>
      <c r="C19" s="148">
        <v>6.7599999999999993E-2</v>
      </c>
      <c r="H19"/>
    </row>
    <row r="20" spans="2:10" x14ac:dyDescent="0.3">
      <c r="B20" s="147">
        <v>2014</v>
      </c>
      <c r="C20" s="148">
        <v>0.31390000000000001</v>
      </c>
      <c r="H20"/>
    </row>
    <row r="21" spans="2:10" x14ac:dyDescent="0.3">
      <c r="B21" s="147">
        <v>2015</v>
      </c>
      <c r="C21" s="148">
        <v>-4.0599999999999997E-2</v>
      </c>
      <c r="H21"/>
    </row>
    <row r="22" spans="2:10" x14ac:dyDescent="0.3">
      <c r="B22" s="147">
        <v>2016</v>
      </c>
      <c r="C22" s="148">
        <v>3.0099999999999998E-2</v>
      </c>
      <c r="H22"/>
    </row>
    <row r="23" spans="2:10" x14ac:dyDescent="0.3">
      <c r="B23" s="147">
        <v>2017</v>
      </c>
      <c r="C23" s="148">
        <v>0.28649999999999998</v>
      </c>
      <c r="H23"/>
    </row>
    <row r="24" spans="2:10" x14ac:dyDescent="0.3">
      <c r="B24" s="147">
        <v>2018</v>
      </c>
      <c r="C24" s="148">
        <v>3.15E-2</v>
      </c>
      <c r="H24"/>
    </row>
    <row r="25" spans="2:10" x14ac:dyDescent="0.3">
      <c r="B25" s="147">
        <v>2019</v>
      </c>
      <c r="C25" s="148">
        <v>0.1202</v>
      </c>
      <c r="H25"/>
    </row>
    <row r="26" spans="2:10" x14ac:dyDescent="0.3">
      <c r="B26" s="147">
        <v>2020</v>
      </c>
      <c r="C26" s="148">
        <v>0.14899999999999999</v>
      </c>
      <c r="H26"/>
    </row>
    <row r="27" spans="2:10" x14ac:dyDescent="0.3">
      <c r="B27" s="147">
        <v>2021</v>
      </c>
      <c r="C27" s="148">
        <v>0.2412</v>
      </c>
      <c r="H27"/>
    </row>
    <row r="28" spans="2:10" x14ac:dyDescent="0.3">
      <c r="B28" s="147">
        <v>2022</v>
      </c>
      <c r="C28" s="148">
        <v>4.3200000000000002E-2</v>
      </c>
      <c r="H28"/>
    </row>
    <row r="29" spans="2:10" x14ac:dyDescent="0.3">
      <c r="B29" s="147">
        <v>2023</v>
      </c>
      <c r="C29" s="148">
        <v>0.19420000000000001</v>
      </c>
      <c r="H29"/>
    </row>
    <row r="31" spans="2:10" ht="6.6" customHeight="1" x14ac:dyDescent="0.3">
      <c r="B31" s="272"/>
      <c r="C31" s="272"/>
      <c r="D31" s="272"/>
      <c r="E31" s="272"/>
      <c r="F31" s="272"/>
      <c r="G31" s="272"/>
      <c r="H31" s="272"/>
      <c r="I31" s="272"/>
      <c r="J31" s="272"/>
    </row>
  </sheetData>
  <mergeCells count="2">
    <mergeCell ref="B3:J3"/>
    <mergeCell ref="B31:J31"/>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EC315-E2DE-4C34-BA51-04D9C33A34AA}">
  <sheetPr>
    <pageSetUpPr fitToPage="1"/>
  </sheetPr>
  <dimension ref="B2:T441"/>
  <sheetViews>
    <sheetView showGridLines="0" topLeftCell="A78" workbookViewId="0">
      <selection activeCell="B2" sqref="B2:J89"/>
    </sheetView>
  </sheetViews>
  <sheetFormatPr defaultRowHeight="14.4" x14ac:dyDescent="0.3"/>
  <cols>
    <col min="1" max="1" width="2.44140625" style="79" customWidth="1"/>
    <col min="2" max="2" width="8.88671875" style="79"/>
    <col min="3" max="3" width="12" style="79" bestFit="1" customWidth="1"/>
    <col min="4" max="5" width="8.88671875" style="79"/>
    <col min="6" max="6" width="12" style="79" bestFit="1" customWidth="1"/>
    <col min="7" max="8" width="8.88671875" style="79"/>
    <col min="9" max="9" width="17.5546875" style="79" bestFit="1" customWidth="1"/>
    <col min="10" max="11" width="8.88671875" style="79"/>
    <col min="12" max="12" width="17.44140625" style="79" bestFit="1" customWidth="1"/>
    <col min="13" max="13" width="12.6640625" style="79" bestFit="1" customWidth="1"/>
    <col min="14" max="14" width="13.44140625" style="79" bestFit="1" customWidth="1"/>
    <col min="15" max="16" width="8.88671875" style="79"/>
    <col min="17" max="20" width="12.6640625" style="79" bestFit="1" customWidth="1"/>
    <col min="21" max="16384" width="8.88671875" style="79"/>
  </cols>
  <sheetData>
    <row r="2" spans="2:20" x14ac:dyDescent="0.3">
      <c r="B2" s="273" t="s">
        <v>393</v>
      </c>
      <c r="C2" s="273"/>
      <c r="D2" s="273"/>
      <c r="E2" s="273"/>
      <c r="F2" s="273"/>
      <c r="G2" s="273"/>
      <c r="H2" s="273"/>
      <c r="I2" s="273"/>
      <c r="J2" s="273"/>
    </row>
    <row r="4" spans="2:20" x14ac:dyDescent="0.3">
      <c r="B4" s="291" t="s">
        <v>394</v>
      </c>
      <c r="C4" s="291"/>
      <c r="D4" s="291"/>
      <c r="F4" s="291" t="s">
        <v>395</v>
      </c>
      <c r="G4" s="291"/>
      <c r="I4" s="291" t="s">
        <v>356</v>
      </c>
      <c r="J4" s="291"/>
      <c r="K4" s="139"/>
      <c r="L4" s="81" t="s">
        <v>357</v>
      </c>
      <c r="M4" s="101">
        <f>SLOPE(D8:D89,G8:G89)</f>
        <v>1.0268441613044945</v>
      </c>
    </row>
    <row r="5" spans="2:20" x14ac:dyDescent="0.3">
      <c r="L5" s="81" t="s">
        <v>358</v>
      </c>
      <c r="M5" s="101">
        <f>_xlfn.COVARIANCE.S(D7:D89,G7:G89)/_xlfn.VAR.S(G8:G89)</f>
        <v>1.0268441613044947</v>
      </c>
    </row>
    <row r="6" spans="2:20" x14ac:dyDescent="0.3">
      <c r="B6" s="100" t="s">
        <v>359</v>
      </c>
      <c r="C6" s="100" t="s">
        <v>360</v>
      </c>
      <c r="D6" s="100" t="s">
        <v>361</v>
      </c>
      <c r="E6" s="81"/>
      <c r="F6" s="100" t="s">
        <v>360</v>
      </c>
      <c r="G6" s="100" t="s">
        <v>361</v>
      </c>
      <c r="I6" s="79" t="s">
        <v>362</v>
      </c>
      <c r="J6" s="101">
        <f>M7</f>
        <v>1.026844161304495</v>
      </c>
      <c r="L6" s="81"/>
    </row>
    <row r="7" spans="2:20" x14ac:dyDescent="0.3">
      <c r="B7" s="182">
        <v>44197</v>
      </c>
      <c r="C7" s="175">
        <v>810.82153300000004</v>
      </c>
      <c r="D7" s="85"/>
      <c r="F7" s="184">
        <v>13634.599609000001</v>
      </c>
      <c r="G7" s="79" t="s">
        <v>363</v>
      </c>
      <c r="I7" s="79" t="s">
        <v>364</v>
      </c>
      <c r="J7" s="179">
        <f>0.75</f>
        <v>0.75</v>
      </c>
      <c r="L7" s="149" t="s">
        <v>365</v>
      </c>
      <c r="M7" s="101">
        <f>M26</f>
        <v>1.026844161304495</v>
      </c>
    </row>
    <row r="8" spans="2:20" x14ac:dyDescent="0.3">
      <c r="B8" s="182">
        <v>44228</v>
      </c>
      <c r="C8" s="175">
        <v>772.68078600000001</v>
      </c>
      <c r="D8" s="148">
        <f>C8/C7-1</f>
        <v>-4.7039632579664148E-2</v>
      </c>
      <c r="F8" s="184">
        <v>14529.150390999999</v>
      </c>
      <c r="G8" s="179">
        <f>F8/F7-1</f>
        <v>6.5608877976109925E-2</v>
      </c>
    </row>
    <row r="9" spans="2:20" x14ac:dyDescent="0.3">
      <c r="B9" s="182">
        <v>44256</v>
      </c>
      <c r="C9" s="175">
        <v>800.21862799999997</v>
      </c>
      <c r="D9" s="148">
        <f t="shared" ref="D9:D72" si="0">C9/C8-1</f>
        <v>3.5639351332336533E-2</v>
      </c>
      <c r="F9" s="184">
        <v>14690.700194999999</v>
      </c>
      <c r="G9" s="179">
        <f t="shared" ref="G9:G72" si="1">F9/F8-1</f>
        <v>1.1119012444118725E-2</v>
      </c>
      <c r="H9" s="79" t="s">
        <v>143</v>
      </c>
      <c r="I9" s="79" t="s">
        <v>366</v>
      </c>
      <c r="J9" s="79">
        <v>1</v>
      </c>
      <c r="L9" t="s">
        <v>367</v>
      </c>
      <c r="M9"/>
      <c r="N9"/>
      <c r="O9"/>
      <c r="P9"/>
      <c r="Q9"/>
      <c r="R9"/>
      <c r="S9"/>
      <c r="T9"/>
    </row>
    <row r="10" spans="2:20" ht="15" thickBot="1" x14ac:dyDescent="0.35">
      <c r="B10" s="182">
        <v>44287</v>
      </c>
      <c r="C10" s="175">
        <v>893.72967500000004</v>
      </c>
      <c r="D10" s="148">
        <f t="shared" si="0"/>
        <v>0.11685687351932028</v>
      </c>
      <c r="F10" s="184">
        <v>14631.099609000001</v>
      </c>
      <c r="G10" s="179">
        <f t="shared" si="1"/>
        <v>-4.057028270189833E-3</v>
      </c>
      <c r="I10" s="79" t="s">
        <v>368</v>
      </c>
      <c r="J10" s="97">
        <f>100%-J7</f>
        <v>0.25</v>
      </c>
      <c r="L10"/>
      <c r="M10"/>
      <c r="N10"/>
      <c r="O10"/>
      <c r="P10"/>
      <c r="Q10"/>
      <c r="R10"/>
      <c r="S10"/>
      <c r="T10"/>
    </row>
    <row r="11" spans="2:20" x14ac:dyDescent="0.3">
      <c r="B11" s="182">
        <v>44317</v>
      </c>
      <c r="C11" s="175">
        <v>932.01763900000003</v>
      </c>
      <c r="D11" s="148">
        <f t="shared" si="0"/>
        <v>4.2840654250402954E-2</v>
      </c>
      <c r="F11" s="184">
        <v>15582.799805000001</v>
      </c>
      <c r="G11" s="179">
        <f t="shared" si="1"/>
        <v>6.504638895456516E-2</v>
      </c>
      <c r="L11" s="178" t="s">
        <v>369</v>
      </c>
      <c r="M11" s="178"/>
      <c r="N11"/>
      <c r="O11"/>
      <c r="P11"/>
      <c r="Q11"/>
      <c r="R11"/>
      <c r="S11"/>
      <c r="T11"/>
    </row>
    <row r="12" spans="2:20" x14ac:dyDescent="0.3">
      <c r="B12" s="182">
        <v>44348</v>
      </c>
      <c r="C12" s="175">
        <v>954.15594499999997</v>
      </c>
      <c r="D12" s="148">
        <f t="shared" si="0"/>
        <v>2.3753097659989564E-2</v>
      </c>
      <c r="F12" s="184">
        <v>15721.5</v>
      </c>
      <c r="G12" s="179">
        <f t="shared" si="1"/>
        <v>8.9008520121971468E-3</v>
      </c>
      <c r="I12" s="180" t="s">
        <v>370</v>
      </c>
      <c r="J12" s="181">
        <f>(J6*J7)+(J9*J10)</f>
        <v>1.0201331209783713</v>
      </c>
      <c r="L12" t="s">
        <v>371</v>
      </c>
      <c r="M12">
        <v>0.54935580029983189</v>
      </c>
      <c r="N12"/>
      <c r="O12"/>
      <c r="P12"/>
      <c r="Q12"/>
      <c r="R12"/>
      <c r="S12"/>
      <c r="T12"/>
    </row>
    <row r="13" spans="2:20" x14ac:dyDescent="0.3">
      <c r="B13" s="182">
        <v>44378</v>
      </c>
      <c r="C13" s="175">
        <v>903.25262499999997</v>
      </c>
      <c r="D13" s="148">
        <f t="shared" si="0"/>
        <v>-5.3349057108269649E-2</v>
      </c>
      <c r="F13" s="184">
        <v>15763.049805000001</v>
      </c>
      <c r="G13" s="179">
        <f t="shared" si="1"/>
        <v>2.6428651846197582E-3</v>
      </c>
      <c r="L13" t="s">
        <v>372</v>
      </c>
      <c r="M13">
        <v>0.30179179532306882</v>
      </c>
      <c r="N13"/>
      <c r="O13"/>
      <c r="P13"/>
      <c r="Q13"/>
      <c r="R13"/>
      <c r="S13"/>
      <c r="T13"/>
    </row>
    <row r="14" spans="2:20" x14ac:dyDescent="0.3">
      <c r="B14" s="182">
        <v>44409</v>
      </c>
      <c r="C14" s="175">
        <v>930.49591099999998</v>
      </c>
      <c r="D14" s="148">
        <f t="shared" si="0"/>
        <v>3.0161313951343471E-2</v>
      </c>
      <c r="F14" s="184">
        <v>17132.199218999998</v>
      </c>
      <c r="G14" s="179">
        <f t="shared" si="1"/>
        <v>8.6858154414110045E-2</v>
      </c>
      <c r="L14" t="s">
        <v>373</v>
      </c>
      <c r="M14">
        <v>0.29306419276460721</v>
      </c>
      <c r="N14"/>
      <c r="O14"/>
      <c r="P14"/>
      <c r="Q14"/>
      <c r="R14"/>
      <c r="S14"/>
      <c r="T14"/>
    </row>
    <row r="15" spans="2:20" x14ac:dyDescent="0.3">
      <c r="B15" s="182">
        <v>44440</v>
      </c>
      <c r="C15" s="175">
        <v>970.92040999999995</v>
      </c>
      <c r="D15" s="148">
        <f t="shared" si="0"/>
        <v>4.3444037230164545E-2</v>
      </c>
      <c r="F15" s="184">
        <v>17618.150390999999</v>
      </c>
      <c r="G15" s="179">
        <f t="shared" si="1"/>
        <v>2.8364786434485811E-2</v>
      </c>
      <c r="L15" t="s">
        <v>374</v>
      </c>
      <c r="M15">
        <v>5.3770970174525576E-2</v>
      </c>
      <c r="N15"/>
      <c r="O15"/>
      <c r="P15"/>
      <c r="Q15"/>
      <c r="R15"/>
      <c r="S15"/>
      <c r="T15"/>
    </row>
    <row r="16" spans="2:20" ht="15" thickBot="1" x14ac:dyDescent="0.35">
      <c r="B16" s="182">
        <v>44470</v>
      </c>
      <c r="C16" s="175">
        <v>893.428406</v>
      </c>
      <c r="D16" s="148">
        <f t="shared" si="0"/>
        <v>-7.9812931319468206E-2</v>
      </c>
      <c r="F16" s="184">
        <v>17671.650390999999</v>
      </c>
      <c r="G16" s="179">
        <f t="shared" si="1"/>
        <v>3.0366411236522062E-3</v>
      </c>
      <c r="L16" s="176" t="s">
        <v>375</v>
      </c>
      <c r="M16" s="176">
        <v>82</v>
      </c>
      <c r="N16"/>
      <c r="O16"/>
      <c r="P16"/>
      <c r="Q16"/>
      <c r="R16"/>
      <c r="S16"/>
      <c r="T16"/>
    </row>
    <row r="17" spans="2:20" x14ac:dyDescent="0.3">
      <c r="B17" s="182">
        <v>44501</v>
      </c>
      <c r="C17" s="175">
        <v>958.82763699999998</v>
      </c>
      <c r="D17" s="148">
        <f t="shared" si="0"/>
        <v>7.3200304087936097E-2</v>
      </c>
      <c r="F17" s="184">
        <v>16983.199218999998</v>
      </c>
      <c r="G17" s="179">
        <f t="shared" si="1"/>
        <v>-3.8957944321409976E-2</v>
      </c>
      <c r="K17" s="79" t="s">
        <v>143</v>
      </c>
      <c r="L17"/>
      <c r="M17"/>
      <c r="N17"/>
      <c r="O17"/>
      <c r="P17"/>
      <c r="Q17"/>
      <c r="R17"/>
      <c r="S17"/>
      <c r="T17"/>
    </row>
    <row r="18" spans="2:20" ht="15" thickBot="1" x14ac:dyDescent="0.35">
      <c r="B18" s="182">
        <v>44531</v>
      </c>
      <c r="C18" s="175">
        <v>931.97699</v>
      </c>
      <c r="D18" s="148">
        <f t="shared" si="0"/>
        <v>-2.8003622302764319E-2</v>
      </c>
      <c r="F18" s="184">
        <v>17354.050781000002</v>
      </c>
      <c r="G18" s="179">
        <f t="shared" si="1"/>
        <v>2.1836378247575006E-2</v>
      </c>
      <c r="L18" t="s">
        <v>376</v>
      </c>
      <c r="M18"/>
      <c r="N18"/>
      <c r="O18"/>
      <c r="P18"/>
      <c r="Q18"/>
      <c r="R18"/>
      <c r="S18"/>
      <c r="T18"/>
    </row>
    <row r="19" spans="2:20" x14ac:dyDescent="0.3">
      <c r="B19" s="182">
        <v>44562</v>
      </c>
      <c r="C19" s="175">
        <v>932.86541699999998</v>
      </c>
      <c r="D19" s="148">
        <f t="shared" si="0"/>
        <v>9.5327138924328203E-4</v>
      </c>
      <c r="F19" s="184">
        <v>17339.849609000001</v>
      </c>
      <c r="G19" s="179">
        <f t="shared" si="1"/>
        <v>-8.183202976188575E-4</v>
      </c>
      <c r="L19" s="177"/>
      <c r="M19" s="177" t="s">
        <v>377</v>
      </c>
      <c r="N19" s="177" t="s">
        <v>378</v>
      </c>
      <c r="O19" s="177" t="s">
        <v>379</v>
      </c>
      <c r="P19" s="177" t="s">
        <v>380</v>
      </c>
      <c r="Q19" s="177" t="s">
        <v>381</v>
      </c>
      <c r="R19"/>
      <c r="S19"/>
      <c r="T19"/>
    </row>
    <row r="20" spans="2:20" x14ac:dyDescent="0.3">
      <c r="B20" s="182">
        <v>44593</v>
      </c>
      <c r="C20" s="175">
        <v>913.17156999999997</v>
      </c>
      <c r="D20" s="148">
        <f t="shared" si="0"/>
        <v>-2.1111134190538894E-2</v>
      </c>
      <c r="F20" s="184">
        <v>16793.900390999999</v>
      </c>
      <c r="G20" s="179">
        <f t="shared" si="1"/>
        <v>-3.1485233742548413E-2</v>
      </c>
      <c r="L20" t="s">
        <v>382</v>
      </c>
      <c r="M20">
        <v>1</v>
      </c>
      <c r="N20">
        <v>9.9978867381333908E-2</v>
      </c>
      <c r="O20">
        <v>9.9978867381333908E-2</v>
      </c>
      <c r="P20">
        <v>34.579003031075672</v>
      </c>
      <c r="Q20">
        <v>9.0588819712579301E-8</v>
      </c>
      <c r="R20"/>
      <c r="S20"/>
      <c r="T20"/>
    </row>
    <row r="21" spans="2:20" x14ac:dyDescent="0.3">
      <c r="B21" s="182">
        <v>44621</v>
      </c>
      <c r="C21" s="175">
        <v>1004.977356</v>
      </c>
      <c r="D21" s="148">
        <f t="shared" si="0"/>
        <v>0.1005350900269486</v>
      </c>
      <c r="F21" s="184">
        <v>17464.75</v>
      </c>
      <c r="G21" s="179">
        <f t="shared" si="1"/>
        <v>3.9946027627954406E-2</v>
      </c>
      <c r="L21" t="s">
        <v>383</v>
      </c>
      <c r="M21">
        <v>80</v>
      </c>
      <c r="N21">
        <v>0.23130537868077752</v>
      </c>
      <c r="O21">
        <v>2.891317233509719E-3</v>
      </c>
      <c r="P21"/>
      <c r="Q21"/>
      <c r="R21"/>
      <c r="S21"/>
      <c r="T21"/>
    </row>
    <row r="22" spans="2:20" ht="15" thickBot="1" x14ac:dyDescent="0.35">
      <c r="B22" s="182">
        <v>44652</v>
      </c>
      <c r="C22" s="175">
        <v>968.60058600000002</v>
      </c>
      <c r="D22" s="148">
        <f t="shared" si="0"/>
        <v>-3.6196606602945103E-2</v>
      </c>
      <c r="F22" s="184">
        <v>17102.550781000002</v>
      </c>
      <c r="G22" s="179">
        <f t="shared" si="1"/>
        <v>-2.0738872242660134E-2</v>
      </c>
      <c r="L22" s="176" t="s">
        <v>13</v>
      </c>
      <c r="M22" s="176">
        <v>81</v>
      </c>
      <c r="N22" s="176">
        <v>0.33128424606211143</v>
      </c>
      <c r="O22" s="176"/>
      <c r="P22" s="176"/>
      <c r="Q22" s="176"/>
      <c r="R22"/>
      <c r="S22"/>
      <c r="T22"/>
    </row>
    <row r="23" spans="2:20" ht="15" thickBot="1" x14ac:dyDescent="0.35">
      <c r="B23" s="182">
        <v>44682</v>
      </c>
      <c r="C23" s="175">
        <v>980.19970699999999</v>
      </c>
      <c r="D23" s="148">
        <f t="shared" si="0"/>
        <v>1.1975133163919072E-2</v>
      </c>
      <c r="F23" s="184">
        <v>16584.550781000002</v>
      </c>
      <c r="G23" s="179">
        <f t="shared" si="1"/>
        <v>-3.0287879663861039E-2</v>
      </c>
      <c r="J23" s="79" t="s">
        <v>143</v>
      </c>
      <c r="L23"/>
      <c r="M23"/>
      <c r="N23"/>
      <c r="O23"/>
      <c r="P23"/>
      <c r="Q23"/>
      <c r="R23"/>
      <c r="S23"/>
      <c r="T23"/>
    </row>
    <row r="24" spans="2:20" x14ac:dyDescent="0.3">
      <c r="B24" s="182">
        <v>44713</v>
      </c>
      <c r="C24" s="175">
        <v>905.42236300000002</v>
      </c>
      <c r="D24" s="148">
        <f t="shared" si="0"/>
        <v>-7.6287866101147461E-2</v>
      </c>
      <c r="F24" s="184">
        <v>15780.25</v>
      </c>
      <c r="G24" s="179">
        <f t="shared" si="1"/>
        <v>-4.8496989253483114E-2</v>
      </c>
      <c r="L24" s="177"/>
      <c r="M24" s="177" t="s">
        <v>384</v>
      </c>
      <c r="N24" s="177" t="s">
        <v>374</v>
      </c>
      <c r="O24" s="177" t="s">
        <v>385</v>
      </c>
      <c r="P24" s="177" t="s">
        <v>386</v>
      </c>
      <c r="Q24" s="177" t="s">
        <v>387</v>
      </c>
      <c r="R24" s="177" t="s">
        <v>388</v>
      </c>
      <c r="S24" s="177" t="s">
        <v>389</v>
      </c>
      <c r="T24" s="177" t="s">
        <v>390</v>
      </c>
    </row>
    <row r="25" spans="2:20" x14ac:dyDescent="0.3">
      <c r="B25" s="182">
        <v>44743</v>
      </c>
      <c r="C25" s="175">
        <v>964.84936500000003</v>
      </c>
      <c r="D25" s="148">
        <f t="shared" si="0"/>
        <v>6.5634563965370152E-2</v>
      </c>
      <c r="F25" s="184">
        <v>17158.25</v>
      </c>
      <c r="G25" s="179">
        <f t="shared" si="1"/>
        <v>8.7324345305048956E-2</v>
      </c>
      <c r="L25" t="s">
        <v>391</v>
      </c>
      <c r="M25">
        <v>3.0958694538206167E-3</v>
      </c>
      <c r="N25">
        <v>6.0429638518789833E-3</v>
      </c>
      <c r="O25">
        <v>0.512309775418894</v>
      </c>
      <c r="P25">
        <v>0.60984575260810026</v>
      </c>
      <c r="Q25">
        <v>-8.9300118637666258E-3</v>
      </c>
      <c r="R25">
        <v>1.5121750771407861E-2</v>
      </c>
      <c r="S25">
        <v>-8.9300118637666258E-3</v>
      </c>
      <c r="T25">
        <v>1.5121750771407861E-2</v>
      </c>
    </row>
    <row r="26" spans="2:20" ht="15" thickBot="1" x14ac:dyDescent="0.35">
      <c r="B26" s="182">
        <v>44774</v>
      </c>
      <c r="C26" s="175">
        <v>1025.1154790000001</v>
      </c>
      <c r="D26" s="148">
        <f t="shared" si="0"/>
        <v>6.2461681777652434E-2</v>
      </c>
      <c r="F26" s="184">
        <v>17759.300781000002</v>
      </c>
      <c r="G26" s="179">
        <f t="shared" si="1"/>
        <v>3.5029841679658613E-2</v>
      </c>
      <c r="L26" s="176" t="s">
        <v>392</v>
      </c>
      <c r="M26" s="176">
        <v>1.026844161304495</v>
      </c>
      <c r="N26" s="176">
        <v>0.17462173710042198</v>
      </c>
      <c r="O26" s="176">
        <v>5.8803914011803382</v>
      </c>
      <c r="P26" s="176">
        <v>9.0588819712579301E-8</v>
      </c>
      <c r="Q26" s="176">
        <v>0.67933582974503448</v>
      </c>
      <c r="R26" s="176">
        <v>1.3743524928639554</v>
      </c>
      <c r="S26" s="176">
        <v>0.67933582974503448</v>
      </c>
      <c r="T26" s="176">
        <v>1.3743524928639554</v>
      </c>
    </row>
    <row r="27" spans="2:20" x14ac:dyDescent="0.3">
      <c r="B27" s="182">
        <v>44805</v>
      </c>
      <c r="C27" s="175">
        <v>1105.9801030000001</v>
      </c>
      <c r="D27" s="148">
        <f t="shared" si="0"/>
        <v>7.8883428898062657E-2</v>
      </c>
      <c r="F27" s="184">
        <v>17094.349609000001</v>
      </c>
      <c r="G27" s="179">
        <f t="shared" si="1"/>
        <v>-3.7442418493829788E-2</v>
      </c>
      <c r="L27"/>
      <c r="M27"/>
      <c r="N27"/>
      <c r="O27"/>
      <c r="P27"/>
      <c r="Q27"/>
      <c r="R27"/>
      <c r="S27"/>
      <c r="T27"/>
    </row>
    <row r="28" spans="2:20" x14ac:dyDescent="0.3">
      <c r="B28" s="182">
        <v>44835</v>
      </c>
      <c r="C28" s="175">
        <v>1158.0081789999999</v>
      </c>
      <c r="D28" s="148">
        <f t="shared" si="0"/>
        <v>4.704250633340723E-2</v>
      </c>
      <c r="F28" s="184">
        <v>18012.199218999998</v>
      </c>
      <c r="G28" s="179">
        <f t="shared" si="1"/>
        <v>5.3693157738903263E-2</v>
      </c>
      <c r="L28"/>
      <c r="M28"/>
      <c r="N28"/>
      <c r="O28"/>
      <c r="P28"/>
      <c r="Q28"/>
      <c r="R28"/>
      <c r="S28"/>
      <c r="T28"/>
    </row>
    <row r="29" spans="2:20" x14ac:dyDescent="0.3">
      <c r="B29" s="182">
        <v>44866</v>
      </c>
      <c r="C29" s="175">
        <v>1130.4814449999999</v>
      </c>
      <c r="D29" s="148">
        <f t="shared" si="0"/>
        <v>-2.3770759567320887E-2</v>
      </c>
      <c r="F29" s="184">
        <v>18758.349609000001</v>
      </c>
      <c r="G29" s="179">
        <f t="shared" si="1"/>
        <v>4.1424724484111497E-2</v>
      </c>
      <c r="L29"/>
      <c r="M29"/>
      <c r="N29"/>
      <c r="O29"/>
      <c r="P29"/>
      <c r="Q29"/>
      <c r="R29"/>
      <c r="S29"/>
      <c r="T29"/>
    </row>
    <row r="30" spans="2:20" x14ac:dyDescent="0.3">
      <c r="B30" s="182">
        <v>44896</v>
      </c>
      <c r="C30" s="175">
        <v>1067.293823</v>
      </c>
      <c r="D30" s="148">
        <f t="shared" si="0"/>
        <v>-5.5894435312912161E-2</v>
      </c>
      <c r="F30" s="184">
        <v>18105.300781000002</v>
      </c>
      <c r="G30" s="179">
        <f t="shared" si="1"/>
        <v>-3.4813767821379904E-2</v>
      </c>
    </row>
    <row r="31" spans="2:20" x14ac:dyDescent="0.3">
      <c r="B31" s="182">
        <v>44927</v>
      </c>
      <c r="C31" s="175">
        <v>1009.760498</v>
      </c>
      <c r="D31" s="148">
        <f t="shared" si="0"/>
        <v>-5.3905797785170906E-2</v>
      </c>
      <c r="F31" s="184">
        <v>17662.150390999999</v>
      </c>
      <c r="G31" s="179">
        <f t="shared" si="1"/>
        <v>-2.4476278818027275E-2</v>
      </c>
    </row>
    <row r="32" spans="2:20" x14ac:dyDescent="0.3">
      <c r="B32" s="182">
        <v>44958</v>
      </c>
      <c r="C32" s="175">
        <v>899.10797100000002</v>
      </c>
      <c r="D32" s="148">
        <f t="shared" si="0"/>
        <v>-0.10958294290494219</v>
      </c>
      <c r="F32" s="184">
        <v>17303.949218999998</v>
      </c>
      <c r="G32" s="179">
        <f t="shared" si="1"/>
        <v>-2.0280722566065723E-2</v>
      </c>
    </row>
    <row r="33" spans="2:7" x14ac:dyDescent="0.3">
      <c r="B33" s="182">
        <v>44986</v>
      </c>
      <c r="C33" s="175">
        <v>893.25543200000004</v>
      </c>
      <c r="D33" s="148">
        <f t="shared" si="0"/>
        <v>-6.5092727333856404E-3</v>
      </c>
      <c r="F33" s="184">
        <v>17359.75</v>
      </c>
      <c r="G33" s="179">
        <f t="shared" si="1"/>
        <v>3.2247425309555044E-3</v>
      </c>
    </row>
    <row r="34" spans="2:7" x14ac:dyDescent="0.3">
      <c r="B34" s="182">
        <v>45017</v>
      </c>
      <c r="C34" s="175">
        <v>900.74462900000003</v>
      </c>
      <c r="D34" s="148">
        <f t="shared" si="0"/>
        <v>8.3841606014436465E-3</v>
      </c>
      <c r="F34" s="184">
        <v>18065</v>
      </c>
      <c r="G34" s="179">
        <f t="shared" si="1"/>
        <v>4.0625585045867663E-2</v>
      </c>
    </row>
    <row r="35" spans="2:7" x14ac:dyDescent="0.3">
      <c r="B35" s="182">
        <v>45047</v>
      </c>
      <c r="C35" s="175">
        <v>945.38262899999995</v>
      </c>
      <c r="D35" s="148">
        <f t="shared" si="0"/>
        <v>4.9556776208098841E-2</v>
      </c>
      <c r="F35" s="184">
        <v>18534.400390999999</v>
      </c>
      <c r="G35" s="179">
        <f t="shared" si="1"/>
        <v>2.5983968502629295E-2</v>
      </c>
    </row>
    <row r="36" spans="2:7" x14ac:dyDescent="0.3">
      <c r="B36" s="182">
        <v>45078</v>
      </c>
      <c r="C36" s="175">
        <v>1006.784668</v>
      </c>
      <c r="D36" s="148">
        <f t="shared" si="0"/>
        <v>6.4949404734619964E-2</v>
      </c>
      <c r="F36" s="184">
        <v>19189.050781000002</v>
      </c>
      <c r="G36" s="179">
        <f t="shared" si="1"/>
        <v>3.5320829171138879E-2</v>
      </c>
    </row>
    <row r="37" spans="2:7" x14ac:dyDescent="0.3">
      <c r="B37" s="182">
        <v>45108</v>
      </c>
      <c r="C37" s="175">
        <v>1165.5469969999999</v>
      </c>
      <c r="D37" s="148">
        <f t="shared" si="0"/>
        <v>0.15769243816096723</v>
      </c>
      <c r="F37" s="184">
        <v>19753.800781000002</v>
      </c>
      <c r="G37" s="179">
        <f t="shared" si="1"/>
        <v>2.9430846082245221E-2</v>
      </c>
    </row>
    <row r="38" spans="2:7" x14ac:dyDescent="0.3">
      <c r="B38" s="182">
        <v>45139</v>
      </c>
      <c r="C38" s="175">
        <v>1257.599976</v>
      </c>
      <c r="D38" s="148">
        <f t="shared" si="0"/>
        <v>7.8978350282687071E-2</v>
      </c>
      <c r="F38" s="184">
        <v>19253.800781000002</v>
      </c>
      <c r="G38" s="179">
        <f t="shared" si="1"/>
        <v>-2.5311584618233018E-2</v>
      </c>
    </row>
    <row r="39" spans="2:7" x14ac:dyDescent="0.3">
      <c r="B39" s="182">
        <v>45170</v>
      </c>
      <c r="C39" s="175">
        <v>1186.150024</v>
      </c>
      <c r="D39" s="148">
        <f t="shared" si="0"/>
        <v>-5.6814530346333214E-2</v>
      </c>
      <c r="F39" s="184">
        <v>19638.300781000002</v>
      </c>
      <c r="G39" s="179">
        <f t="shared" si="1"/>
        <v>1.9970083017553097E-2</v>
      </c>
    </row>
    <row r="40" spans="2:7" x14ac:dyDescent="0.3">
      <c r="B40" s="182">
        <v>45200</v>
      </c>
      <c r="C40" s="175">
        <v>1200</v>
      </c>
      <c r="D40" s="148">
        <f t="shared" si="0"/>
        <v>1.1676411684665489E-2</v>
      </c>
      <c r="F40" s="184">
        <v>19079.599609000001</v>
      </c>
      <c r="G40" s="179">
        <f t="shared" si="1"/>
        <v>-2.8449567924967445E-2</v>
      </c>
    </row>
    <row r="41" spans="2:7" x14ac:dyDescent="0.3">
      <c r="B41" s="182">
        <v>45231</v>
      </c>
      <c r="C41" s="175">
        <v>1212.3000489999999</v>
      </c>
      <c r="D41" s="148">
        <f t="shared" si="0"/>
        <v>1.0250040833333252E-2</v>
      </c>
      <c r="F41" s="184">
        <v>20133.150390999999</v>
      </c>
      <c r="G41" s="179">
        <f t="shared" si="1"/>
        <v>5.5218704982835654E-2</v>
      </c>
    </row>
    <row r="42" spans="2:7" x14ac:dyDescent="0.3">
      <c r="B42" s="182">
        <v>45261</v>
      </c>
      <c r="C42" s="175">
        <v>1246.3000489999999</v>
      </c>
      <c r="D42" s="148">
        <f t="shared" si="0"/>
        <v>2.8045862101585994E-2</v>
      </c>
      <c r="F42" s="184">
        <v>21731.400390999999</v>
      </c>
      <c r="G42" s="179">
        <f t="shared" si="1"/>
        <v>7.9383999471560829E-2</v>
      </c>
    </row>
    <row r="43" spans="2:7" x14ac:dyDescent="0.3">
      <c r="B43" s="182">
        <v>45292</v>
      </c>
      <c r="C43" s="175">
        <v>1351</v>
      </c>
      <c r="D43" s="148">
        <f t="shared" si="0"/>
        <v>8.4008623031033958E-2</v>
      </c>
      <c r="F43" s="184">
        <v>21725.699218999998</v>
      </c>
      <c r="G43" s="179">
        <f t="shared" si="1"/>
        <v>-2.6234719794504535E-4</v>
      </c>
    </row>
    <row r="44" spans="2:7" x14ac:dyDescent="0.3">
      <c r="B44" s="182">
        <v>45323</v>
      </c>
      <c r="C44" s="175">
        <v>1477</v>
      </c>
      <c r="D44" s="148">
        <f t="shared" si="0"/>
        <v>9.3264248704663322E-2</v>
      </c>
      <c r="F44" s="184">
        <v>21951.150390999999</v>
      </c>
      <c r="G44" s="179">
        <f t="shared" si="1"/>
        <v>1.0377165297530855E-2</v>
      </c>
    </row>
    <row r="45" spans="2:7" x14ac:dyDescent="0.3">
      <c r="B45" s="183">
        <v>45040</v>
      </c>
      <c r="C45" s="173">
        <v>900.74462900000003</v>
      </c>
      <c r="D45" s="148">
        <f t="shared" si="0"/>
        <v>-0.39015258700067701</v>
      </c>
      <c r="F45" s="185">
        <v>18065</v>
      </c>
      <c r="G45" s="179">
        <f t="shared" si="1"/>
        <v>-0.1770362974959766</v>
      </c>
    </row>
    <row r="46" spans="2:7" x14ac:dyDescent="0.3">
      <c r="B46" s="183">
        <v>45047</v>
      </c>
      <c r="C46" s="173">
        <v>917.35992399999998</v>
      </c>
      <c r="D46" s="148">
        <f t="shared" si="0"/>
        <v>1.8446177157277255E-2</v>
      </c>
      <c r="F46" s="185">
        <v>18069</v>
      </c>
      <c r="G46" s="179">
        <f t="shared" si="1"/>
        <v>2.2142264046509652E-4</v>
      </c>
    </row>
    <row r="47" spans="2:7" x14ac:dyDescent="0.3">
      <c r="B47" s="183">
        <v>45054</v>
      </c>
      <c r="C47" s="173">
        <v>929.908142</v>
      </c>
      <c r="D47" s="148">
        <f t="shared" si="0"/>
        <v>1.3678620214065518E-2</v>
      </c>
      <c r="F47" s="185">
        <v>18314.800781000002</v>
      </c>
      <c r="G47" s="179">
        <f t="shared" si="1"/>
        <v>1.3603452376999448E-2</v>
      </c>
    </row>
    <row r="48" spans="2:7" x14ac:dyDescent="0.3">
      <c r="B48" s="183">
        <v>45061</v>
      </c>
      <c r="C48" s="173">
        <v>908.87872300000004</v>
      </c>
      <c r="D48" s="148">
        <f t="shared" si="0"/>
        <v>-2.2614512176192925E-2</v>
      </c>
      <c r="F48" s="185">
        <v>18203.400390999999</v>
      </c>
      <c r="G48" s="179">
        <f t="shared" si="1"/>
        <v>-6.0825335384249168E-3</v>
      </c>
    </row>
    <row r="49" spans="2:7" x14ac:dyDescent="0.3">
      <c r="B49" s="183">
        <v>45068</v>
      </c>
      <c r="C49" s="173">
        <v>943.69628899999998</v>
      </c>
      <c r="D49" s="148">
        <f t="shared" si="0"/>
        <v>3.8308263928849673E-2</v>
      </c>
      <c r="F49" s="185">
        <v>18499.349609000001</v>
      </c>
      <c r="G49" s="179">
        <f t="shared" si="1"/>
        <v>1.6257908502980811E-2</v>
      </c>
    </row>
    <row r="50" spans="2:7" x14ac:dyDescent="0.3">
      <c r="B50" s="183">
        <v>45075</v>
      </c>
      <c r="C50" s="173">
        <v>958.07965100000001</v>
      </c>
      <c r="D50" s="148">
        <f t="shared" si="0"/>
        <v>1.5241515906819547E-2</v>
      </c>
      <c r="F50" s="185">
        <v>18534.099609000001</v>
      </c>
      <c r="G50" s="179">
        <f t="shared" si="1"/>
        <v>1.8784444174779757E-3</v>
      </c>
    </row>
    <row r="51" spans="2:7" x14ac:dyDescent="0.3">
      <c r="B51" s="183">
        <v>45082</v>
      </c>
      <c r="C51" s="173">
        <v>961.45233199999996</v>
      </c>
      <c r="D51" s="148">
        <f t="shared" si="0"/>
        <v>3.5202511570719963E-3</v>
      </c>
      <c r="F51" s="185">
        <v>18563.400390999999</v>
      </c>
      <c r="G51" s="179">
        <f t="shared" si="1"/>
        <v>1.5809120819534339E-3</v>
      </c>
    </row>
    <row r="52" spans="2:7" x14ac:dyDescent="0.3">
      <c r="B52" s="183">
        <v>45089</v>
      </c>
      <c r="C52" s="173">
        <v>997.95623799999998</v>
      </c>
      <c r="D52" s="148">
        <f t="shared" si="0"/>
        <v>3.7967463164882087E-2</v>
      </c>
      <c r="F52" s="185">
        <v>18826</v>
      </c>
      <c r="G52" s="179">
        <f t="shared" si="1"/>
        <v>1.4146094113625551E-2</v>
      </c>
    </row>
    <row r="53" spans="2:7" x14ac:dyDescent="0.3">
      <c r="B53" s="183">
        <v>45096</v>
      </c>
      <c r="C53" s="173">
        <v>981.440247</v>
      </c>
      <c r="D53" s="148">
        <f t="shared" si="0"/>
        <v>-1.6549814882764413E-2</v>
      </c>
      <c r="F53" s="185">
        <v>18665.5</v>
      </c>
      <c r="G53" s="179">
        <f t="shared" si="1"/>
        <v>-8.5254435355359703E-3</v>
      </c>
    </row>
    <row r="54" spans="2:7" x14ac:dyDescent="0.3">
      <c r="B54" s="183">
        <v>45103</v>
      </c>
      <c r="C54" s="173">
        <v>1006.784668</v>
      </c>
      <c r="D54" s="148">
        <f t="shared" si="0"/>
        <v>2.5823702540700877E-2</v>
      </c>
      <c r="F54" s="185">
        <v>19189.050781000002</v>
      </c>
      <c r="G54" s="179">
        <f t="shared" si="1"/>
        <v>2.804911633762841E-2</v>
      </c>
    </row>
    <row r="55" spans="2:7" x14ac:dyDescent="0.3">
      <c r="B55" s="183">
        <v>45110</v>
      </c>
      <c r="C55" s="173">
        <v>1012.438843</v>
      </c>
      <c r="D55" s="148">
        <f t="shared" si="0"/>
        <v>5.6160718172557633E-3</v>
      </c>
      <c r="F55" s="185">
        <v>19331.800781000002</v>
      </c>
      <c r="G55" s="179">
        <f t="shared" si="1"/>
        <v>7.4391381642151533E-3</v>
      </c>
    </row>
    <row r="56" spans="2:7" x14ac:dyDescent="0.3">
      <c r="B56" s="183">
        <v>45117</v>
      </c>
      <c r="C56" s="173">
        <v>1022.606384</v>
      </c>
      <c r="D56" s="148">
        <f t="shared" si="0"/>
        <v>1.0042622396699175E-2</v>
      </c>
      <c r="F56" s="185">
        <v>19564.5</v>
      </c>
      <c r="G56" s="179">
        <f t="shared" si="1"/>
        <v>1.2037120681933855E-2</v>
      </c>
    </row>
    <row r="57" spans="2:7" x14ac:dyDescent="0.3">
      <c r="B57" s="183">
        <v>45124</v>
      </c>
      <c r="C57" s="173">
        <v>1040.5111079999999</v>
      </c>
      <c r="D57" s="148">
        <f t="shared" si="0"/>
        <v>1.7508910838170522E-2</v>
      </c>
      <c r="F57" s="185">
        <v>19745</v>
      </c>
      <c r="G57" s="179">
        <f t="shared" si="1"/>
        <v>9.225893838329613E-3</v>
      </c>
    </row>
    <row r="58" spans="2:7" x14ac:dyDescent="0.3">
      <c r="B58" s="183">
        <v>45131</v>
      </c>
      <c r="C58" s="173">
        <v>1177.8000489999999</v>
      </c>
      <c r="D58" s="148">
        <f t="shared" si="0"/>
        <v>0.13194375335779696</v>
      </c>
      <c r="F58" s="185">
        <v>19646.050781000002</v>
      </c>
      <c r="G58" s="179">
        <f t="shared" si="1"/>
        <v>-5.0113557356291638E-3</v>
      </c>
    </row>
    <row r="59" spans="2:7" x14ac:dyDescent="0.3">
      <c r="B59" s="183">
        <v>45138</v>
      </c>
      <c r="C59" s="173">
        <v>1209.75</v>
      </c>
      <c r="D59" s="148">
        <f t="shared" si="0"/>
        <v>2.712680393172584E-2</v>
      </c>
      <c r="F59" s="185">
        <v>19517</v>
      </c>
      <c r="G59" s="179">
        <f t="shared" si="1"/>
        <v>-6.568789953694365E-3</v>
      </c>
    </row>
    <row r="60" spans="2:7" x14ac:dyDescent="0.3">
      <c r="B60" s="183">
        <v>45145</v>
      </c>
      <c r="C60" s="173">
        <v>1250.1999510000001</v>
      </c>
      <c r="D60" s="148">
        <f t="shared" si="0"/>
        <v>3.3436619962802228E-2</v>
      </c>
      <c r="F60" s="185">
        <v>19428.300781000002</v>
      </c>
      <c r="G60" s="179">
        <f t="shared" si="1"/>
        <v>-4.5447158374749552E-3</v>
      </c>
    </row>
    <row r="61" spans="2:7" x14ac:dyDescent="0.3">
      <c r="B61" s="183">
        <v>45152</v>
      </c>
      <c r="C61" s="173">
        <v>1236.400024</v>
      </c>
      <c r="D61" s="148">
        <f t="shared" si="0"/>
        <v>-1.1038175924548588E-2</v>
      </c>
      <c r="F61" s="185">
        <v>19310.150390999999</v>
      </c>
      <c r="G61" s="179">
        <f t="shared" si="1"/>
        <v>-6.0813547891717112E-3</v>
      </c>
    </row>
    <row r="62" spans="2:7" x14ac:dyDescent="0.3">
      <c r="B62" s="183">
        <v>45159</v>
      </c>
      <c r="C62" s="173">
        <v>1209.400024</v>
      </c>
      <c r="D62" s="148">
        <f t="shared" si="0"/>
        <v>-2.1837592588076493E-2</v>
      </c>
      <c r="F62" s="185">
        <v>19265.800781000002</v>
      </c>
      <c r="G62" s="179">
        <f t="shared" si="1"/>
        <v>-2.2966993576947203E-3</v>
      </c>
    </row>
    <row r="63" spans="2:7" x14ac:dyDescent="0.3">
      <c r="B63" s="183">
        <v>45166</v>
      </c>
      <c r="C63" s="173">
        <v>1245.400024</v>
      </c>
      <c r="D63" s="148">
        <f t="shared" si="0"/>
        <v>2.976682593484048E-2</v>
      </c>
      <c r="F63" s="185">
        <v>19435.300781000002</v>
      </c>
      <c r="G63" s="179">
        <f t="shared" si="1"/>
        <v>8.797973254616176E-3</v>
      </c>
    </row>
    <row r="64" spans="2:7" x14ac:dyDescent="0.3">
      <c r="B64" s="183">
        <v>45173</v>
      </c>
      <c r="C64" s="173">
        <v>1244.599976</v>
      </c>
      <c r="D64" s="148">
        <f t="shared" si="0"/>
        <v>-6.4240242860313934E-4</v>
      </c>
      <c r="F64" s="185">
        <v>19819.949218999998</v>
      </c>
      <c r="G64" s="179">
        <f t="shared" si="1"/>
        <v>1.9791226404688889E-2</v>
      </c>
    </row>
    <row r="65" spans="2:11" x14ac:dyDescent="0.3">
      <c r="B65" s="183">
        <v>45180</v>
      </c>
      <c r="C65" s="173">
        <v>1235.5</v>
      </c>
      <c r="D65" s="148">
        <f t="shared" si="0"/>
        <v>-7.3115669094308E-3</v>
      </c>
      <c r="F65" s="185">
        <v>20192.349609000001</v>
      </c>
      <c r="G65" s="179">
        <f t="shared" si="1"/>
        <v>1.8789169734249711E-2</v>
      </c>
    </row>
    <row r="66" spans="2:11" x14ac:dyDescent="0.3">
      <c r="B66" s="183">
        <v>45187</v>
      </c>
      <c r="C66" s="173">
        <v>1185.900024</v>
      </c>
      <c r="D66" s="148">
        <f t="shared" si="0"/>
        <v>-4.01456705787131E-2</v>
      </c>
      <c r="F66" s="185">
        <v>19674.25</v>
      </c>
      <c r="G66" s="179">
        <f t="shared" si="1"/>
        <v>-2.5658213087251469E-2</v>
      </c>
    </row>
    <row r="67" spans="2:11" x14ac:dyDescent="0.3">
      <c r="B67" s="183">
        <v>45194</v>
      </c>
      <c r="C67" s="173">
        <v>1186.150024</v>
      </c>
      <c r="D67" s="148">
        <f t="shared" si="0"/>
        <v>2.1081035073833299E-4</v>
      </c>
      <c r="F67" s="185">
        <v>19638.300781000002</v>
      </c>
      <c r="G67" s="179">
        <f t="shared" si="1"/>
        <v>-1.8272218254824502E-3</v>
      </c>
    </row>
    <row r="68" spans="2:11" x14ac:dyDescent="0.3">
      <c r="B68" s="183">
        <v>45201</v>
      </c>
      <c r="C68" s="173">
        <v>1163</v>
      </c>
      <c r="D68" s="148">
        <f t="shared" si="0"/>
        <v>-1.9516944342278242E-2</v>
      </c>
      <c r="F68" s="185">
        <v>19653.5</v>
      </c>
      <c r="G68" s="179">
        <f t="shared" si="1"/>
        <v>7.7395794928980521E-4</v>
      </c>
    </row>
    <row r="69" spans="2:11" x14ac:dyDescent="0.3">
      <c r="B69" s="183">
        <v>45208</v>
      </c>
      <c r="C69" s="173">
        <v>1167.75</v>
      </c>
      <c r="D69" s="148">
        <f t="shared" si="0"/>
        <v>4.0842648323302644E-3</v>
      </c>
      <c r="F69" s="185">
        <v>19751.050781000002</v>
      </c>
      <c r="G69" s="179">
        <f t="shared" si="1"/>
        <v>4.96353224616497E-3</v>
      </c>
    </row>
    <row r="70" spans="2:11" x14ac:dyDescent="0.3">
      <c r="B70" s="183">
        <v>45215</v>
      </c>
      <c r="C70" s="173">
        <v>1200.1999510000001</v>
      </c>
      <c r="D70" s="148">
        <f t="shared" si="0"/>
        <v>2.7788440162706207E-2</v>
      </c>
      <c r="F70" s="185">
        <v>19542.650390999999</v>
      </c>
      <c r="G70" s="179">
        <f t="shared" si="1"/>
        <v>-1.0551357105540893E-2</v>
      </c>
    </row>
    <row r="71" spans="2:11" x14ac:dyDescent="0.3">
      <c r="B71" s="183">
        <v>45222</v>
      </c>
      <c r="C71" s="173">
        <v>1174.25</v>
      </c>
      <c r="D71" s="148">
        <f t="shared" si="0"/>
        <v>-2.1621356490123755E-2</v>
      </c>
      <c r="F71" s="185">
        <v>19047.25</v>
      </c>
      <c r="G71" s="179">
        <f t="shared" si="1"/>
        <v>-2.5349703396840506E-2</v>
      </c>
    </row>
    <row r="72" spans="2:11" x14ac:dyDescent="0.3">
      <c r="B72" s="183">
        <v>45229</v>
      </c>
      <c r="C72" s="173">
        <v>1206.349976</v>
      </c>
      <c r="D72" s="148">
        <f t="shared" si="0"/>
        <v>2.7336577389823313E-2</v>
      </c>
      <c r="F72" s="185">
        <v>19230.599609000001</v>
      </c>
      <c r="G72" s="179">
        <f t="shared" si="1"/>
        <v>9.6260409770438926E-3</v>
      </c>
    </row>
    <row r="73" spans="2:11" x14ac:dyDescent="0.3">
      <c r="B73" s="183">
        <v>45236</v>
      </c>
      <c r="C73" s="173">
        <v>1240.099976</v>
      </c>
      <c r="D73" s="148">
        <f t="shared" ref="D73:D89" si="2">C73/C72-1</f>
        <v>2.7976955834912776E-2</v>
      </c>
      <c r="F73" s="185">
        <v>19425.349609000001</v>
      </c>
      <c r="G73" s="179">
        <f t="shared" ref="G73:G89" si="3">F73/F72-1</f>
        <v>1.0127089324289962E-2</v>
      </c>
      <c r="K73" s="79" t="s">
        <v>143</v>
      </c>
    </row>
    <row r="74" spans="2:11" x14ac:dyDescent="0.3">
      <c r="B74" s="183">
        <v>45243</v>
      </c>
      <c r="C74" s="173">
        <v>1249.400024</v>
      </c>
      <c r="D74" s="148">
        <f t="shared" si="2"/>
        <v>7.4994340617582367E-3</v>
      </c>
      <c r="F74" s="185">
        <v>19731.800781000002</v>
      </c>
      <c r="G74" s="179">
        <f t="shared" si="3"/>
        <v>1.5775838178892609E-2</v>
      </c>
    </row>
    <row r="75" spans="2:11" x14ac:dyDescent="0.3">
      <c r="B75" s="183">
        <v>45250</v>
      </c>
      <c r="C75" s="173">
        <v>1198.650024</v>
      </c>
      <c r="D75" s="148">
        <f t="shared" si="2"/>
        <v>-4.061949657846331E-2</v>
      </c>
      <c r="F75" s="185">
        <v>19794.699218999998</v>
      </c>
      <c r="G75" s="179">
        <f t="shared" si="3"/>
        <v>3.1876684088845142E-3</v>
      </c>
    </row>
    <row r="76" spans="2:11" x14ac:dyDescent="0.3">
      <c r="B76" s="183">
        <v>45257</v>
      </c>
      <c r="C76" s="173">
        <v>1205.6999510000001</v>
      </c>
      <c r="D76" s="148">
        <f t="shared" si="2"/>
        <v>5.8815557993097123E-3</v>
      </c>
      <c r="F76" s="185">
        <v>20267.900390999999</v>
      </c>
      <c r="G76" s="179">
        <f t="shared" si="3"/>
        <v>2.390544896715574E-2</v>
      </c>
    </row>
    <row r="77" spans="2:11" x14ac:dyDescent="0.3">
      <c r="B77" s="183">
        <v>45264</v>
      </c>
      <c r="C77" s="173">
        <v>1219.099976</v>
      </c>
      <c r="D77" s="148">
        <f t="shared" si="2"/>
        <v>1.1113896943336643E-2</v>
      </c>
      <c r="F77" s="185">
        <v>20969.400390999999</v>
      </c>
      <c r="G77" s="179">
        <f t="shared" si="3"/>
        <v>3.4611379889724736E-2</v>
      </c>
    </row>
    <row r="78" spans="2:11" x14ac:dyDescent="0.3">
      <c r="B78" s="183">
        <v>45271</v>
      </c>
      <c r="C78" s="173">
        <v>1207.099976</v>
      </c>
      <c r="D78" s="148">
        <f t="shared" si="2"/>
        <v>-9.8433272383232628E-3</v>
      </c>
      <c r="F78" s="185">
        <v>21456.650390999999</v>
      </c>
      <c r="G78" s="179">
        <f t="shared" si="3"/>
        <v>2.3236239039487572E-2</v>
      </c>
    </row>
    <row r="79" spans="2:11" x14ac:dyDescent="0.3">
      <c r="B79" s="183">
        <v>45278</v>
      </c>
      <c r="C79" s="173">
        <v>1235.599976</v>
      </c>
      <c r="D79" s="148">
        <f t="shared" si="2"/>
        <v>2.3610306160754879E-2</v>
      </c>
      <c r="F79" s="185">
        <v>21349.400390999999</v>
      </c>
      <c r="G79" s="179">
        <f t="shared" si="3"/>
        <v>-4.9984502727874469E-3</v>
      </c>
    </row>
    <row r="80" spans="2:11" x14ac:dyDescent="0.3">
      <c r="B80" s="183">
        <v>45285</v>
      </c>
      <c r="C80" s="173">
        <v>1246.3000489999999</v>
      </c>
      <c r="D80" s="148">
        <f t="shared" si="2"/>
        <v>8.6598196890868007E-3</v>
      </c>
      <c r="F80" s="185">
        <v>21731.400390999999</v>
      </c>
      <c r="G80" s="179">
        <f t="shared" si="3"/>
        <v>1.7892774176507364E-2</v>
      </c>
    </row>
    <row r="81" spans="2:7" x14ac:dyDescent="0.3">
      <c r="B81" s="183">
        <v>45292</v>
      </c>
      <c r="C81" s="173">
        <v>1286.900024</v>
      </c>
      <c r="D81" s="148">
        <f t="shared" si="2"/>
        <v>3.257640488145408E-2</v>
      </c>
      <c r="F81" s="185">
        <v>21710.800781000002</v>
      </c>
      <c r="G81" s="179">
        <f t="shared" si="3"/>
        <v>-9.4791912299074799E-4</v>
      </c>
    </row>
    <row r="82" spans="2:7" x14ac:dyDescent="0.3">
      <c r="B82" s="183">
        <v>45299</v>
      </c>
      <c r="C82" s="173">
        <v>1308</v>
      </c>
      <c r="D82" s="148">
        <f t="shared" si="2"/>
        <v>1.6395971409197907E-2</v>
      </c>
      <c r="F82" s="185">
        <v>21894.550781000002</v>
      </c>
      <c r="G82" s="179">
        <f t="shared" si="3"/>
        <v>8.4635293674109047E-3</v>
      </c>
    </row>
    <row r="83" spans="2:7" x14ac:dyDescent="0.3">
      <c r="B83" s="183">
        <v>45306</v>
      </c>
      <c r="C83" s="173">
        <v>1327.9499510000001</v>
      </c>
      <c r="D83" s="148">
        <f t="shared" si="2"/>
        <v>1.5252256116208063E-2</v>
      </c>
      <c r="F83" s="185">
        <v>21622.400390999999</v>
      </c>
      <c r="G83" s="179">
        <f t="shared" si="3"/>
        <v>-1.2430051327482539E-2</v>
      </c>
    </row>
    <row r="84" spans="2:7" x14ac:dyDescent="0.3">
      <c r="B84" s="183">
        <v>45313</v>
      </c>
      <c r="C84" s="173">
        <v>1369.650024</v>
      </c>
      <c r="D84" s="148">
        <f t="shared" si="2"/>
        <v>3.1401840836394523E-2</v>
      </c>
      <c r="F84" s="185">
        <v>21352.599609000001</v>
      </c>
      <c r="G84" s="179">
        <f t="shared" si="3"/>
        <v>-1.2477836739731241E-2</v>
      </c>
    </row>
    <row r="85" spans="2:7" x14ac:dyDescent="0.3">
      <c r="B85" s="183">
        <v>45320</v>
      </c>
      <c r="C85" s="173">
        <v>1392.650024</v>
      </c>
      <c r="D85" s="148">
        <f t="shared" si="2"/>
        <v>1.6792610956797294E-2</v>
      </c>
      <c r="F85" s="185">
        <v>21853.800781000002</v>
      </c>
      <c r="G85" s="179">
        <f t="shared" si="3"/>
        <v>2.3472606669810325E-2</v>
      </c>
    </row>
    <row r="86" spans="2:7" x14ac:dyDescent="0.3">
      <c r="B86" s="183">
        <v>45327</v>
      </c>
      <c r="C86" s="173">
        <v>1439.75</v>
      </c>
      <c r="D86" s="148">
        <f t="shared" si="2"/>
        <v>3.382039650185642E-2</v>
      </c>
      <c r="F86" s="185">
        <v>21782.5</v>
      </c>
      <c r="G86" s="179">
        <f t="shared" si="3"/>
        <v>-3.2626261085894059E-3</v>
      </c>
    </row>
    <row r="87" spans="2:7" x14ac:dyDescent="0.3">
      <c r="B87" s="183">
        <v>45334</v>
      </c>
      <c r="C87" s="173">
        <v>1440.6999510000001</v>
      </c>
      <c r="D87" s="148">
        <f t="shared" si="2"/>
        <v>6.5980274353183432E-4</v>
      </c>
      <c r="F87" s="185">
        <v>22040.699218999998</v>
      </c>
      <c r="G87" s="179">
        <f t="shared" si="3"/>
        <v>1.1853516308963474E-2</v>
      </c>
    </row>
    <row r="88" spans="2:7" x14ac:dyDescent="0.3">
      <c r="B88" s="183">
        <v>45341</v>
      </c>
      <c r="C88" s="173">
        <v>1466.400024</v>
      </c>
      <c r="D88" s="148">
        <f t="shared" si="2"/>
        <v>1.7838601981045032E-2</v>
      </c>
      <c r="F88" s="185">
        <v>22212.699218999998</v>
      </c>
      <c r="G88" s="179">
        <f t="shared" si="3"/>
        <v>7.803745166656384E-3</v>
      </c>
    </row>
    <row r="89" spans="2:7" x14ac:dyDescent="0.3">
      <c r="B89" s="183">
        <v>45348</v>
      </c>
      <c r="C89" s="173">
        <v>1477</v>
      </c>
      <c r="D89" s="148">
        <f t="shared" si="2"/>
        <v>7.2285705309016457E-3</v>
      </c>
      <c r="F89" s="147">
        <v>21951.150390999999</v>
      </c>
      <c r="G89" s="179">
        <f t="shared" si="3"/>
        <v>-1.1774743151263589E-2</v>
      </c>
    </row>
    <row r="90" spans="2:7" x14ac:dyDescent="0.3">
      <c r="B90" s="172"/>
      <c r="D90" s="125"/>
      <c r="G90" s="125"/>
    </row>
    <row r="91" spans="2:7" x14ac:dyDescent="0.3">
      <c r="B91" s="172"/>
      <c r="D91" s="125"/>
      <c r="G91" s="125"/>
    </row>
    <row r="92" spans="2:7" x14ac:dyDescent="0.3">
      <c r="B92" s="172"/>
      <c r="D92" s="125"/>
      <c r="G92" s="125"/>
    </row>
    <row r="93" spans="2:7" x14ac:dyDescent="0.3">
      <c r="B93" s="172"/>
      <c r="D93" s="125"/>
      <c r="G93" s="125"/>
    </row>
    <row r="94" spans="2:7" x14ac:dyDescent="0.3">
      <c r="B94" s="172"/>
      <c r="D94" s="125"/>
      <c r="G94" s="125"/>
    </row>
    <row r="95" spans="2:7" x14ac:dyDescent="0.3">
      <c r="B95" s="172"/>
      <c r="D95" s="125"/>
      <c r="G95" s="125"/>
    </row>
    <row r="96" spans="2:7" x14ac:dyDescent="0.3">
      <c r="B96" s="172"/>
      <c r="D96" s="125"/>
      <c r="G96" s="125"/>
    </row>
    <row r="97" spans="2:7" x14ac:dyDescent="0.3">
      <c r="B97" s="172"/>
      <c r="D97" s="125"/>
      <c r="G97" s="125"/>
    </row>
    <row r="98" spans="2:7" x14ac:dyDescent="0.3">
      <c r="B98" s="172"/>
      <c r="D98" s="125"/>
      <c r="G98" s="125"/>
    </row>
    <row r="99" spans="2:7" x14ac:dyDescent="0.3">
      <c r="B99" s="172"/>
      <c r="D99" s="125"/>
      <c r="G99" s="125"/>
    </row>
    <row r="100" spans="2:7" x14ac:dyDescent="0.3">
      <c r="B100" s="172"/>
      <c r="D100" s="125"/>
      <c r="G100" s="125"/>
    </row>
    <row r="101" spans="2:7" x14ac:dyDescent="0.3">
      <c r="B101" s="172"/>
      <c r="D101" s="125"/>
      <c r="G101" s="125"/>
    </row>
    <row r="102" spans="2:7" x14ac:dyDescent="0.3">
      <c r="B102" s="172"/>
      <c r="D102" s="125"/>
      <c r="G102" s="125"/>
    </row>
    <row r="103" spans="2:7" x14ac:dyDescent="0.3">
      <c r="B103" s="172"/>
      <c r="D103" s="125"/>
      <c r="G103" s="125"/>
    </row>
    <row r="104" spans="2:7" x14ac:dyDescent="0.3">
      <c r="B104" s="172"/>
      <c r="D104" s="125"/>
      <c r="G104" s="125"/>
    </row>
    <row r="105" spans="2:7" x14ac:dyDescent="0.3">
      <c r="B105" s="172"/>
      <c r="D105" s="125"/>
      <c r="G105" s="125"/>
    </row>
    <row r="106" spans="2:7" x14ac:dyDescent="0.3">
      <c r="B106" s="172"/>
      <c r="D106" s="125"/>
      <c r="G106" s="125"/>
    </row>
    <row r="107" spans="2:7" x14ac:dyDescent="0.3">
      <c r="B107" s="172"/>
      <c r="D107" s="125"/>
      <c r="G107" s="125"/>
    </row>
    <row r="108" spans="2:7" x14ac:dyDescent="0.3">
      <c r="B108" s="172"/>
      <c r="D108" s="125"/>
      <c r="G108" s="125"/>
    </row>
    <row r="109" spans="2:7" x14ac:dyDescent="0.3">
      <c r="B109" s="172"/>
      <c r="D109" s="125"/>
      <c r="G109" s="125"/>
    </row>
    <row r="110" spans="2:7" x14ac:dyDescent="0.3">
      <c r="B110" s="172"/>
      <c r="D110" s="125"/>
      <c r="G110" s="125"/>
    </row>
    <row r="111" spans="2:7" x14ac:dyDescent="0.3">
      <c r="B111" s="172"/>
      <c r="D111" s="125"/>
      <c r="G111" s="125"/>
    </row>
    <row r="112" spans="2:7" x14ac:dyDescent="0.3">
      <c r="B112" s="172"/>
      <c r="D112" s="125"/>
      <c r="G112" s="125"/>
    </row>
    <row r="113" spans="2:7" x14ac:dyDescent="0.3">
      <c r="B113" s="172"/>
      <c r="D113" s="125"/>
      <c r="G113" s="125"/>
    </row>
    <row r="114" spans="2:7" x14ac:dyDescent="0.3">
      <c r="B114" s="172"/>
      <c r="D114" s="125"/>
      <c r="G114" s="125"/>
    </row>
    <row r="115" spans="2:7" x14ac:dyDescent="0.3">
      <c r="B115" s="172"/>
      <c r="D115" s="125"/>
      <c r="G115" s="125"/>
    </row>
    <row r="116" spans="2:7" x14ac:dyDescent="0.3">
      <c r="B116" s="172"/>
      <c r="D116" s="125"/>
      <c r="G116" s="125"/>
    </row>
    <row r="117" spans="2:7" x14ac:dyDescent="0.3">
      <c r="B117" s="172"/>
      <c r="D117" s="125"/>
      <c r="G117" s="125"/>
    </row>
    <row r="118" spans="2:7" x14ac:dyDescent="0.3">
      <c r="B118" s="172"/>
      <c r="D118" s="125"/>
      <c r="G118" s="125"/>
    </row>
    <row r="119" spans="2:7" x14ac:dyDescent="0.3">
      <c r="B119" s="172"/>
      <c r="D119" s="125"/>
      <c r="G119" s="125"/>
    </row>
    <row r="120" spans="2:7" x14ac:dyDescent="0.3">
      <c r="B120" s="172"/>
      <c r="D120" s="125"/>
      <c r="G120" s="125"/>
    </row>
    <row r="121" spans="2:7" x14ac:dyDescent="0.3">
      <c r="B121" s="172"/>
      <c r="D121" s="125"/>
      <c r="G121" s="125"/>
    </row>
    <row r="122" spans="2:7" x14ac:dyDescent="0.3">
      <c r="B122" s="172"/>
      <c r="D122" s="125"/>
      <c r="G122" s="125"/>
    </row>
    <row r="123" spans="2:7" x14ac:dyDescent="0.3">
      <c r="B123" s="172"/>
      <c r="D123" s="125"/>
      <c r="G123" s="125"/>
    </row>
    <row r="124" spans="2:7" x14ac:dyDescent="0.3">
      <c r="B124" s="172"/>
      <c r="D124" s="125"/>
      <c r="G124" s="125"/>
    </row>
    <row r="125" spans="2:7" x14ac:dyDescent="0.3">
      <c r="B125" s="172"/>
      <c r="D125" s="125"/>
      <c r="G125" s="125"/>
    </row>
    <row r="126" spans="2:7" x14ac:dyDescent="0.3">
      <c r="B126" s="172"/>
      <c r="D126" s="125"/>
      <c r="G126" s="125"/>
    </row>
    <row r="127" spans="2:7" x14ac:dyDescent="0.3">
      <c r="B127" s="172"/>
      <c r="D127" s="125"/>
      <c r="G127" s="125"/>
    </row>
    <row r="128" spans="2:7" x14ac:dyDescent="0.3">
      <c r="B128" s="172"/>
      <c r="D128" s="125"/>
      <c r="G128" s="125"/>
    </row>
    <row r="129" spans="2:7" x14ac:dyDescent="0.3">
      <c r="B129" s="172"/>
      <c r="D129" s="125"/>
      <c r="G129" s="125"/>
    </row>
    <row r="130" spans="2:7" x14ac:dyDescent="0.3">
      <c r="B130" s="172"/>
      <c r="D130" s="125"/>
      <c r="G130" s="125"/>
    </row>
    <row r="131" spans="2:7" x14ac:dyDescent="0.3">
      <c r="B131" s="172"/>
      <c r="D131" s="125"/>
      <c r="G131" s="125"/>
    </row>
    <row r="132" spans="2:7" x14ac:dyDescent="0.3">
      <c r="B132" s="172"/>
      <c r="D132" s="125"/>
      <c r="G132" s="125"/>
    </row>
    <row r="133" spans="2:7" x14ac:dyDescent="0.3">
      <c r="B133" s="172"/>
      <c r="D133" s="125"/>
      <c r="G133" s="125"/>
    </row>
    <row r="134" spans="2:7" x14ac:dyDescent="0.3">
      <c r="B134" s="172"/>
      <c r="D134" s="125"/>
      <c r="G134" s="125"/>
    </row>
    <row r="135" spans="2:7" x14ac:dyDescent="0.3">
      <c r="B135" s="172"/>
      <c r="D135" s="125"/>
      <c r="G135" s="125"/>
    </row>
    <row r="136" spans="2:7" x14ac:dyDescent="0.3">
      <c r="B136" s="172"/>
      <c r="D136" s="125"/>
      <c r="G136" s="125"/>
    </row>
    <row r="137" spans="2:7" x14ac:dyDescent="0.3">
      <c r="B137" s="172"/>
      <c r="D137" s="125"/>
      <c r="G137" s="125"/>
    </row>
    <row r="138" spans="2:7" x14ac:dyDescent="0.3">
      <c r="B138" s="172"/>
      <c r="D138" s="125"/>
      <c r="G138" s="125"/>
    </row>
    <row r="139" spans="2:7" x14ac:dyDescent="0.3">
      <c r="B139" s="172"/>
      <c r="D139" s="125"/>
      <c r="G139" s="125"/>
    </row>
    <row r="140" spans="2:7" x14ac:dyDescent="0.3">
      <c r="B140" s="172"/>
      <c r="D140" s="125"/>
      <c r="G140" s="125"/>
    </row>
    <row r="141" spans="2:7" x14ac:dyDescent="0.3">
      <c r="B141" s="172"/>
      <c r="D141" s="125"/>
      <c r="G141" s="125"/>
    </row>
    <row r="142" spans="2:7" x14ac:dyDescent="0.3">
      <c r="B142" s="172"/>
      <c r="D142" s="125"/>
      <c r="G142" s="125"/>
    </row>
    <row r="143" spans="2:7" x14ac:dyDescent="0.3">
      <c r="B143" s="172"/>
      <c r="D143" s="125"/>
      <c r="G143" s="125"/>
    </row>
    <row r="144" spans="2:7" x14ac:dyDescent="0.3">
      <c r="B144" s="172"/>
      <c r="D144" s="125"/>
      <c r="G144" s="125"/>
    </row>
    <row r="145" spans="2:7" x14ac:dyDescent="0.3">
      <c r="B145" s="172"/>
      <c r="D145" s="125"/>
      <c r="G145" s="125"/>
    </row>
    <row r="146" spans="2:7" x14ac:dyDescent="0.3">
      <c r="B146" s="172"/>
      <c r="D146" s="125"/>
      <c r="G146" s="125"/>
    </row>
    <row r="147" spans="2:7" x14ac:dyDescent="0.3">
      <c r="B147" s="172"/>
      <c r="D147" s="125"/>
      <c r="G147" s="125"/>
    </row>
    <row r="148" spans="2:7" x14ac:dyDescent="0.3">
      <c r="B148" s="172"/>
      <c r="D148" s="125"/>
      <c r="G148" s="125"/>
    </row>
    <row r="149" spans="2:7" x14ac:dyDescent="0.3">
      <c r="B149" s="172"/>
      <c r="D149" s="125"/>
      <c r="G149" s="125"/>
    </row>
    <row r="150" spans="2:7" x14ac:dyDescent="0.3">
      <c r="B150" s="172"/>
      <c r="D150" s="125"/>
      <c r="G150" s="125"/>
    </row>
    <row r="151" spans="2:7" x14ac:dyDescent="0.3">
      <c r="B151" s="172"/>
      <c r="D151" s="125"/>
      <c r="G151" s="125"/>
    </row>
    <row r="152" spans="2:7" x14ac:dyDescent="0.3">
      <c r="B152" s="172"/>
      <c r="D152" s="125"/>
      <c r="G152" s="125"/>
    </row>
    <row r="153" spans="2:7" x14ac:dyDescent="0.3">
      <c r="B153" s="172"/>
      <c r="D153" s="125"/>
      <c r="G153" s="125"/>
    </row>
    <row r="154" spans="2:7" x14ac:dyDescent="0.3">
      <c r="B154" s="172"/>
      <c r="D154" s="125"/>
      <c r="G154" s="125"/>
    </row>
    <row r="155" spans="2:7" x14ac:dyDescent="0.3">
      <c r="B155" s="172"/>
      <c r="D155" s="125"/>
      <c r="G155" s="125"/>
    </row>
    <row r="156" spans="2:7" x14ac:dyDescent="0.3">
      <c r="B156" s="172"/>
      <c r="D156" s="125"/>
      <c r="G156" s="125"/>
    </row>
    <row r="157" spans="2:7" x14ac:dyDescent="0.3">
      <c r="B157" s="172"/>
      <c r="D157" s="125"/>
      <c r="G157" s="125"/>
    </row>
    <row r="158" spans="2:7" x14ac:dyDescent="0.3">
      <c r="B158" s="172"/>
      <c r="D158" s="125"/>
      <c r="G158" s="125"/>
    </row>
    <row r="159" spans="2:7" x14ac:dyDescent="0.3">
      <c r="B159" s="172"/>
      <c r="D159" s="125"/>
      <c r="G159" s="125"/>
    </row>
    <row r="160" spans="2:7" x14ac:dyDescent="0.3">
      <c r="B160" s="172"/>
      <c r="D160" s="125"/>
      <c r="G160" s="125"/>
    </row>
    <row r="161" spans="2:7" x14ac:dyDescent="0.3">
      <c r="B161" s="172"/>
      <c r="D161" s="125"/>
      <c r="G161" s="125"/>
    </row>
    <row r="162" spans="2:7" x14ac:dyDescent="0.3">
      <c r="B162" s="172"/>
      <c r="D162" s="125"/>
      <c r="G162" s="125"/>
    </row>
    <row r="163" spans="2:7" x14ac:dyDescent="0.3">
      <c r="B163" s="172"/>
      <c r="D163" s="125"/>
      <c r="G163" s="125"/>
    </row>
    <row r="164" spans="2:7" x14ac:dyDescent="0.3">
      <c r="B164" s="172"/>
      <c r="D164" s="125"/>
      <c r="G164" s="125"/>
    </row>
    <row r="165" spans="2:7" x14ac:dyDescent="0.3">
      <c r="B165" s="172"/>
      <c r="D165" s="125"/>
      <c r="G165" s="125"/>
    </row>
    <row r="166" spans="2:7" x14ac:dyDescent="0.3">
      <c r="B166" s="172"/>
      <c r="D166" s="125"/>
      <c r="G166" s="125"/>
    </row>
    <row r="167" spans="2:7" x14ac:dyDescent="0.3">
      <c r="B167" s="172"/>
      <c r="D167" s="125"/>
      <c r="G167" s="125"/>
    </row>
    <row r="168" spans="2:7" x14ac:dyDescent="0.3">
      <c r="B168" s="172"/>
      <c r="D168" s="125"/>
      <c r="G168" s="125"/>
    </row>
    <row r="169" spans="2:7" x14ac:dyDescent="0.3">
      <c r="B169" s="172"/>
      <c r="D169" s="125"/>
      <c r="G169" s="125"/>
    </row>
    <row r="170" spans="2:7" x14ac:dyDescent="0.3">
      <c r="B170" s="172"/>
      <c r="D170" s="125"/>
      <c r="G170" s="125"/>
    </row>
    <row r="171" spans="2:7" x14ac:dyDescent="0.3">
      <c r="B171" s="172"/>
      <c r="D171" s="125"/>
      <c r="G171" s="125"/>
    </row>
    <row r="172" spans="2:7" x14ac:dyDescent="0.3">
      <c r="B172" s="172"/>
      <c r="D172" s="125"/>
      <c r="G172" s="125"/>
    </row>
    <row r="173" spans="2:7" x14ac:dyDescent="0.3">
      <c r="B173" s="172"/>
      <c r="D173" s="125"/>
      <c r="G173" s="125"/>
    </row>
    <row r="174" spans="2:7" x14ac:dyDescent="0.3">
      <c r="B174" s="172"/>
      <c r="D174" s="125"/>
      <c r="G174" s="125"/>
    </row>
    <row r="175" spans="2:7" x14ac:dyDescent="0.3">
      <c r="B175" s="172"/>
      <c r="D175" s="125"/>
      <c r="G175" s="125"/>
    </row>
    <row r="176" spans="2:7" x14ac:dyDescent="0.3">
      <c r="B176" s="172"/>
      <c r="D176" s="125"/>
      <c r="G176" s="125"/>
    </row>
    <row r="177" spans="2:7" x14ac:dyDescent="0.3">
      <c r="B177" s="172"/>
      <c r="D177" s="125"/>
      <c r="G177" s="125"/>
    </row>
    <row r="178" spans="2:7" x14ac:dyDescent="0.3">
      <c r="B178" s="172"/>
      <c r="D178" s="125"/>
      <c r="G178" s="125"/>
    </row>
    <row r="179" spans="2:7" x14ac:dyDescent="0.3">
      <c r="B179" s="172"/>
      <c r="D179" s="125"/>
      <c r="G179" s="125"/>
    </row>
    <row r="180" spans="2:7" x14ac:dyDescent="0.3">
      <c r="B180" s="172"/>
      <c r="D180" s="125"/>
      <c r="G180" s="125"/>
    </row>
    <row r="181" spans="2:7" x14ac:dyDescent="0.3">
      <c r="B181" s="172"/>
      <c r="D181" s="125"/>
      <c r="G181" s="125"/>
    </row>
    <row r="182" spans="2:7" x14ac:dyDescent="0.3">
      <c r="B182" s="172"/>
      <c r="D182" s="125"/>
      <c r="G182" s="125"/>
    </row>
    <row r="183" spans="2:7" x14ac:dyDescent="0.3">
      <c r="B183" s="172"/>
      <c r="D183" s="125"/>
      <c r="G183" s="125"/>
    </row>
    <row r="184" spans="2:7" x14ac:dyDescent="0.3">
      <c r="B184" s="172"/>
      <c r="D184" s="125"/>
      <c r="G184" s="125"/>
    </row>
    <row r="185" spans="2:7" x14ac:dyDescent="0.3">
      <c r="B185" s="172"/>
      <c r="D185" s="125"/>
      <c r="G185" s="125"/>
    </row>
    <row r="186" spans="2:7" x14ac:dyDescent="0.3">
      <c r="B186" s="172"/>
      <c r="D186" s="125"/>
      <c r="G186" s="125"/>
    </row>
    <row r="187" spans="2:7" x14ac:dyDescent="0.3">
      <c r="B187" s="172"/>
      <c r="D187" s="125"/>
      <c r="G187" s="125"/>
    </row>
    <row r="188" spans="2:7" x14ac:dyDescent="0.3">
      <c r="B188" s="172"/>
      <c r="D188" s="125"/>
      <c r="G188" s="125"/>
    </row>
    <row r="189" spans="2:7" x14ac:dyDescent="0.3">
      <c r="B189" s="172"/>
      <c r="D189" s="125"/>
      <c r="G189" s="125"/>
    </row>
    <row r="190" spans="2:7" x14ac:dyDescent="0.3">
      <c r="B190" s="172"/>
      <c r="D190" s="125"/>
      <c r="G190" s="125"/>
    </row>
    <row r="191" spans="2:7" x14ac:dyDescent="0.3">
      <c r="B191" s="172"/>
      <c r="D191" s="125"/>
      <c r="G191" s="125"/>
    </row>
    <row r="192" spans="2:7" x14ac:dyDescent="0.3">
      <c r="B192" s="172"/>
      <c r="D192" s="125"/>
      <c r="G192" s="125"/>
    </row>
    <row r="193" spans="2:7" x14ac:dyDescent="0.3">
      <c r="B193" s="172"/>
      <c r="D193" s="125"/>
      <c r="G193" s="125"/>
    </row>
    <row r="194" spans="2:7" x14ac:dyDescent="0.3">
      <c r="B194" s="172"/>
      <c r="D194" s="125"/>
      <c r="G194" s="125"/>
    </row>
    <row r="195" spans="2:7" x14ac:dyDescent="0.3">
      <c r="B195" s="172"/>
      <c r="D195" s="125"/>
      <c r="G195" s="125"/>
    </row>
    <row r="196" spans="2:7" x14ac:dyDescent="0.3">
      <c r="B196" s="172"/>
      <c r="D196" s="125"/>
      <c r="G196" s="125"/>
    </row>
    <row r="197" spans="2:7" x14ac:dyDescent="0.3">
      <c r="B197" s="172"/>
      <c r="D197" s="125"/>
      <c r="G197" s="125"/>
    </row>
    <row r="198" spans="2:7" x14ac:dyDescent="0.3">
      <c r="B198" s="172"/>
      <c r="D198" s="125"/>
      <c r="G198" s="125"/>
    </row>
    <row r="199" spans="2:7" x14ac:dyDescent="0.3">
      <c r="B199" s="172"/>
      <c r="D199" s="125"/>
      <c r="G199" s="125"/>
    </row>
    <row r="200" spans="2:7" x14ac:dyDescent="0.3">
      <c r="B200" s="172"/>
      <c r="D200" s="125"/>
      <c r="G200" s="125"/>
    </row>
    <row r="201" spans="2:7" x14ac:dyDescent="0.3">
      <c r="B201" s="172"/>
      <c r="D201" s="125"/>
      <c r="G201" s="125"/>
    </row>
    <row r="202" spans="2:7" x14ac:dyDescent="0.3">
      <c r="B202" s="172"/>
      <c r="D202" s="125"/>
      <c r="G202" s="125"/>
    </row>
    <row r="203" spans="2:7" x14ac:dyDescent="0.3">
      <c r="B203" s="172"/>
      <c r="D203" s="125"/>
      <c r="G203" s="125"/>
    </row>
    <row r="204" spans="2:7" x14ac:dyDescent="0.3">
      <c r="B204" s="172"/>
      <c r="D204" s="125"/>
      <c r="G204" s="125"/>
    </row>
    <row r="205" spans="2:7" x14ac:dyDescent="0.3">
      <c r="B205" s="172"/>
      <c r="D205" s="125"/>
      <c r="G205" s="125"/>
    </row>
    <row r="206" spans="2:7" x14ac:dyDescent="0.3">
      <c r="B206" s="172"/>
      <c r="D206" s="125"/>
      <c r="G206" s="125"/>
    </row>
    <row r="207" spans="2:7" x14ac:dyDescent="0.3">
      <c r="B207" s="172"/>
      <c r="D207" s="125"/>
      <c r="G207" s="125"/>
    </row>
    <row r="208" spans="2:7" x14ac:dyDescent="0.3">
      <c r="B208" s="172"/>
      <c r="D208" s="125"/>
      <c r="G208" s="125"/>
    </row>
    <row r="209" spans="2:7" x14ac:dyDescent="0.3">
      <c r="B209" s="172"/>
      <c r="D209" s="125"/>
      <c r="G209" s="125"/>
    </row>
    <row r="210" spans="2:7" x14ac:dyDescent="0.3">
      <c r="B210" s="172"/>
      <c r="D210" s="125"/>
      <c r="G210" s="125"/>
    </row>
    <row r="211" spans="2:7" x14ac:dyDescent="0.3">
      <c r="B211" s="172"/>
      <c r="D211" s="125"/>
      <c r="G211" s="125"/>
    </row>
    <row r="212" spans="2:7" x14ac:dyDescent="0.3">
      <c r="B212" s="172"/>
      <c r="D212" s="125"/>
      <c r="G212" s="125"/>
    </row>
    <row r="213" spans="2:7" x14ac:dyDescent="0.3">
      <c r="B213" s="172"/>
      <c r="D213" s="125"/>
      <c r="G213" s="125"/>
    </row>
    <row r="214" spans="2:7" x14ac:dyDescent="0.3">
      <c r="B214" s="172"/>
      <c r="D214" s="125"/>
      <c r="G214" s="125"/>
    </row>
    <row r="215" spans="2:7" x14ac:dyDescent="0.3">
      <c r="B215" s="172"/>
      <c r="D215" s="125"/>
      <c r="G215" s="125"/>
    </row>
    <row r="216" spans="2:7" x14ac:dyDescent="0.3">
      <c r="B216" s="172"/>
      <c r="D216" s="125"/>
      <c r="G216" s="125"/>
    </row>
    <row r="217" spans="2:7" x14ac:dyDescent="0.3">
      <c r="B217" s="172"/>
      <c r="D217" s="125"/>
      <c r="G217" s="125"/>
    </row>
    <row r="218" spans="2:7" x14ac:dyDescent="0.3">
      <c r="B218" s="172"/>
      <c r="D218" s="125"/>
      <c r="G218" s="125"/>
    </row>
    <row r="219" spans="2:7" x14ac:dyDescent="0.3">
      <c r="B219" s="172"/>
      <c r="D219" s="125"/>
      <c r="G219" s="125"/>
    </row>
    <row r="220" spans="2:7" x14ac:dyDescent="0.3">
      <c r="B220" s="172"/>
      <c r="D220" s="125"/>
      <c r="G220" s="125"/>
    </row>
    <row r="221" spans="2:7" x14ac:dyDescent="0.3">
      <c r="B221" s="172"/>
      <c r="D221" s="125"/>
      <c r="G221" s="125"/>
    </row>
    <row r="222" spans="2:7" x14ac:dyDescent="0.3">
      <c r="B222" s="172"/>
      <c r="D222" s="125"/>
      <c r="G222" s="125"/>
    </row>
    <row r="223" spans="2:7" x14ac:dyDescent="0.3">
      <c r="B223" s="172"/>
      <c r="D223" s="125"/>
      <c r="G223" s="125"/>
    </row>
    <row r="224" spans="2:7" x14ac:dyDescent="0.3">
      <c r="B224" s="172"/>
      <c r="D224" s="125"/>
      <c r="G224" s="125"/>
    </row>
    <row r="225" spans="2:7" x14ac:dyDescent="0.3">
      <c r="B225" s="172"/>
      <c r="D225" s="125"/>
      <c r="G225" s="125"/>
    </row>
    <row r="226" spans="2:7" x14ac:dyDescent="0.3">
      <c r="B226" s="172"/>
      <c r="D226" s="125"/>
      <c r="G226" s="125"/>
    </row>
    <row r="227" spans="2:7" x14ac:dyDescent="0.3">
      <c r="B227" s="172"/>
      <c r="D227" s="125"/>
      <c r="G227" s="125"/>
    </row>
    <row r="228" spans="2:7" x14ac:dyDescent="0.3">
      <c r="B228" s="172"/>
      <c r="D228" s="125"/>
      <c r="G228" s="125"/>
    </row>
    <row r="229" spans="2:7" x14ac:dyDescent="0.3">
      <c r="B229" s="172"/>
      <c r="D229" s="125"/>
      <c r="G229" s="125"/>
    </row>
    <row r="230" spans="2:7" x14ac:dyDescent="0.3">
      <c r="B230" s="172"/>
      <c r="D230" s="125"/>
      <c r="G230" s="125"/>
    </row>
    <row r="231" spans="2:7" x14ac:dyDescent="0.3">
      <c r="B231" s="172"/>
      <c r="D231" s="125"/>
      <c r="G231" s="125"/>
    </row>
    <row r="232" spans="2:7" x14ac:dyDescent="0.3">
      <c r="B232" s="172"/>
      <c r="D232" s="125"/>
      <c r="G232" s="125"/>
    </row>
    <row r="233" spans="2:7" x14ac:dyDescent="0.3">
      <c r="B233" s="172"/>
      <c r="D233" s="125"/>
      <c r="G233" s="125"/>
    </row>
    <row r="234" spans="2:7" x14ac:dyDescent="0.3">
      <c r="B234" s="172"/>
      <c r="D234" s="125"/>
      <c r="G234" s="125"/>
    </row>
    <row r="235" spans="2:7" x14ac:dyDescent="0.3">
      <c r="B235" s="172"/>
      <c r="D235" s="125"/>
      <c r="G235" s="125"/>
    </row>
    <row r="236" spans="2:7" x14ac:dyDescent="0.3">
      <c r="B236" s="172"/>
      <c r="D236" s="125"/>
      <c r="G236" s="125"/>
    </row>
    <row r="237" spans="2:7" x14ac:dyDescent="0.3">
      <c r="B237" s="172"/>
      <c r="D237" s="125"/>
      <c r="G237" s="125"/>
    </row>
    <row r="238" spans="2:7" x14ac:dyDescent="0.3">
      <c r="B238" s="172"/>
      <c r="D238" s="125"/>
      <c r="G238" s="125"/>
    </row>
    <row r="239" spans="2:7" x14ac:dyDescent="0.3">
      <c r="B239" s="172"/>
      <c r="D239" s="125"/>
      <c r="G239" s="125"/>
    </row>
    <row r="240" spans="2:7" x14ac:dyDescent="0.3">
      <c r="B240" s="172"/>
      <c r="D240" s="125"/>
      <c r="G240" s="125"/>
    </row>
    <row r="241" spans="2:7" x14ac:dyDescent="0.3">
      <c r="B241" s="172"/>
      <c r="D241" s="125"/>
      <c r="G241" s="125"/>
    </row>
    <row r="242" spans="2:7" x14ac:dyDescent="0.3">
      <c r="B242" s="172"/>
      <c r="D242" s="125"/>
      <c r="G242" s="125"/>
    </row>
    <row r="243" spans="2:7" x14ac:dyDescent="0.3">
      <c r="B243" s="172"/>
      <c r="D243" s="125"/>
      <c r="G243" s="125"/>
    </row>
    <row r="244" spans="2:7" x14ac:dyDescent="0.3">
      <c r="B244" s="172"/>
      <c r="D244" s="125"/>
      <c r="G244" s="125"/>
    </row>
    <row r="245" spans="2:7" x14ac:dyDescent="0.3">
      <c r="B245" s="172"/>
      <c r="D245" s="125"/>
      <c r="G245" s="125"/>
    </row>
    <row r="246" spans="2:7" x14ac:dyDescent="0.3">
      <c r="B246" s="172"/>
      <c r="D246" s="125"/>
      <c r="G246" s="125"/>
    </row>
    <row r="247" spans="2:7" x14ac:dyDescent="0.3">
      <c r="B247" s="172"/>
      <c r="D247" s="125"/>
      <c r="G247" s="125"/>
    </row>
    <row r="248" spans="2:7" x14ac:dyDescent="0.3">
      <c r="B248" s="172"/>
      <c r="D248" s="125"/>
      <c r="G248" s="125"/>
    </row>
    <row r="249" spans="2:7" x14ac:dyDescent="0.3">
      <c r="B249" s="172"/>
      <c r="D249" s="125"/>
      <c r="G249" s="125"/>
    </row>
    <row r="250" spans="2:7" x14ac:dyDescent="0.3">
      <c r="B250" s="172"/>
      <c r="D250" s="125"/>
      <c r="G250" s="125"/>
    </row>
    <row r="251" spans="2:7" x14ac:dyDescent="0.3">
      <c r="B251" s="172"/>
      <c r="D251" s="125"/>
      <c r="G251" s="125"/>
    </row>
    <row r="252" spans="2:7" x14ac:dyDescent="0.3">
      <c r="B252" s="172"/>
      <c r="D252" s="125"/>
      <c r="G252" s="125"/>
    </row>
    <row r="253" spans="2:7" x14ac:dyDescent="0.3">
      <c r="B253" s="172"/>
      <c r="D253" s="125"/>
      <c r="G253" s="125"/>
    </row>
    <row r="254" spans="2:7" x14ac:dyDescent="0.3">
      <c r="B254" s="172"/>
      <c r="D254" s="125"/>
      <c r="G254" s="125"/>
    </row>
    <row r="255" spans="2:7" x14ac:dyDescent="0.3">
      <c r="B255" s="172"/>
      <c r="D255" s="125"/>
      <c r="G255" s="125"/>
    </row>
    <row r="256" spans="2:7" x14ac:dyDescent="0.3">
      <c r="B256" s="172"/>
      <c r="D256" s="125"/>
      <c r="G256" s="125"/>
    </row>
    <row r="257" spans="2:7" x14ac:dyDescent="0.3">
      <c r="B257" s="172"/>
      <c r="D257" s="125"/>
      <c r="G257" s="125"/>
    </row>
    <row r="258" spans="2:7" x14ac:dyDescent="0.3">
      <c r="B258" s="172"/>
      <c r="D258" s="125"/>
      <c r="G258" s="125"/>
    </row>
    <row r="259" spans="2:7" x14ac:dyDescent="0.3">
      <c r="B259" s="172"/>
      <c r="D259" s="125"/>
      <c r="G259" s="125"/>
    </row>
    <row r="260" spans="2:7" x14ac:dyDescent="0.3">
      <c r="B260" s="172"/>
      <c r="D260" s="125"/>
      <c r="G260" s="125"/>
    </row>
    <row r="261" spans="2:7" x14ac:dyDescent="0.3">
      <c r="B261" s="172"/>
      <c r="D261" s="125"/>
      <c r="G261" s="125"/>
    </row>
    <row r="262" spans="2:7" x14ac:dyDescent="0.3">
      <c r="B262" s="172"/>
      <c r="D262" s="125"/>
      <c r="G262" s="125"/>
    </row>
    <row r="263" spans="2:7" x14ac:dyDescent="0.3">
      <c r="B263" s="172"/>
      <c r="D263" s="125"/>
      <c r="G263" s="125"/>
    </row>
    <row r="264" spans="2:7" x14ac:dyDescent="0.3">
      <c r="B264" s="172"/>
      <c r="D264" s="125"/>
      <c r="G264" s="125"/>
    </row>
    <row r="265" spans="2:7" x14ac:dyDescent="0.3">
      <c r="B265" s="172"/>
      <c r="D265" s="125"/>
      <c r="G265" s="125"/>
    </row>
    <row r="266" spans="2:7" x14ac:dyDescent="0.3">
      <c r="B266" s="172"/>
      <c r="D266" s="125"/>
      <c r="G266" s="125"/>
    </row>
    <row r="267" spans="2:7" x14ac:dyDescent="0.3">
      <c r="B267" s="172"/>
      <c r="D267" s="125"/>
      <c r="G267" s="125"/>
    </row>
    <row r="268" spans="2:7" x14ac:dyDescent="0.3">
      <c r="B268" s="172"/>
      <c r="D268" s="125"/>
      <c r="G268" s="125"/>
    </row>
    <row r="269" spans="2:7" x14ac:dyDescent="0.3">
      <c r="B269" s="172"/>
      <c r="D269" s="125"/>
      <c r="G269" s="125"/>
    </row>
    <row r="270" spans="2:7" x14ac:dyDescent="0.3">
      <c r="B270" s="172"/>
      <c r="D270" s="125"/>
      <c r="G270" s="125"/>
    </row>
    <row r="271" spans="2:7" x14ac:dyDescent="0.3">
      <c r="B271" s="172"/>
      <c r="D271" s="125"/>
      <c r="G271" s="125"/>
    </row>
    <row r="272" spans="2:7" x14ac:dyDescent="0.3">
      <c r="B272" s="172"/>
      <c r="D272" s="125"/>
      <c r="G272" s="125"/>
    </row>
    <row r="273" spans="2:7" x14ac:dyDescent="0.3">
      <c r="B273" s="172"/>
      <c r="D273" s="125"/>
      <c r="G273" s="125"/>
    </row>
    <row r="274" spans="2:7" x14ac:dyDescent="0.3">
      <c r="B274" s="172"/>
      <c r="D274" s="125"/>
      <c r="G274" s="125"/>
    </row>
    <row r="275" spans="2:7" x14ac:dyDescent="0.3">
      <c r="B275" s="172"/>
      <c r="D275" s="125"/>
      <c r="G275" s="125"/>
    </row>
    <row r="276" spans="2:7" x14ac:dyDescent="0.3">
      <c r="B276" s="172"/>
      <c r="D276" s="125"/>
      <c r="G276" s="125"/>
    </row>
    <row r="277" spans="2:7" x14ac:dyDescent="0.3">
      <c r="B277" s="172"/>
      <c r="D277" s="125"/>
      <c r="G277" s="125"/>
    </row>
    <row r="278" spans="2:7" x14ac:dyDescent="0.3">
      <c r="B278" s="172"/>
      <c r="D278" s="125"/>
      <c r="G278" s="125"/>
    </row>
    <row r="279" spans="2:7" x14ac:dyDescent="0.3">
      <c r="B279" s="172"/>
      <c r="D279" s="125"/>
      <c r="G279" s="125"/>
    </row>
    <row r="280" spans="2:7" x14ac:dyDescent="0.3">
      <c r="B280" s="172"/>
      <c r="D280" s="125"/>
      <c r="G280" s="125"/>
    </row>
    <row r="281" spans="2:7" x14ac:dyDescent="0.3">
      <c r="B281" s="172"/>
      <c r="D281" s="125"/>
      <c r="G281" s="125"/>
    </row>
    <row r="282" spans="2:7" x14ac:dyDescent="0.3">
      <c r="B282" s="172"/>
      <c r="D282" s="125"/>
      <c r="G282" s="125"/>
    </row>
    <row r="283" spans="2:7" x14ac:dyDescent="0.3">
      <c r="B283" s="172"/>
      <c r="D283" s="125"/>
      <c r="G283" s="125"/>
    </row>
    <row r="284" spans="2:7" x14ac:dyDescent="0.3">
      <c r="B284" s="172"/>
      <c r="D284" s="125"/>
      <c r="G284" s="125"/>
    </row>
    <row r="285" spans="2:7" x14ac:dyDescent="0.3">
      <c r="B285" s="172"/>
      <c r="D285" s="125"/>
      <c r="G285" s="125"/>
    </row>
    <row r="286" spans="2:7" x14ac:dyDescent="0.3">
      <c r="B286" s="172"/>
      <c r="D286" s="125"/>
      <c r="G286" s="125"/>
    </row>
    <row r="287" spans="2:7" x14ac:dyDescent="0.3">
      <c r="B287" s="172"/>
      <c r="D287" s="125"/>
      <c r="G287" s="125"/>
    </row>
    <row r="288" spans="2:7" x14ac:dyDescent="0.3">
      <c r="B288" s="172"/>
      <c r="D288" s="125"/>
      <c r="G288" s="125"/>
    </row>
    <row r="289" spans="2:7" x14ac:dyDescent="0.3">
      <c r="B289" s="172"/>
      <c r="D289" s="125"/>
      <c r="G289" s="125"/>
    </row>
    <row r="290" spans="2:7" x14ac:dyDescent="0.3">
      <c r="B290" s="172"/>
      <c r="D290" s="125"/>
      <c r="G290" s="125"/>
    </row>
    <row r="291" spans="2:7" x14ac:dyDescent="0.3">
      <c r="B291" s="172"/>
      <c r="D291" s="125"/>
      <c r="G291" s="125"/>
    </row>
    <row r="292" spans="2:7" x14ac:dyDescent="0.3">
      <c r="B292" s="172"/>
      <c r="D292" s="125"/>
      <c r="G292" s="125"/>
    </row>
    <row r="293" spans="2:7" x14ac:dyDescent="0.3">
      <c r="B293" s="172"/>
      <c r="D293" s="125"/>
      <c r="G293" s="125"/>
    </row>
    <row r="294" spans="2:7" x14ac:dyDescent="0.3">
      <c r="B294" s="172"/>
      <c r="D294" s="125"/>
      <c r="G294" s="125"/>
    </row>
    <row r="295" spans="2:7" x14ac:dyDescent="0.3">
      <c r="B295" s="172"/>
      <c r="D295" s="125"/>
      <c r="G295" s="125"/>
    </row>
    <row r="296" spans="2:7" x14ac:dyDescent="0.3">
      <c r="B296" s="172"/>
      <c r="D296" s="125"/>
      <c r="G296" s="125"/>
    </row>
    <row r="297" spans="2:7" x14ac:dyDescent="0.3">
      <c r="B297" s="172"/>
      <c r="D297" s="125"/>
      <c r="G297" s="125"/>
    </row>
    <row r="298" spans="2:7" x14ac:dyDescent="0.3">
      <c r="B298" s="172"/>
      <c r="D298" s="125"/>
      <c r="G298" s="125"/>
    </row>
    <row r="299" spans="2:7" x14ac:dyDescent="0.3">
      <c r="B299" s="172"/>
      <c r="D299" s="125"/>
      <c r="G299" s="125"/>
    </row>
    <row r="300" spans="2:7" x14ac:dyDescent="0.3">
      <c r="B300" s="172"/>
      <c r="D300" s="125"/>
      <c r="G300" s="125"/>
    </row>
    <row r="301" spans="2:7" x14ac:dyDescent="0.3">
      <c r="B301" s="172"/>
      <c r="D301" s="125"/>
      <c r="G301" s="125"/>
    </row>
    <row r="302" spans="2:7" x14ac:dyDescent="0.3">
      <c r="B302" s="172"/>
      <c r="D302" s="125"/>
      <c r="G302" s="125"/>
    </row>
    <row r="303" spans="2:7" x14ac:dyDescent="0.3">
      <c r="B303" s="172"/>
      <c r="D303" s="125"/>
      <c r="G303" s="125"/>
    </row>
    <row r="304" spans="2:7" x14ac:dyDescent="0.3">
      <c r="B304" s="172"/>
      <c r="D304" s="125"/>
      <c r="G304" s="125"/>
    </row>
    <row r="305" spans="2:7" x14ac:dyDescent="0.3">
      <c r="B305" s="172"/>
      <c r="D305" s="125"/>
      <c r="G305" s="125"/>
    </row>
    <row r="306" spans="2:7" x14ac:dyDescent="0.3">
      <c r="B306" s="172"/>
      <c r="D306" s="125"/>
      <c r="G306" s="125"/>
    </row>
    <row r="307" spans="2:7" x14ac:dyDescent="0.3">
      <c r="B307" s="172"/>
      <c r="D307" s="125"/>
      <c r="G307" s="125"/>
    </row>
    <row r="308" spans="2:7" x14ac:dyDescent="0.3">
      <c r="B308" s="172"/>
      <c r="D308" s="125"/>
      <c r="G308" s="125"/>
    </row>
    <row r="309" spans="2:7" x14ac:dyDescent="0.3">
      <c r="B309" s="172"/>
      <c r="D309" s="125"/>
      <c r="G309" s="125"/>
    </row>
    <row r="310" spans="2:7" x14ac:dyDescent="0.3">
      <c r="B310" s="172"/>
      <c r="D310" s="125"/>
      <c r="G310" s="125"/>
    </row>
    <row r="311" spans="2:7" x14ac:dyDescent="0.3">
      <c r="B311" s="172"/>
      <c r="D311" s="125"/>
      <c r="G311" s="125"/>
    </row>
    <row r="312" spans="2:7" x14ac:dyDescent="0.3">
      <c r="B312" s="172"/>
      <c r="D312" s="125"/>
      <c r="G312" s="125"/>
    </row>
    <row r="313" spans="2:7" x14ac:dyDescent="0.3">
      <c r="B313" s="172"/>
      <c r="D313" s="125"/>
      <c r="G313" s="125"/>
    </row>
    <row r="314" spans="2:7" x14ac:dyDescent="0.3">
      <c r="B314" s="172"/>
      <c r="D314" s="125"/>
      <c r="G314" s="125"/>
    </row>
    <row r="315" spans="2:7" x14ac:dyDescent="0.3">
      <c r="B315" s="172"/>
      <c r="D315" s="125"/>
      <c r="G315" s="125"/>
    </row>
    <row r="316" spans="2:7" x14ac:dyDescent="0.3">
      <c r="B316" s="172"/>
      <c r="D316" s="125"/>
      <c r="G316" s="125"/>
    </row>
    <row r="317" spans="2:7" x14ac:dyDescent="0.3">
      <c r="B317" s="172"/>
      <c r="D317" s="125"/>
      <c r="G317" s="125"/>
    </row>
    <row r="318" spans="2:7" x14ac:dyDescent="0.3">
      <c r="B318" s="172"/>
      <c r="D318" s="125"/>
      <c r="G318" s="125"/>
    </row>
    <row r="319" spans="2:7" x14ac:dyDescent="0.3">
      <c r="B319" s="172"/>
      <c r="D319" s="125"/>
      <c r="G319" s="125"/>
    </row>
    <row r="320" spans="2:7" x14ac:dyDescent="0.3">
      <c r="B320" s="172"/>
      <c r="D320" s="125"/>
      <c r="G320" s="125"/>
    </row>
    <row r="321" spans="2:7" x14ac:dyDescent="0.3">
      <c r="B321" s="172"/>
      <c r="D321" s="125"/>
      <c r="G321" s="125"/>
    </row>
    <row r="322" spans="2:7" x14ac:dyDescent="0.3">
      <c r="B322" s="172"/>
      <c r="D322" s="125"/>
      <c r="G322" s="125"/>
    </row>
    <row r="323" spans="2:7" x14ac:dyDescent="0.3">
      <c r="B323" s="172"/>
      <c r="D323" s="125"/>
      <c r="G323" s="125"/>
    </row>
    <row r="324" spans="2:7" x14ac:dyDescent="0.3">
      <c r="B324" s="172"/>
      <c r="D324" s="125"/>
      <c r="G324" s="125"/>
    </row>
    <row r="325" spans="2:7" x14ac:dyDescent="0.3">
      <c r="B325" s="172"/>
      <c r="D325" s="125"/>
      <c r="G325" s="125"/>
    </row>
    <row r="326" spans="2:7" x14ac:dyDescent="0.3">
      <c r="B326" s="172"/>
      <c r="D326" s="125"/>
      <c r="G326" s="125"/>
    </row>
    <row r="327" spans="2:7" x14ac:dyDescent="0.3">
      <c r="B327" s="172"/>
      <c r="D327" s="125"/>
      <c r="G327" s="125"/>
    </row>
    <row r="328" spans="2:7" x14ac:dyDescent="0.3">
      <c r="B328" s="172"/>
      <c r="D328" s="125"/>
      <c r="G328" s="125"/>
    </row>
    <row r="329" spans="2:7" x14ac:dyDescent="0.3">
      <c r="B329" s="172"/>
      <c r="D329" s="125"/>
      <c r="G329" s="125"/>
    </row>
    <row r="330" spans="2:7" x14ac:dyDescent="0.3">
      <c r="B330" s="172"/>
      <c r="D330" s="125"/>
      <c r="G330" s="125"/>
    </row>
    <row r="331" spans="2:7" x14ac:dyDescent="0.3">
      <c r="B331" s="172"/>
      <c r="D331" s="125"/>
      <c r="G331" s="125"/>
    </row>
    <row r="332" spans="2:7" x14ac:dyDescent="0.3">
      <c r="B332" s="172"/>
      <c r="D332" s="125"/>
      <c r="G332" s="125"/>
    </row>
    <row r="333" spans="2:7" x14ac:dyDescent="0.3">
      <c r="B333" s="172"/>
      <c r="D333" s="125"/>
      <c r="G333" s="125"/>
    </row>
    <row r="334" spans="2:7" x14ac:dyDescent="0.3">
      <c r="B334" s="172"/>
      <c r="D334" s="125"/>
      <c r="G334" s="125"/>
    </row>
    <row r="335" spans="2:7" x14ac:dyDescent="0.3">
      <c r="B335" s="172"/>
      <c r="D335" s="125"/>
      <c r="G335" s="125"/>
    </row>
    <row r="336" spans="2:7" x14ac:dyDescent="0.3">
      <c r="B336" s="172"/>
      <c r="D336" s="125"/>
      <c r="G336" s="125"/>
    </row>
    <row r="337" spans="2:7" x14ac:dyDescent="0.3">
      <c r="B337" s="172"/>
      <c r="D337" s="125"/>
      <c r="G337" s="125"/>
    </row>
    <row r="338" spans="2:7" x14ac:dyDescent="0.3">
      <c r="B338" s="172"/>
      <c r="D338" s="125"/>
      <c r="G338" s="125"/>
    </row>
    <row r="339" spans="2:7" x14ac:dyDescent="0.3">
      <c r="B339" s="172"/>
      <c r="D339" s="125"/>
      <c r="G339" s="125"/>
    </row>
    <row r="340" spans="2:7" x14ac:dyDescent="0.3">
      <c r="B340" s="172"/>
      <c r="D340" s="125"/>
      <c r="G340" s="125"/>
    </row>
    <row r="341" spans="2:7" x14ac:dyDescent="0.3">
      <c r="B341" s="172"/>
      <c r="D341" s="125"/>
      <c r="G341" s="125"/>
    </row>
    <row r="342" spans="2:7" x14ac:dyDescent="0.3">
      <c r="B342" s="172"/>
      <c r="D342" s="125"/>
      <c r="G342" s="125"/>
    </row>
    <row r="343" spans="2:7" x14ac:dyDescent="0.3">
      <c r="B343" s="172"/>
      <c r="D343" s="125"/>
      <c r="G343" s="125"/>
    </row>
    <row r="344" spans="2:7" x14ac:dyDescent="0.3">
      <c r="B344" s="172"/>
      <c r="D344" s="125"/>
      <c r="G344" s="125"/>
    </row>
    <row r="345" spans="2:7" x14ac:dyDescent="0.3">
      <c r="B345" s="172"/>
      <c r="D345" s="125"/>
      <c r="G345" s="125"/>
    </row>
    <row r="346" spans="2:7" x14ac:dyDescent="0.3">
      <c r="B346" s="172"/>
      <c r="D346" s="125"/>
      <c r="G346" s="125"/>
    </row>
    <row r="347" spans="2:7" x14ac:dyDescent="0.3">
      <c r="B347" s="172"/>
      <c r="D347" s="125"/>
      <c r="G347" s="125"/>
    </row>
    <row r="348" spans="2:7" x14ac:dyDescent="0.3">
      <c r="B348" s="172"/>
      <c r="D348" s="125"/>
      <c r="G348" s="125"/>
    </row>
    <row r="349" spans="2:7" x14ac:dyDescent="0.3">
      <c r="B349" s="172"/>
      <c r="D349" s="125"/>
      <c r="G349" s="125"/>
    </row>
    <row r="350" spans="2:7" x14ac:dyDescent="0.3">
      <c r="B350" s="172"/>
      <c r="D350" s="125"/>
      <c r="G350" s="125"/>
    </row>
    <row r="351" spans="2:7" x14ac:dyDescent="0.3">
      <c r="B351" s="172"/>
      <c r="D351" s="125"/>
      <c r="G351" s="125"/>
    </row>
    <row r="352" spans="2:7" x14ac:dyDescent="0.3">
      <c r="B352" s="172"/>
      <c r="D352" s="125"/>
      <c r="G352" s="125"/>
    </row>
    <row r="353" spans="2:7" x14ac:dyDescent="0.3">
      <c r="B353" s="172"/>
      <c r="D353" s="125"/>
      <c r="G353" s="125"/>
    </row>
    <row r="354" spans="2:7" x14ac:dyDescent="0.3">
      <c r="B354" s="172"/>
      <c r="D354" s="125"/>
      <c r="G354" s="125"/>
    </row>
    <row r="355" spans="2:7" x14ac:dyDescent="0.3">
      <c r="B355" s="172"/>
      <c r="D355" s="125"/>
      <c r="G355" s="125"/>
    </row>
    <row r="356" spans="2:7" x14ac:dyDescent="0.3">
      <c r="B356" s="172"/>
      <c r="D356" s="125"/>
      <c r="G356" s="125"/>
    </row>
    <row r="357" spans="2:7" x14ac:dyDescent="0.3">
      <c r="B357" s="172"/>
      <c r="D357" s="125"/>
      <c r="G357" s="125"/>
    </row>
    <row r="358" spans="2:7" x14ac:dyDescent="0.3">
      <c r="B358" s="172"/>
      <c r="D358" s="125"/>
      <c r="G358" s="125"/>
    </row>
    <row r="359" spans="2:7" x14ac:dyDescent="0.3">
      <c r="B359" s="172"/>
      <c r="D359" s="125"/>
      <c r="G359" s="125"/>
    </row>
    <row r="360" spans="2:7" x14ac:dyDescent="0.3">
      <c r="B360" s="172"/>
      <c r="D360" s="125"/>
      <c r="G360" s="125"/>
    </row>
    <row r="361" spans="2:7" x14ac:dyDescent="0.3">
      <c r="B361" s="172"/>
      <c r="D361" s="125"/>
      <c r="G361" s="125"/>
    </row>
    <row r="362" spans="2:7" x14ac:dyDescent="0.3">
      <c r="B362" s="172"/>
      <c r="D362" s="125"/>
      <c r="G362" s="125"/>
    </row>
    <row r="363" spans="2:7" x14ac:dyDescent="0.3">
      <c r="B363" s="172"/>
      <c r="D363" s="125"/>
      <c r="G363" s="125"/>
    </row>
    <row r="364" spans="2:7" x14ac:dyDescent="0.3">
      <c r="B364" s="172"/>
      <c r="D364" s="125"/>
      <c r="G364" s="125"/>
    </row>
    <row r="365" spans="2:7" x14ac:dyDescent="0.3">
      <c r="B365" s="172"/>
      <c r="D365" s="125"/>
      <c r="G365" s="125"/>
    </row>
    <row r="366" spans="2:7" x14ac:dyDescent="0.3">
      <c r="B366" s="172"/>
      <c r="D366" s="125"/>
      <c r="G366" s="125"/>
    </row>
    <row r="367" spans="2:7" x14ac:dyDescent="0.3">
      <c r="B367" s="172"/>
      <c r="D367" s="125"/>
      <c r="G367" s="125"/>
    </row>
    <row r="368" spans="2:7" x14ac:dyDescent="0.3">
      <c r="B368" s="172"/>
      <c r="D368" s="125"/>
      <c r="G368" s="125"/>
    </row>
    <row r="369" spans="2:7" x14ac:dyDescent="0.3">
      <c r="B369" s="172"/>
      <c r="D369" s="125"/>
      <c r="G369" s="125"/>
    </row>
    <row r="370" spans="2:7" x14ac:dyDescent="0.3">
      <c r="B370" s="172"/>
      <c r="D370" s="125"/>
      <c r="G370" s="125"/>
    </row>
    <row r="371" spans="2:7" x14ac:dyDescent="0.3">
      <c r="B371" s="172"/>
      <c r="D371" s="125"/>
      <c r="G371" s="125"/>
    </row>
    <row r="372" spans="2:7" x14ac:dyDescent="0.3">
      <c r="B372" s="172"/>
      <c r="D372" s="125"/>
      <c r="G372" s="125"/>
    </row>
    <row r="373" spans="2:7" x14ac:dyDescent="0.3">
      <c r="B373" s="172"/>
      <c r="D373" s="125"/>
      <c r="G373" s="125"/>
    </row>
    <row r="374" spans="2:7" x14ac:dyDescent="0.3">
      <c r="B374" s="172"/>
      <c r="D374" s="125"/>
      <c r="G374" s="125"/>
    </row>
    <row r="375" spans="2:7" x14ac:dyDescent="0.3">
      <c r="B375" s="172"/>
      <c r="D375" s="125"/>
      <c r="G375" s="125"/>
    </row>
    <row r="376" spans="2:7" x14ac:dyDescent="0.3">
      <c r="B376" s="172"/>
      <c r="D376" s="125"/>
      <c r="G376" s="125"/>
    </row>
    <row r="377" spans="2:7" x14ac:dyDescent="0.3">
      <c r="B377" s="172"/>
      <c r="D377" s="125"/>
      <c r="G377" s="125"/>
    </row>
    <row r="378" spans="2:7" x14ac:dyDescent="0.3">
      <c r="B378" s="172"/>
      <c r="D378" s="125"/>
      <c r="G378" s="125"/>
    </row>
    <row r="379" spans="2:7" x14ac:dyDescent="0.3">
      <c r="B379" s="172"/>
      <c r="D379" s="125"/>
      <c r="G379" s="125"/>
    </row>
    <row r="380" spans="2:7" x14ac:dyDescent="0.3">
      <c r="B380" s="172"/>
      <c r="D380" s="125"/>
      <c r="G380" s="125"/>
    </row>
    <row r="381" spans="2:7" x14ac:dyDescent="0.3">
      <c r="B381" s="172"/>
      <c r="D381" s="125"/>
      <c r="G381" s="125"/>
    </row>
    <row r="382" spans="2:7" x14ac:dyDescent="0.3">
      <c r="B382" s="172"/>
      <c r="D382" s="125"/>
      <c r="G382" s="125"/>
    </row>
    <row r="383" spans="2:7" x14ac:dyDescent="0.3">
      <c r="B383" s="172"/>
      <c r="D383" s="125"/>
      <c r="G383" s="125"/>
    </row>
    <row r="384" spans="2:7" x14ac:dyDescent="0.3">
      <c r="B384" s="172"/>
      <c r="D384" s="125"/>
      <c r="G384" s="125"/>
    </row>
    <row r="385" spans="2:7" x14ac:dyDescent="0.3">
      <c r="B385" s="172"/>
      <c r="D385" s="125"/>
      <c r="G385" s="125"/>
    </row>
    <row r="386" spans="2:7" x14ac:dyDescent="0.3">
      <c r="B386" s="172"/>
      <c r="D386" s="125"/>
      <c r="G386" s="125"/>
    </row>
    <row r="387" spans="2:7" x14ac:dyDescent="0.3">
      <c r="B387" s="172"/>
      <c r="D387" s="125"/>
      <c r="G387" s="125"/>
    </row>
    <row r="388" spans="2:7" x14ac:dyDescent="0.3">
      <c r="B388" s="172"/>
      <c r="D388" s="125"/>
      <c r="G388" s="125"/>
    </row>
    <row r="389" spans="2:7" x14ac:dyDescent="0.3">
      <c r="B389" s="172"/>
      <c r="D389" s="125"/>
      <c r="G389" s="125"/>
    </row>
    <row r="390" spans="2:7" x14ac:dyDescent="0.3">
      <c r="B390" s="172"/>
      <c r="D390" s="125"/>
      <c r="G390" s="125"/>
    </row>
    <row r="391" spans="2:7" x14ac:dyDescent="0.3">
      <c r="B391" s="172"/>
      <c r="D391" s="125"/>
      <c r="G391" s="125"/>
    </row>
    <row r="392" spans="2:7" x14ac:dyDescent="0.3">
      <c r="B392" s="172"/>
      <c r="D392" s="125"/>
      <c r="G392" s="125"/>
    </row>
    <row r="393" spans="2:7" x14ac:dyDescent="0.3">
      <c r="B393" s="172"/>
      <c r="D393" s="125"/>
      <c r="G393" s="125"/>
    </row>
    <row r="394" spans="2:7" x14ac:dyDescent="0.3">
      <c r="B394" s="172"/>
      <c r="D394" s="125"/>
      <c r="G394" s="125"/>
    </row>
    <row r="395" spans="2:7" x14ac:dyDescent="0.3">
      <c r="B395" s="172"/>
      <c r="D395" s="125"/>
      <c r="G395" s="125"/>
    </row>
    <row r="396" spans="2:7" x14ac:dyDescent="0.3">
      <c r="B396" s="172"/>
      <c r="D396" s="125"/>
      <c r="G396" s="125"/>
    </row>
    <row r="397" spans="2:7" x14ac:dyDescent="0.3">
      <c r="B397" s="172"/>
      <c r="D397" s="125"/>
      <c r="G397" s="125"/>
    </row>
    <row r="398" spans="2:7" x14ac:dyDescent="0.3">
      <c r="B398" s="172"/>
      <c r="D398" s="125"/>
      <c r="G398" s="125"/>
    </row>
    <row r="399" spans="2:7" x14ac:dyDescent="0.3">
      <c r="B399" s="172"/>
      <c r="D399" s="125"/>
      <c r="G399" s="125"/>
    </row>
    <row r="400" spans="2:7" x14ac:dyDescent="0.3">
      <c r="B400" s="172"/>
      <c r="D400" s="125"/>
      <c r="G400" s="125"/>
    </row>
    <row r="401" spans="2:7" x14ac:dyDescent="0.3">
      <c r="B401" s="172"/>
      <c r="D401" s="125"/>
      <c r="G401" s="125"/>
    </row>
    <row r="402" spans="2:7" x14ac:dyDescent="0.3">
      <c r="B402" s="172"/>
      <c r="D402" s="125"/>
      <c r="G402" s="125"/>
    </row>
    <row r="403" spans="2:7" x14ac:dyDescent="0.3">
      <c r="B403" s="172"/>
      <c r="D403" s="125"/>
      <c r="G403" s="125"/>
    </row>
    <row r="404" spans="2:7" x14ac:dyDescent="0.3">
      <c r="B404" s="172"/>
      <c r="D404" s="125"/>
      <c r="G404" s="125"/>
    </row>
    <row r="405" spans="2:7" x14ac:dyDescent="0.3">
      <c r="B405" s="172"/>
      <c r="D405" s="125"/>
      <c r="G405" s="125"/>
    </row>
    <row r="406" spans="2:7" x14ac:dyDescent="0.3">
      <c r="B406" s="172"/>
      <c r="D406" s="125"/>
      <c r="G406" s="125"/>
    </row>
    <row r="407" spans="2:7" x14ac:dyDescent="0.3">
      <c r="B407" s="172"/>
      <c r="D407" s="125"/>
      <c r="G407" s="125"/>
    </row>
    <row r="408" spans="2:7" x14ac:dyDescent="0.3">
      <c r="B408" s="172"/>
      <c r="D408" s="125"/>
      <c r="G408" s="125"/>
    </row>
    <row r="409" spans="2:7" x14ac:dyDescent="0.3">
      <c r="B409" s="172"/>
      <c r="D409" s="125"/>
      <c r="G409" s="125"/>
    </row>
    <row r="410" spans="2:7" x14ac:dyDescent="0.3">
      <c r="B410" s="172"/>
      <c r="D410" s="125"/>
      <c r="G410" s="125"/>
    </row>
    <row r="411" spans="2:7" x14ac:dyDescent="0.3">
      <c r="B411" s="172"/>
      <c r="D411" s="125"/>
      <c r="G411" s="125"/>
    </row>
    <row r="412" spans="2:7" x14ac:dyDescent="0.3">
      <c r="B412" s="172"/>
      <c r="D412" s="125"/>
      <c r="G412" s="125"/>
    </row>
    <row r="413" spans="2:7" x14ac:dyDescent="0.3">
      <c r="B413" s="172"/>
      <c r="D413" s="125"/>
      <c r="G413" s="125"/>
    </row>
    <row r="414" spans="2:7" x14ac:dyDescent="0.3">
      <c r="B414" s="172"/>
      <c r="D414" s="125"/>
      <c r="G414" s="125"/>
    </row>
    <row r="415" spans="2:7" x14ac:dyDescent="0.3">
      <c r="B415" s="172"/>
      <c r="D415" s="125"/>
      <c r="G415" s="125"/>
    </row>
    <row r="416" spans="2:7" x14ac:dyDescent="0.3">
      <c r="B416" s="172"/>
      <c r="D416" s="125"/>
      <c r="G416" s="125"/>
    </row>
    <row r="417" spans="2:7" x14ac:dyDescent="0.3">
      <c r="B417" s="172"/>
      <c r="D417" s="125"/>
      <c r="G417" s="125"/>
    </row>
    <row r="418" spans="2:7" x14ac:dyDescent="0.3">
      <c r="B418" s="172"/>
      <c r="D418" s="125"/>
      <c r="G418" s="125"/>
    </row>
    <row r="419" spans="2:7" x14ac:dyDescent="0.3">
      <c r="B419" s="172"/>
      <c r="D419" s="125"/>
      <c r="G419" s="125"/>
    </row>
    <row r="420" spans="2:7" x14ac:dyDescent="0.3">
      <c r="B420" s="172"/>
      <c r="D420" s="125"/>
      <c r="G420" s="125"/>
    </row>
    <row r="421" spans="2:7" x14ac:dyDescent="0.3">
      <c r="B421" s="172"/>
      <c r="D421" s="125"/>
      <c r="G421" s="125"/>
    </row>
    <row r="422" spans="2:7" x14ac:dyDescent="0.3">
      <c r="B422" s="172"/>
      <c r="D422" s="125"/>
      <c r="G422" s="125"/>
    </row>
    <row r="423" spans="2:7" x14ac:dyDescent="0.3">
      <c r="B423" s="172"/>
      <c r="D423" s="125"/>
      <c r="G423" s="125"/>
    </row>
    <row r="424" spans="2:7" x14ac:dyDescent="0.3">
      <c r="B424" s="172"/>
      <c r="D424" s="125"/>
      <c r="G424" s="125"/>
    </row>
    <row r="425" spans="2:7" x14ac:dyDescent="0.3">
      <c r="B425" s="172"/>
      <c r="D425" s="125"/>
      <c r="G425" s="125"/>
    </row>
    <row r="426" spans="2:7" x14ac:dyDescent="0.3">
      <c r="B426" s="172"/>
      <c r="D426" s="125"/>
      <c r="G426" s="125"/>
    </row>
    <row r="427" spans="2:7" x14ac:dyDescent="0.3">
      <c r="B427" s="172"/>
      <c r="D427" s="125"/>
      <c r="G427" s="125"/>
    </row>
    <row r="428" spans="2:7" x14ac:dyDescent="0.3">
      <c r="B428" s="172"/>
      <c r="D428" s="125"/>
      <c r="G428" s="125"/>
    </row>
    <row r="429" spans="2:7" x14ac:dyDescent="0.3">
      <c r="B429" s="172"/>
      <c r="D429" s="125"/>
      <c r="G429" s="125"/>
    </row>
    <row r="430" spans="2:7" x14ac:dyDescent="0.3">
      <c r="B430" s="172"/>
      <c r="D430" s="125"/>
      <c r="G430" s="125"/>
    </row>
    <row r="431" spans="2:7" x14ac:dyDescent="0.3">
      <c r="B431" s="172"/>
      <c r="D431" s="125"/>
      <c r="G431" s="125"/>
    </row>
    <row r="432" spans="2:7" x14ac:dyDescent="0.3">
      <c r="B432" s="172"/>
      <c r="D432" s="125"/>
      <c r="G432" s="125"/>
    </row>
    <row r="433" spans="2:7" x14ac:dyDescent="0.3">
      <c r="B433" s="172"/>
      <c r="D433" s="125"/>
      <c r="G433" s="125"/>
    </row>
    <row r="434" spans="2:7" x14ac:dyDescent="0.3">
      <c r="B434" s="172"/>
      <c r="D434" s="125"/>
      <c r="G434" s="125"/>
    </row>
    <row r="435" spans="2:7" x14ac:dyDescent="0.3">
      <c r="B435" s="172"/>
      <c r="D435" s="125"/>
      <c r="G435" s="125"/>
    </row>
    <row r="436" spans="2:7" x14ac:dyDescent="0.3">
      <c r="B436" s="172"/>
      <c r="D436" s="125"/>
      <c r="G436" s="125"/>
    </row>
    <row r="437" spans="2:7" x14ac:dyDescent="0.3">
      <c r="B437" s="172"/>
      <c r="D437" s="125"/>
      <c r="G437" s="125"/>
    </row>
    <row r="438" spans="2:7" x14ac:dyDescent="0.3">
      <c r="B438" s="172"/>
      <c r="D438" s="125"/>
      <c r="G438" s="125"/>
    </row>
    <row r="439" spans="2:7" x14ac:dyDescent="0.3">
      <c r="B439" s="172"/>
      <c r="D439" s="125"/>
      <c r="G439" s="125"/>
    </row>
    <row r="440" spans="2:7" x14ac:dyDescent="0.3">
      <c r="B440" s="172"/>
      <c r="D440" s="125"/>
      <c r="G440" s="125"/>
    </row>
    <row r="441" spans="2:7" x14ac:dyDescent="0.3">
      <c r="B441" s="172"/>
      <c r="D441" s="125"/>
      <c r="G441" s="125"/>
    </row>
  </sheetData>
  <mergeCells count="4">
    <mergeCell ref="B4:D4"/>
    <mergeCell ref="F4:G4"/>
    <mergeCell ref="I4:J4"/>
    <mergeCell ref="B2:J2"/>
  </mergeCells>
  <pageMargins left="0.7" right="0.7" top="0.75" bottom="0.75" header="0.3" footer="0.3"/>
  <pageSetup scale="52"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Data Sheet</vt:lpstr>
      <vt:lpstr>Historical FS</vt:lpstr>
      <vt:lpstr>Ratio Analysis</vt:lpstr>
      <vt:lpstr>Forecasting</vt:lpstr>
      <vt:lpstr>Dupont Analysis</vt:lpstr>
      <vt:lpstr>Common Size State.</vt:lpstr>
      <vt:lpstr>ROIC</vt:lpstr>
      <vt:lpstr>WACC</vt:lpstr>
      <vt:lpstr>Terminal Value</vt:lpstr>
      <vt:lpstr>Footbal Feild Analysis</vt:lpstr>
      <vt:lpstr>Peers</vt:lpstr>
      <vt:lpstr>VAR</vt:lpstr>
      <vt:lpstr>Monte Carlo</vt:lpstr>
      <vt:lpstr>Rough</vt:lpstr>
      <vt:lpstr>Report</vt:lpstr>
      <vt:lpstr>Raw CF Data</vt:lpstr>
      <vt:lpstr>Beta - Comp.</vt:lpstr>
      <vt:lpstr>DCF</vt:lpstr>
      <vt:lpstr>Return on Market(Rm)</vt:lpstr>
      <vt:lpstr>Regression Beta - Cipla</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SHEETAL SINGH PARMAR</cp:lastModifiedBy>
  <cp:lastPrinted>2024-03-02T13:03:55Z</cp:lastPrinted>
  <dcterms:created xsi:type="dcterms:W3CDTF">2012-08-17T09:55:37Z</dcterms:created>
  <dcterms:modified xsi:type="dcterms:W3CDTF">2024-03-03T10:49:13Z</dcterms:modified>
</cp:coreProperties>
</file>