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1220" windowHeight="19160" tabRatio="814" firstSheet="2" activeTab="3"/>
  </bookViews>
  <sheets>
    <sheet name="MOTOR-SPECS" sheetId="4" r:id="rId1"/>
    <sheet name="2-Speed Drive" sheetId="1" r:id="rId2"/>
    <sheet name="1-Speed Drive" sheetId="6" r:id="rId3"/>
    <sheet name="Rotary Mechanism" sheetId="8" r:id="rId4"/>
    <sheet name="Linear Mechanism" sheetId="9" r:id="rId5"/>
    <sheet name="Intake Mechanism" sheetId="10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10" i="4"/>
  <c r="D17" i="4"/>
  <c r="G6" i="4"/>
  <c r="G27" i="4"/>
  <c r="G26" i="4"/>
  <c r="G24" i="4"/>
  <c r="G25" i="4"/>
  <c r="G23" i="4"/>
  <c r="G31" i="4"/>
  <c r="F36" i="4"/>
  <c r="E36" i="4"/>
  <c r="F37" i="4"/>
  <c r="E37" i="4"/>
  <c r="D37" i="4"/>
  <c r="D36" i="4"/>
  <c r="C36" i="4"/>
  <c r="G36" i="4"/>
  <c r="C37" i="4"/>
  <c r="G37" i="4"/>
  <c r="G18" i="4"/>
  <c r="G20" i="4"/>
  <c r="C19" i="4"/>
  <c r="D19" i="4"/>
  <c r="G19" i="4"/>
  <c r="C17" i="4"/>
  <c r="G17" i="4"/>
  <c r="G30" i="4"/>
  <c r="G29" i="4"/>
  <c r="G32" i="4"/>
  <c r="G14" i="4"/>
  <c r="G15" i="4"/>
  <c r="G34" i="4"/>
  <c r="G33" i="4"/>
  <c r="G21" i="4"/>
  <c r="G13" i="4"/>
  <c r="G9" i="4"/>
  <c r="G5" i="4"/>
  <c r="G17" i="10"/>
  <c r="F13" i="10"/>
  <c r="G13" i="10"/>
  <c r="F17" i="10"/>
  <c r="F12" i="10"/>
  <c r="G12" i="10"/>
  <c r="F17" i="8"/>
  <c r="F12" i="8"/>
  <c r="G17" i="8"/>
  <c r="F13" i="8"/>
  <c r="G13" i="8"/>
  <c r="C16" i="10"/>
  <c r="G17" i="9"/>
  <c r="F13" i="9"/>
  <c r="G13" i="9"/>
  <c r="F12" i="9"/>
  <c r="G12" i="9"/>
  <c r="F17" i="9"/>
  <c r="C16" i="9"/>
  <c r="C16" i="8"/>
  <c r="I12" i="6"/>
  <c r="K16" i="1"/>
  <c r="K12" i="1"/>
  <c r="F13" i="6"/>
  <c r="I17" i="1"/>
  <c r="I13" i="1"/>
  <c r="G12" i="6"/>
  <c r="F12" i="6"/>
  <c r="J12" i="1"/>
  <c r="I12" i="1"/>
  <c r="J16" i="1"/>
  <c r="I16" i="1"/>
  <c r="C16" i="1"/>
  <c r="G51" i="4"/>
  <c r="G3" i="4"/>
  <c r="G12" i="4"/>
  <c r="H50" i="4"/>
  <c r="G50" i="4"/>
  <c r="G49" i="4"/>
  <c r="G11" i="4"/>
  <c r="G8" i="4"/>
  <c r="G12" i="8"/>
</calcChain>
</file>

<file path=xl/sharedStrings.xml><?xml version="1.0" encoding="utf-8"?>
<sst xmlns="http://schemas.openxmlformats.org/spreadsheetml/2006/main" count="148" uniqueCount="93">
  <si>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</si>
  <si>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</si>
  <si>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</si>
  <si>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</si>
  <si>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</si>
  <si>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</si>
  <si>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</si>
  <si>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</si>
  <si>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</si>
  <si>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</si>
  <si>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</si>
  <si>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</si>
  <si>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</si>
  <si>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</si>
  <si>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</si>
  <si>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</si>
  <si>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</si>
  <si>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</si>
  <si>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</si>
  <si>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RS-550</t>
  </si>
  <si>
    <t>MiniCIM</t>
  </si>
  <si>
    <t>CIM + MiniCIM @ 1:1</t>
  </si>
  <si>
    <t>CIM + MiniCIM @ 14:12</t>
  </si>
  <si>
    <t>CIM+550 @ 4:1</t>
  </si>
  <si>
    <t># Gearboxes in Drivetrain</t>
  </si>
  <si>
    <t># Motors per Gearbox</t>
  </si>
  <si>
    <t>&lt;-- High Gear</t>
  </si>
  <si>
    <t>&lt;-- Low Gear</t>
  </si>
  <si>
    <t>&lt;-- Overall Gear Ratio</t>
  </si>
  <si>
    <t>Total Robot Weight (lbs)</t>
  </si>
  <si>
    <t>Drivetrain Free-Speed</t>
  </si>
  <si>
    <t>Drivetrain Adjusted Speed</t>
  </si>
  <si>
    <t>Pushing Match Current per Motor</t>
  </si>
  <si>
    <t>Drivetrain High Gear Free-Speed</t>
  </si>
  <si>
    <t>Drivetrain High Gear Adjusted Speed</t>
  </si>
  <si>
    <t>Drivetrain Low Gear Free-Speed</t>
  </si>
  <si>
    <t>Drivetrain Low Gear Adjusted 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</si>
  <si>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</si>
  <si>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</si>
  <si>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</si>
  <si>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</si>
  <si>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</si>
  <si>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</si>
  <si>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</si>
  <si>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</si>
  <si>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</si>
  <si>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</si>
  <si>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</si>
  <si>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</si>
  <si>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</si>
  <si>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</si>
  <si>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</si>
  <si>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</si>
  <si>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</si>
  <si>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</si>
  <si>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</si>
  <si>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</si>
  <si>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</si>
  <si>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</si>
  <si>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</si>
  <si>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RS-775-18 (@12V)</t>
  </si>
  <si>
    <t>BAG Motor</t>
  </si>
  <si>
    <t>RS-775-12</t>
  </si>
  <si>
    <t>RS-545-12</t>
  </si>
  <si>
    <t>RS-540-12</t>
  </si>
  <si>
    <t>AM 9015</t>
  </si>
  <si>
    <t>RS395-12</t>
  </si>
  <si>
    <t>RS390-12</t>
  </si>
  <si>
    <t>Snowblower motor</t>
  </si>
  <si>
    <t>Keyang
Window Motor RH</t>
  </si>
  <si>
    <t>VEX 393 Motor (as shipped)</t>
  </si>
  <si>
    <t>VEX 393 Motor (high speed)</t>
  </si>
  <si>
    <t>AM PG71 Gearmotor</t>
  </si>
  <si>
    <t>AM PG Motor (no gearbox)</t>
  </si>
  <si>
    <t>AM PG27 Gearmotor</t>
  </si>
  <si>
    <t>AM PG188 Gearmotor</t>
  </si>
  <si>
    <t>Denso Window Motor RH 262100-3030 (fc13-103)</t>
  </si>
  <si>
    <t>Denso Window Motor LH 262100-3040 (fc13-102)</t>
  </si>
  <si>
    <r>
      <t>Denso Throttle Control AE235100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0160</t>
    </r>
  </si>
  <si>
    <t>FP 00801-0673</t>
  </si>
  <si>
    <t>FP 00968-2719</t>
  </si>
  <si>
    <t>FP 00968-9015</t>
  </si>
  <si>
    <t>FP 00968-9012</t>
  </si>
  <si>
    <t>FP 00968-9013</t>
  </si>
  <si>
    <r>
      <t>Nippon-Denso E6DF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14A365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BB or E6DF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14A366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BB</t>
    </r>
  </si>
  <si>
    <t>Motor Specifications (listed @12V)</t>
  </si>
  <si>
    <t>BAG Motor w/ 100:1 VersaPlanetary</t>
  </si>
  <si>
    <t>Stall Drag Load</t>
  </si>
  <si>
    <t>Current Draw per Motor (loaded)</t>
  </si>
  <si>
    <t>1-Speed Drivetrain</t>
  </si>
  <si>
    <t>2-Speed Drivetrain</t>
  </si>
  <si>
    <t>Stall Torque (N-m)</t>
  </si>
  <si>
    <t>RS-555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</si>
</sst>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  <numFmt numFmtId="172" formatCode="0.0\ &quot;in/s&quot;"/>
    <numFmt numFmtId="173" formatCode="0.0000"/>
    <numFmt numFmtId="174" formatCode="0.000"/>
  </numFmts>
  <fonts count="10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scheme val="minor"/>
    </font>
    <font>
      <sz val="12"/>
      <name val="Calibri"/>
      <scheme val="minor"/>
    </font>
    <font>
      <sz val="10"/>
      <color theme="1"/>
      <name val="Arial"/>
    </font>
    <font>
      <b/>
      <sz val="10"/>
      <name val="Monaco"/>
      <family val="2"/>
    </font>
    <font>
      <b/>
      <sz val="12"/>
      <color theme="5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8" fontId="5" fillId="0" borderId="5" xfId="0" applyNumberFormat="1" applyFont="1" applyBorder="1" applyAlignment="1">
      <alignment horizontal="center" vertical="center"/>
    </xf>
    <xf numFmtId="169" fontId="5" fillId="0" borderId="5" xfId="0" applyNumberFormat="1" applyFont="1" applyBorder="1" applyAlignment="1">
      <alignment horizontal="center" vertical="center"/>
    </xf>
    <xf numFmtId="170" fontId="5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5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5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right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7" fillId="0" borderId="0" xfId="0" applyFont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173" fontId="2" fillId="0" borderId="5" xfId="0" applyNumberFormat="1" applyFont="1" applyFill="1" applyBorder="1" applyAlignment="1">
      <alignment horizontal="center" vertical="center" wrapText="1"/>
    </xf>
    <xf numFmtId="174" fontId="2" fillId="0" borderId="5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1" fontId="2" fillId="0" borderId="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499984740745262"/>
  </sheetPr>
  <dimension ref="A1:J52"/>
  <sheetViews>
    <sheetView workbookViewId="0">
      <selection activeCell="C45" sqref="C45"/>
    </sheetView>
  </sheetViews>
  <sheetFormatPr baseColWidth="10" defaultColWidth="11" defaultRowHeight="12" x14ac:dyDescent="0"/>
  <cols>
    <col min="1" max="1" width="3.5" style="62" customWidth="1"/>
    <col min="2" max="2" width="30.6640625" style="70" customWidth="1"/>
    <col min="3" max="16384" width="11" style="62"/>
  </cols>
  <sheetData>
    <row r="1" spans="1:10" ht="26" customHeight="1">
      <c r="A1" s="60"/>
      <c r="B1" s="73" t="s">
        <v>85</v>
      </c>
      <c r="C1" s="60"/>
      <c r="D1" s="60"/>
      <c r="E1" s="60"/>
      <c r="F1" s="60"/>
      <c r="G1" s="60"/>
      <c r="H1" s="61"/>
      <c r="I1" s="61"/>
    </row>
    <row r="2" spans="1:10" ht="36">
      <c r="A2" s="63"/>
      <c r="B2" s="64"/>
      <c r="C2" s="63" t="s">
        <v>0</v>
      </c>
      <c r="D2" s="63" t="s">
        <v>91</v>
      </c>
      <c r="E2" s="63" t="s">
        <v>2</v>
      </c>
      <c r="F2" s="63" t="s">
        <v>3</v>
      </c>
      <c r="G2" s="63" t="s">
        <v>18</v>
      </c>
      <c r="H2" s="65"/>
      <c r="I2" s="65"/>
    </row>
    <row r="3" spans="1:10">
      <c r="A3" s="60"/>
      <c r="B3" s="56" t="s">
        <v>6</v>
      </c>
      <c r="C3" s="74">
        <v>5310</v>
      </c>
      <c r="D3" s="31">
        <v>2.4300000000000002</v>
      </c>
      <c r="E3" s="31">
        <v>133</v>
      </c>
      <c r="F3" s="31">
        <v>2.7</v>
      </c>
      <c r="G3" s="66">
        <f>C3/2*(1/60*2*PI())*D3/2</f>
        <v>337.80760405887645</v>
      </c>
      <c r="H3" s="61"/>
      <c r="I3" s="61"/>
    </row>
    <row r="4" spans="1:10">
      <c r="A4" s="60"/>
      <c r="B4" s="56" t="s">
        <v>20</v>
      </c>
      <c r="C4" s="75">
        <v>6200</v>
      </c>
      <c r="D4" s="67">
        <v>1.4</v>
      </c>
      <c r="E4" s="67">
        <v>86</v>
      </c>
      <c r="F4" s="67">
        <v>1.5</v>
      </c>
      <c r="G4" s="66">
        <f t="shared" ref="G4" si="0">C4/2*(1/60*2*PI())*D4/2</f>
        <v>227.24186860966165</v>
      </c>
      <c r="H4" s="61"/>
      <c r="I4" s="61"/>
    </row>
    <row r="5" spans="1:10">
      <c r="A5" s="60"/>
      <c r="B5" s="56" t="s">
        <v>61</v>
      </c>
      <c r="C5" s="75">
        <v>14000</v>
      </c>
      <c r="D5" s="67">
        <v>0.4</v>
      </c>
      <c r="E5" s="67">
        <v>41</v>
      </c>
      <c r="F5" s="67">
        <v>1.8</v>
      </c>
      <c r="G5" s="66">
        <f t="shared" ref="G5" si="1">C5/2*(1/60*2*PI())*D5/2</f>
        <v>146.60765716752368</v>
      </c>
      <c r="H5" s="61"/>
      <c r="I5" s="61"/>
    </row>
    <row r="6" spans="1:10">
      <c r="A6" s="60"/>
      <c r="B6" s="56" t="s">
        <v>86</v>
      </c>
      <c r="C6" s="75">
        <v>133</v>
      </c>
      <c r="D6" s="67">
        <v>38</v>
      </c>
      <c r="E6" s="67">
        <v>41</v>
      </c>
      <c r="F6" s="67">
        <v>1.8</v>
      </c>
      <c r="G6" s="66">
        <f t="shared" ref="G6" si="2">C6/2*(1/60*2*PI())*D6/2</f>
        <v>132.31341059369012</v>
      </c>
      <c r="H6" s="61"/>
      <c r="I6" s="61"/>
    </row>
    <row r="7" spans="1:10">
      <c r="A7" s="60"/>
      <c r="B7" s="56"/>
      <c r="C7" s="76"/>
      <c r="D7" s="68"/>
      <c r="E7" s="68"/>
      <c r="F7" s="68"/>
      <c r="G7" s="60"/>
      <c r="H7" s="61"/>
      <c r="I7" s="61"/>
      <c r="J7" s="61"/>
    </row>
    <row r="8" spans="1:10">
      <c r="A8" s="60"/>
      <c r="B8" s="56" t="s">
        <v>60</v>
      </c>
      <c r="C8" s="74">
        <v>13000</v>
      </c>
      <c r="D8" s="31">
        <v>0.78333333333333333</v>
      </c>
      <c r="E8" s="31">
        <v>86.666666666666657</v>
      </c>
      <c r="F8" s="31">
        <v>1.8</v>
      </c>
      <c r="G8" s="66">
        <f t="shared" ref="G8:G50" si="3">C8/2*(1/60*2*PI())*D8/2</f>
        <v>266.5990432421338</v>
      </c>
      <c r="H8" s="32"/>
      <c r="I8" s="61"/>
    </row>
    <row r="9" spans="1:10">
      <c r="A9" s="60"/>
      <c r="B9" s="56" t="s">
        <v>62</v>
      </c>
      <c r="C9" s="74">
        <v>7300</v>
      </c>
      <c r="D9" s="57">
        <v>0.43149999999999999</v>
      </c>
      <c r="E9" s="57">
        <v>30</v>
      </c>
      <c r="F9" s="57">
        <v>1.1000000000000001</v>
      </c>
      <c r="G9" s="66">
        <f t="shared" si="3"/>
        <v>82.465498159793071</v>
      </c>
      <c r="H9" s="32"/>
      <c r="I9" s="61"/>
    </row>
    <row r="10" spans="1:10">
      <c r="A10" s="60"/>
      <c r="B10" s="56" t="s">
        <v>92</v>
      </c>
      <c r="C10" s="74">
        <v>7750</v>
      </c>
      <c r="D10" s="31">
        <v>0.20591485145027999</v>
      </c>
      <c r="E10" s="31">
        <v>0.4</v>
      </c>
      <c r="F10" s="31">
        <v>15</v>
      </c>
      <c r="G10" s="66">
        <f t="shared" ref="G10" si="4">C10/2*(1/60*2*PI())*D10/2</f>
        <v>41.778996087537976</v>
      </c>
      <c r="H10" s="61"/>
      <c r="I10" s="61"/>
    </row>
    <row r="11" spans="1:10">
      <c r="A11" s="60"/>
      <c r="B11" s="56" t="s">
        <v>19</v>
      </c>
      <c r="C11" s="74">
        <v>19300</v>
      </c>
      <c r="D11" s="31">
        <v>0.48620000000000002</v>
      </c>
      <c r="E11" s="31">
        <v>85</v>
      </c>
      <c r="F11" s="31">
        <v>1.4</v>
      </c>
      <c r="G11" s="66">
        <f t="shared" si="3"/>
        <v>245.66364433153666</v>
      </c>
      <c r="H11" s="61"/>
      <c r="I11" s="61"/>
    </row>
    <row r="12" spans="1:10">
      <c r="A12" s="60"/>
      <c r="B12" s="56" t="s">
        <v>63</v>
      </c>
      <c r="C12" s="77">
        <v>16800</v>
      </c>
      <c r="D12" s="57">
        <v>0.16669999999999999</v>
      </c>
      <c r="E12" s="57">
        <v>21</v>
      </c>
      <c r="F12" s="57">
        <v>0.9</v>
      </c>
      <c r="G12" s="66">
        <f t="shared" si="3"/>
        <v>73.318489349478583</v>
      </c>
      <c r="H12" s="61"/>
      <c r="I12" s="61"/>
    </row>
    <row r="13" spans="1:10">
      <c r="A13" s="60"/>
      <c r="B13" s="56" t="s">
        <v>64</v>
      </c>
      <c r="C13" s="77">
        <v>16800</v>
      </c>
      <c r="D13" s="57">
        <v>0.27879999999999999</v>
      </c>
      <c r="E13" s="57">
        <v>42</v>
      </c>
      <c r="F13" s="57">
        <v>1</v>
      </c>
      <c r="G13" s="66">
        <f t="shared" ref="G13:G15" si="5">C13/2*(1/60*2*PI())*D13/2</f>
        <v>122.6226444549168</v>
      </c>
      <c r="H13" s="61"/>
      <c r="I13" s="61"/>
    </row>
    <row r="14" spans="1:10">
      <c r="A14" s="60"/>
      <c r="B14" s="56" t="s">
        <v>66</v>
      </c>
      <c r="C14" s="77">
        <v>15500</v>
      </c>
      <c r="D14" s="57">
        <v>0.1178</v>
      </c>
      <c r="E14" s="57">
        <v>15</v>
      </c>
      <c r="F14" s="57">
        <v>0.5</v>
      </c>
      <c r="G14" s="66">
        <f t="shared" si="5"/>
        <v>47.801950218246695</v>
      </c>
      <c r="H14" s="61"/>
      <c r="I14" s="61"/>
    </row>
    <row r="15" spans="1:10">
      <c r="A15" s="60"/>
      <c r="B15" s="56" t="s">
        <v>67</v>
      </c>
      <c r="C15" s="77">
        <v>12180</v>
      </c>
      <c r="D15" s="57">
        <v>0.1331</v>
      </c>
      <c r="E15" s="57">
        <v>14.5</v>
      </c>
      <c r="F15" s="57">
        <v>0.3</v>
      </c>
      <c r="G15" s="66">
        <f t="shared" si="5"/>
        <v>42.441817192569346</v>
      </c>
      <c r="H15" s="61"/>
      <c r="I15" s="61"/>
    </row>
    <row r="16" spans="1:10">
      <c r="A16" s="60"/>
      <c r="B16" s="56"/>
      <c r="C16" s="78"/>
      <c r="D16" s="59"/>
      <c r="E16" s="59"/>
      <c r="F16" s="59"/>
      <c r="G16" s="60"/>
      <c r="H16" s="61"/>
      <c r="I16" s="61"/>
    </row>
    <row r="17" spans="1:9">
      <c r="A17" s="60"/>
      <c r="B17" s="56" t="s">
        <v>73</v>
      </c>
      <c r="C17" s="77">
        <f>75*71</f>
        <v>5325</v>
      </c>
      <c r="D17" s="71">
        <f>22.5/71*1.006</f>
        <v>0.31880281690140849</v>
      </c>
      <c r="E17" s="57">
        <v>22</v>
      </c>
      <c r="F17" s="57">
        <v>0.6</v>
      </c>
      <c r="G17" s="66">
        <f t="shared" ref="G17:G18" si="6">C17/2*(1/60*2*PI())*D17/2</f>
        <v>44.443718571253108</v>
      </c>
      <c r="H17" s="61"/>
      <c r="I17" s="61"/>
    </row>
    <row r="18" spans="1:9">
      <c r="A18" s="60"/>
      <c r="B18" s="56" t="s">
        <v>74</v>
      </c>
      <c r="C18" s="77">
        <v>198</v>
      </c>
      <c r="D18" s="71">
        <v>8.5410000000000004</v>
      </c>
      <c r="E18" s="57">
        <v>22</v>
      </c>
      <c r="F18" s="57">
        <v>0.6</v>
      </c>
      <c r="G18" s="66">
        <f t="shared" si="6"/>
        <v>44.2733657096122</v>
      </c>
      <c r="H18" s="61"/>
      <c r="I18" s="61"/>
    </row>
    <row r="19" spans="1:9">
      <c r="A19" s="60"/>
      <c r="B19" s="56" t="s">
        <v>72</v>
      </c>
      <c r="C19" s="77">
        <f>75</f>
        <v>75</v>
      </c>
      <c r="D19" s="71">
        <f>22.5</f>
        <v>22.5</v>
      </c>
      <c r="E19" s="57">
        <v>22</v>
      </c>
      <c r="F19" s="57">
        <v>0.6</v>
      </c>
      <c r="G19" s="66">
        <f t="shared" ref="G19" si="7">C19/2*(1/60*2*PI())*D19/2</f>
        <v>44.178646691106465</v>
      </c>
      <c r="H19" s="61"/>
      <c r="I19" s="61"/>
    </row>
    <row r="20" spans="1:9">
      <c r="A20" s="60"/>
      <c r="B20" s="56" t="s">
        <v>75</v>
      </c>
      <c r="C20" s="77">
        <v>28</v>
      </c>
      <c r="D20" s="71">
        <v>44.74</v>
      </c>
      <c r="E20" s="57">
        <v>22</v>
      </c>
      <c r="F20" s="57">
        <v>0.6</v>
      </c>
      <c r="G20" s="66">
        <f t="shared" ref="G20" si="8">C20/2*(1/60*2*PI())*D20/2</f>
        <v>32.796132908375043</v>
      </c>
      <c r="H20" s="61"/>
      <c r="I20" s="61"/>
    </row>
    <row r="21" spans="1:9">
      <c r="A21" s="60"/>
      <c r="B21" s="56" t="s">
        <v>65</v>
      </c>
      <c r="C21" s="77">
        <v>16000</v>
      </c>
      <c r="D21" s="57">
        <v>0.42799999999999999</v>
      </c>
      <c r="E21" s="57">
        <v>63.8</v>
      </c>
      <c r="F21" s="57">
        <v>1.2</v>
      </c>
      <c r="G21" s="66">
        <f>C21/2*(1/60*2*PI())*D21/2</f>
        <v>179.28022076485752</v>
      </c>
      <c r="H21" s="61"/>
      <c r="I21" s="61"/>
    </row>
    <row r="22" spans="1:9">
      <c r="A22" s="60"/>
      <c r="B22" s="56"/>
      <c r="C22" s="78"/>
      <c r="D22" s="59"/>
      <c r="E22" s="59"/>
      <c r="F22" s="59"/>
      <c r="G22" s="60"/>
      <c r="H22" s="61"/>
      <c r="I22" s="61"/>
    </row>
    <row r="23" spans="1:9">
      <c r="A23" s="60"/>
      <c r="B23" s="56" t="s">
        <v>79</v>
      </c>
      <c r="C23" s="77">
        <v>20770</v>
      </c>
      <c r="D23" s="57">
        <v>0.53239999999999998</v>
      </c>
      <c r="E23" s="57">
        <v>108.7</v>
      </c>
      <c r="F23" s="57">
        <v>0.82</v>
      </c>
      <c r="G23" s="66">
        <f>C23/2*(1/60*2*PI())*D23/2</f>
        <v>289.49640167148283</v>
      </c>
      <c r="H23" s="61"/>
      <c r="I23" s="61"/>
    </row>
    <row r="24" spans="1:9">
      <c r="A24" s="60"/>
      <c r="B24" s="56" t="s">
        <v>80</v>
      </c>
      <c r="C24" s="77">
        <v>16100</v>
      </c>
      <c r="D24" s="57">
        <v>0.40600000000000003</v>
      </c>
      <c r="E24" s="57">
        <v>63</v>
      </c>
      <c r="F24" s="57">
        <v>2</v>
      </c>
      <c r="G24" s="66">
        <f t="shared" ref="G24:G25" si="9">C24/2*(1/60*2*PI())*D24/2</f>
        <v>171.12778782879201</v>
      </c>
      <c r="H24" s="61"/>
      <c r="I24" s="61"/>
    </row>
    <row r="25" spans="1:9">
      <c r="A25" s="60"/>
      <c r="B25" s="56" t="s">
        <v>81</v>
      </c>
      <c r="C25" s="77">
        <v>15600</v>
      </c>
      <c r="D25" s="57">
        <v>0.44982</v>
      </c>
      <c r="E25" s="57">
        <v>70</v>
      </c>
      <c r="F25" s="57">
        <v>1.25</v>
      </c>
      <c r="G25" s="66">
        <f t="shared" si="9"/>
        <v>183.70965696690888</v>
      </c>
      <c r="H25" s="61"/>
      <c r="I25" s="61"/>
    </row>
    <row r="26" spans="1:9">
      <c r="A26" s="60"/>
      <c r="B26" s="56" t="s">
        <v>82</v>
      </c>
      <c r="C26" s="77">
        <v>15600</v>
      </c>
      <c r="D26" s="57">
        <v>0.42015999999999998</v>
      </c>
      <c r="E26" s="57">
        <v>63.5</v>
      </c>
      <c r="F26" s="57">
        <v>1</v>
      </c>
      <c r="G26" s="66">
        <f>C26/2*(1/60*2*PI())*D26/2</f>
        <v>171.59630401319734</v>
      </c>
      <c r="H26" s="61"/>
      <c r="I26" s="61"/>
    </row>
    <row r="27" spans="1:9">
      <c r="A27" s="60"/>
      <c r="B27" s="56" t="s">
        <v>83</v>
      </c>
      <c r="C27" s="77">
        <v>16700</v>
      </c>
      <c r="D27" s="57">
        <v>0.475242</v>
      </c>
      <c r="E27" s="57">
        <v>75</v>
      </c>
      <c r="F27" s="57">
        <v>2</v>
      </c>
      <c r="G27" s="66">
        <f>C27/2*(1/60*2*PI())*D27/2</f>
        <v>207.77816797626042</v>
      </c>
      <c r="H27" s="61"/>
      <c r="I27" s="61"/>
    </row>
    <row r="28" spans="1:9">
      <c r="A28" s="60"/>
      <c r="B28" s="56"/>
      <c r="C28" s="78"/>
      <c r="D28" s="59"/>
      <c r="E28" s="59"/>
      <c r="F28" s="59"/>
      <c r="G28" s="60"/>
      <c r="H28" s="61"/>
      <c r="I28" s="61"/>
    </row>
    <row r="29" spans="1:9" ht="24">
      <c r="A29" s="60"/>
      <c r="B29" s="56" t="s">
        <v>76</v>
      </c>
      <c r="C29" s="77">
        <v>84</v>
      </c>
      <c r="D29" s="57">
        <v>10.6</v>
      </c>
      <c r="E29" s="57">
        <v>18.600000000000001</v>
      </c>
      <c r="F29" s="57">
        <v>1.8</v>
      </c>
      <c r="G29" s="66">
        <f t="shared" ref="G29:G31" si="10">C29/2*(1/60*2*PI())*D29/2</f>
        <v>23.310617489636265</v>
      </c>
      <c r="H29" s="61"/>
      <c r="I29" s="61"/>
    </row>
    <row r="30" spans="1:9" ht="24">
      <c r="A30" s="60"/>
      <c r="B30" s="56" t="s">
        <v>77</v>
      </c>
      <c r="C30" s="77">
        <v>84</v>
      </c>
      <c r="D30" s="57">
        <v>10.6</v>
      </c>
      <c r="E30" s="57">
        <v>21</v>
      </c>
      <c r="F30" s="57">
        <v>1.8</v>
      </c>
      <c r="G30" s="66">
        <f t="shared" si="10"/>
        <v>23.310617489636265</v>
      </c>
      <c r="H30" s="61"/>
      <c r="I30" s="61"/>
    </row>
    <row r="31" spans="1:9" ht="28">
      <c r="A31" s="60"/>
      <c r="B31" s="56" t="s">
        <v>84</v>
      </c>
      <c r="C31" s="77">
        <v>92</v>
      </c>
      <c r="D31" s="57">
        <v>9.1940000000000008</v>
      </c>
      <c r="E31" s="57">
        <v>20</v>
      </c>
      <c r="F31" s="57">
        <v>0.5</v>
      </c>
      <c r="G31" s="66">
        <f t="shared" si="10"/>
        <v>22.144248857113496</v>
      </c>
      <c r="H31" s="61"/>
      <c r="I31" s="61"/>
    </row>
    <row r="32" spans="1:9" ht="24">
      <c r="A32" s="60"/>
      <c r="B32" s="56" t="s">
        <v>69</v>
      </c>
      <c r="C32" s="77">
        <v>70</v>
      </c>
      <c r="D32" s="72">
        <v>13.275700000000001</v>
      </c>
      <c r="E32" s="57">
        <v>20</v>
      </c>
      <c r="F32" s="57">
        <v>0.5</v>
      </c>
      <c r="G32" s="66">
        <f t="shared" ref="G32" si="11">C32/2*(1/60*2*PI())*D32/2</f>
        <v>24.328990928236177</v>
      </c>
      <c r="H32" s="61"/>
      <c r="I32" s="61"/>
    </row>
    <row r="33" spans="1:9">
      <c r="A33" s="60"/>
      <c r="B33" s="56" t="s">
        <v>68</v>
      </c>
      <c r="C33" s="77">
        <v>100</v>
      </c>
      <c r="D33" s="57">
        <v>11.298</v>
      </c>
      <c r="E33" s="57">
        <v>24</v>
      </c>
      <c r="F33" s="57">
        <v>5</v>
      </c>
      <c r="G33" s="66">
        <f t="shared" ref="G33" si="12">C33/2*(1/60*2*PI())*D33/2</f>
        <v>29.578094833547897</v>
      </c>
      <c r="H33" s="61"/>
      <c r="I33" s="61"/>
    </row>
    <row r="34" spans="1:9" ht="26">
      <c r="A34" s="60"/>
      <c r="B34" s="56" t="s">
        <v>78</v>
      </c>
      <c r="C34" s="77">
        <v>5300</v>
      </c>
      <c r="D34" s="57">
        <v>0.127</v>
      </c>
      <c r="E34" s="57">
        <v>7</v>
      </c>
      <c r="F34" s="57">
        <v>0.4</v>
      </c>
      <c r="G34" s="66">
        <f>C34/2*(1/60*2*PI())*D34/2</f>
        <v>17.621716792760747</v>
      </c>
      <c r="H34" s="61"/>
      <c r="I34" s="61"/>
    </row>
    <row r="35" spans="1:9">
      <c r="A35" s="60"/>
      <c r="B35" s="56"/>
      <c r="C35" s="78"/>
      <c r="D35" s="59"/>
      <c r="E35" s="59"/>
      <c r="F35" s="59"/>
      <c r="G35" s="60"/>
      <c r="H35" s="61"/>
      <c r="I35" s="61"/>
    </row>
    <row r="36" spans="1:9">
      <c r="A36" s="60"/>
      <c r="B36" s="56" t="s">
        <v>70</v>
      </c>
      <c r="C36" s="77">
        <f>100*(12/7.2)</f>
        <v>166.66666666666666</v>
      </c>
      <c r="D36" s="31">
        <f>1.67*(12/7.2)</f>
        <v>2.7833333333333328</v>
      </c>
      <c r="E36" s="31">
        <f>4.8*(12/7.2)</f>
        <v>7.9999999999999991</v>
      </c>
      <c r="F36" s="31">
        <f>0.37*(12/7.2)</f>
        <v>0.61666666666666659</v>
      </c>
      <c r="G36" s="66">
        <f>C36/2*(1/60*2*PI())*D36/2</f>
        <v>12.144582711793872</v>
      </c>
      <c r="H36" s="61"/>
      <c r="I36" s="61"/>
    </row>
    <row r="37" spans="1:9">
      <c r="A37" s="60"/>
      <c r="B37" s="56" t="s">
        <v>71</v>
      </c>
      <c r="C37" s="77">
        <f>160*(12/7.2)</f>
        <v>266.66666666666663</v>
      </c>
      <c r="D37" s="31">
        <f>1.04*(12/7.2)</f>
        <v>1.7333333333333332</v>
      </c>
      <c r="E37" s="31">
        <f>4.8*(12/7.2)</f>
        <v>7.9999999999999991</v>
      </c>
      <c r="F37" s="31">
        <f>0.37*(12/7.2)</f>
        <v>0.61666666666666659</v>
      </c>
      <c r="G37" s="66">
        <f t="shared" ref="G37" si="13">C37/2*(1/60*2*PI())*D37/2</f>
        <v>12.100949480494014</v>
      </c>
      <c r="H37" s="61"/>
      <c r="I37" s="61"/>
    </row>
    <row r="38" spans="1:9">
      <c r="A38" s="60"/>
      <c r="B38" s="56"/>
      <c r="C38" s="58"/>
      <c r="D38" s="59"/>
      <c r="E38" s="59"/>
      <c r="F38" s="59"/>
      <c r="G38" s="60"/>
      <c r="H38" s="61"/>
      <c r="I38" s="61"/>
    </row>
    <row r="39" spans="1:9">
      <c r="A39" s="60"/>
      <c r="B39" s="56"/>
      <c r="C39" s="58"/>
      <c r="D39" s="59"/>
      <c r="E39" s="59"/>
      <c r="F39" s="59"/>
      <c r="G39" s="60"/>
      <c r="H39" s="61"/>
      <c r="I39" s="61"/>
    </row>
    <row r="40" spans="1:9">
      <c r="A40" s="60"/>
      <c r="B40" s="56"/>
      <c r="C40" s="58"/>
      <c r="D40" s="59"/>
      <c r="E40" s="59"/>
      <c r="F40" s="59"/>
      <c r="G40" s="60"/>
      <c r="H40" s="61"/>
      <c r="I40" s="61"/>
    </row>
    <row r="41" spans="1:9">
      <c r="A41" s="60"/>
      <c r="B41" s="56"/>
      <c r="C41" s="58"/>
      <c r="D41" s="59"/>
      <c r="E41" s="59"/>
      <c r="F41" s="59"/>
      <c r="G41" s="60"/>
      <c r="H41" s="61"/>
      <c r="I41" s="61"/>
    </row>
    <row r="42" spans="1:9">
      <c r="A42" s="60"/>
      <c r="B42" s="56"/>
      <c r="C42" s="58"/>
      <c r="D42" s="59"/>
      <c r="E42" s="59"/>
      <c r="F42" s="59"/>
      <c r="G42" s="60"/>
      <c r="H42" s="61"/>
      <c r="I42" s="61"/>
    </row>
    <row r="43" spans="1:9">
      <c r="A43" s="60"/>
      <c r="B43" s="56"/>
      <c r="C43" s="58"/>
      <c r="D43" s="59"/>
      <c r="E43" s="59"/>
      <c r="F43" s="59"/>
      <c r="G43" s="60"/>
      <c r="H43" s="61"/>
      <c r="I43" s="61"/>
    </row>
    <row r="44" spans="1:9">
      <c r="A44" s="60"/>
      <c r="B44" s="56"/>
      <c r="C44" s="58"/>
      <c r="D44" s="59"/>
      <c r="E44" s="59"/>
      <c r="F44" s="59"/>
      <c r="G44" s="60"/>
      <c r="H44" s="61"/>
      <c r="I44" s="61"/>
    </row>
    <row r="45" spans="1:9">
      <c r="A45" s="60"/>
      <c r="B45" s="56"/>
      <c r="C45" s="58"/>
      <c r="D45" s="59"/>
      <c r="E45" s="59"/>
      <c r="F45" s="59"/>
      <c r="G45" s="60"/>
      <c r="H45" s="61"/>
      <c r="I45" s="61"/>
    </row>
    <row r="46" spans="1:9">
      <c r="A46" s="60"/>
      <c r="B46" s="56"/>
      <c r="C46" s="58"/>
      <c r="D46" s="59"/>
      <c r="E46" s="59"/>
      <c r="F46" s="59"/>
      <c r="G46" s="60"/>
      <c r="H46" s="61"/>
      <c r="I46" s="61"/>
    </row>
    <row r="47" spans="1:9">
      <c r="A47" s="60"/>
      <c r="B47" s="56"/>
      <c r="C47" s="58"/>
      <c r="D47" s="59"/>
      <c r="E47" s="59"/>
      <c r="F47" s="59"/>
      <c r="G47" s="60"/>
      <c r="H47" s="61"/>
      <c r="I47" s="61"/>
    </row>
    <row r="48" spans="1:9">
      <c r="A48" s="60"/>
      <c r="B48" s="56"/>
      <c r="C48" s="33"/>
      <c r="D48" s="33"/>
      <c r="E48" s="33"/>
      <c r="F48" s="33"/>
      <c r="G48" s="60"/>
      <c r="H48" s="61"/>
      <c r="I48" s="61"/>
    </row>
    <row r="49" spans="1:9">
      <c r="A49" s="61"/>
      <c r="B49" s="56" t="s">
        <v>21</v>
      </c>
      <c r="C49" s="75">
        <v>5310</v>
      </c>
      <c r="D49" s="67">
        <v>3.5</v>
      </c>
      <c r="E49" s="67">
        <v>203</v>
      </c>
      <c r="F49" s="67">
        <v>6.4</v>
      </c>
      <c r="G49" s="66">
        <f t="shared" si="3"/>
        <v>486.55416222471916</v>
      </c>
      <c r="H49" s="61"/>
      <c r="I49" s="61"/>
    </row>
    <row r="50" spans="1:9">
      <c r="A50" s="61"/>
      <c r="B50" s="56" t="s">
        <v>22</v>
      </c>
      <c r="C50" s="75">
        <v>5310</v>
      </c>
      <c r="D50" s="67">
        <v>3.85</v>
      </c>
      <c r="E50" s="67">
        <v>203</v>
      </c>
      <c r="F50" s="67">
        <v>6.4</v>
      </c>
      <c r="G50" s="66">
        <f t="shared" si="3"/>
        <v>535.20957844719112</v>
      </c>
      <c r="H50" s="61">
        <f>G3+G12</f>
        <v>411.12609340835502</v>
      </c>
      <c r="I50" s="61"/>
    </row>
    <row r="51" spans="1:9">
      <c r="A51" s="61"/>
      <c r="B51" s="56" t="s">
        <v>23</v>
      </c>
      <c r="C51" s="75">
        <v>5310</v>
      </c>
      <c r="D51" s="67">
        <v>4</v>
      </c>
      <c r="E51" s="67">
        <v>218</v>
      </c>
      <c r="F51" s="67">
        <v>4.0999999999999996</v>
      </c>
      <c r="G51" s="66">
        <f>C51/2*(1/60*2*PI())*D51/2</f>
        <v>556.06189968539331</v>
      </c>
      <c r="H51" s="61"/>
      <c r="I51" s="61"/>
    </row>
    <row r="52" spans="1:9">
      <c r="A52" s="61"/>
      <c r="B52" s="69"/>
      <c r="C52" s="61"/>
      <c r="D52" s="61"/>
      <c r="E52" s="61"/>
      <c r="F52" s="61"/>
      <c r="G52" s="61"/>
      <c r="H52" s="61"/>
      <c r="I52" s="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1:M18"/>
  <sheetViews>
    <sheetView workbookViewId="0">
      <selection activeCell="D33" sqref="D33"/>
    </sheetView>
  </sheetViews>
  <sheetFormatPr baseColWidth="10" defaultColWidth="10.83203125" defaultRowHeight="15" x14ac:dyDescent="0"/>
  <cols>
    <col min="1" max="1" width="5.83203125" style="34" customWidth="1"/>
    <col min="2" max="2" width="3.5" style="34" customWidth="1"/>
    <col min="3" max="3" width="11.1640625" style="34" customWidth="1"/>
    <col min="4" max="7" width="10.83203125" style="34"/>
    <col min="8" max="8" width="4.1640625" style="34" customWidth="1"/>
    <col min="9" max="10" width="10.83203125" style="34"/>
    <col min="11" max="11" width="11.83203125" style="34" bestFit="1" customWidth="1"/>
    <col min="12" max="12" width="2.83203125" style="34" customWidth="1"/>
    <col min="13" max="16384" width="10.83203125" style="34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" thickBot="1">
      <c r="A2" s="1"/>
      <c r="B2" s="35" t="s">
        <v>90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2"/>
      <c r="C3" s="36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4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5"/>
      <c r="L4" s="8"/>
      <c r="M4" s="5"/>
    </row>
    <row r="5" spans="1:13">
      <c r="A5" s="9"/>
      <c r="B5" s="10"/>
      <c r="C5" s="11" t="s">
        <v>6</v>
      </c>
      <c r="D5" s="12">
        <v>5310</v>
      </c>
      <c r="E5" s="12">
        <v>2.4300000000000002</v>
      </c>
      <c r="F5" s="12">
        <v>133</v>
      </c>
      <c r="G5" s="12">
        <v>2.7</v>
      </c>
      <c r="H5" s="9"/>
      <c r="I5" s="13">
        <v>0.81</v>
      </c>
      <c r="J5" s="13">
        <v>0.9</v>
      </c>
      <c r="K5" s="9"/>
      <c r="L5" s="14"/>
      <c r="M5" s="9"/>
    </row>
    <row r="6" spans="1:13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</row>
    <row r="7" spans="1:13" ht="60">
      <c r="A7" s="1"/>
      <c r="B7" s="15"/>
      <c r="C7" s="7" t="s">
        <v>24</v>
      </c>
      <c r="D7" s="7" t="s">
        <v>25</v>
      </c>
      <c r="E7" s="9"/>
      <c r="F7" s="7" t="s">
        <v>29</v>
      </c>
      <c r="G7" s="7" t="s">
        <v>8</v>
      </c>
      <c r="H7" s="1"/>
      <c r="I7" s="37" t="s">
        <v>9</v>
      </c>
      <c r="J7" s="37" t="s">
        <v>10</v>
      </c>
      <c r="L7" s="18"/>
      <c r="M7" s="1"/>
    </row>
    <row r="8" spans="1:13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H8" s="1"/>
      <c r="I8" s="19">
        <v>4</v>
      </c>
      <c r="J8" s="19">
        <v>1.3</v>
      </c>
      <c r="L8" s="18"/>
      <c r="M8" s="1"/>
    </row>
    <row r="9" spans="1:13" ht="16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4"/>
      <c r="L9" s="25"/>
      <c r="M9" s="1"/>
    </row>
    <row r="10" spans="1:13">
      <c r="A10" s="1"/>
      <c r="B10" s="2"/>
      <c r="C10" s="36"/>
      <c r="D10" s="26"/>
      <c r="E10" s="3"/>
      <c r="F10" s="3"/>
      <c r="G10" s="3"/>
      <c r="H10" s="3"/>
      <c r="I10" s="27"/>
      <c r="J10" s="28"/>
      <c r="K10" s="28"/>
      <c r="L10" s="4"/>
      <c r="M10" s="1"/>
    </row>
    <row r="11" spans="1:13" ht="60">
      <c r="A11" s="5"/>
      <c r="B11" s="6"/>
      <c r="C11" s="38" t="s">
        <v>11</v>
      </c>
      <c r="D11" s="38" t="s">
        <v>12</v>
      </c>
      <c r="E11" s="5"/>
      <c r="F11" s="39" t="s">
        <v>13</v>
      </c>
      <c r="G11" s="39" t="s">
        <v>14</v>
      </c>
      <c r="H11" s="5"/>
      <c r="I11" s="39" t="s">
        <v>33</v>
      </c>
      <c r="J11" s="39" t="s">
        <v>34</v>
      </c>
      <c r="K11" s="39" t="s">
        <v>32</v>
      </c>
      <c r="L11" s="8"/>
      <c r="M11" s="5"/>
    </row>
    <row r="12" spans="1:13">
      <c r="A12" s="9"/>
      <c r="B12" s="10"/>
      <c r="C12" s="19">
        <v>12</v>
      </c>
      <c r="D12" s="19">
        <v>40</v>
      </c>
      <c r="E12" s="9"/>
      <c r="F12" s="19">
        <v>40</v>
      </c>
      <c r="G12" s="19">
        <v>44</v>
      </c>
      <c r="H12" s="9"/>
      <c r="I12" s="44">
        <f>J12/I$5</f>
        <v>12.637770447395303</v>
      </c>
      <c r="J12" s="44">
        <f>D$5*I$5*((I$8*0.0254/2)*2*PI())/(0.3048*60)*C12/D12*C13/D13*C14/D14*F12/G12</f>
        <v>10.236594062390196</v>
      </c>
      <c r="K12" s="45">
        <f>((F$5-G$5)/E$5*(F$8*G$8*J$8/C$8*4.44822161526*I$8*0.0254/2/J$5/D$8*C12/D12*C13/D13*C14/D14*F12/G12))+G$5</f>
        <v>94.585803376475255</v>
      </c>
      <c r="L12" s="14"/>
      <c r="M12" s="9"/>
    </row>
    <row r="13" spans="1:13">
      <c r="A13" s="1"/>
      <c r="B13" s="15"/>
      <c r="C13" s="19">
        <v>1</v>
      </c>
      <c r="D13" s="19">
        <v>1</v>
      </c>
      <c r="E13" s="1"/>
      <c r="F13" s="1"/>
      <c r="G13" s="1"/>
      <c r="H13" s="1"/>
      <c r="I13" s="41">
        <f>D12*D13*D14*G12/C12/C13/C14/F12</f>
        <v>7.333333333333333</v>
      </c>
      <c r="J13" s="1" t="s">
        <v>26</v>
      </c>
      <c r="K13" s="1"/>
      <c r="L13" s="18"/>
      <c r="M13" s="1"/>
    </row>
    <row r="14" spans="1:13">
      <c r="A14" s="1"/>
      <c r="B14" s="15"/>
      <c r="C14" s="19">
        <v>12</v>
      </c>
      <c r="D14" s="19">
        <v>24</v>
      </c>
      <c r="E14" s="1"/>
      <c r="F14" s="1"/>
      <c r="G14" s="1"/>
      <c r="H14" s="1"/>
      <c r="I14" s="29"/>
      <c r="J14" s="1"/>
      <c r="K14" s="1"/>
      <c r="L14" s="18"/>
      <c r="M14" s="1"/>
    </row>
    <row r="15" spans="1:13" ht="60">
      <c r="A15" s="1"/>
      <c r="B15" s="15"/>
      <c r="C15" s="1"/>
      <c r="D15" s="1"/>
      <c r="E15" s="1"/>
      <c r="F15" s="40" t="s">
        <v>15</v>
      </c>
      <c r="G15" s="40" t="s">
        <v>16</v>
      </c>
      <c r="H15" s="1"/>
      <c r="I15" s="40" t="s">
        <v>35</v>
      </c>
      <c r="J15" s="40" t="s">
        <v>36</v>
      </c>
      <c r="K15" s="40" t="s">
        <v>32</v>
      </c>
      <c r="L15" s="18"/>
      <c r="M15" s="1"/>
    </row>
    <row r="16" spans="1:13">
      <c r="A16" s="1"/>
      <c r="B16" s="15"/>
      <c r="C16" s="43">
        <f>I12/I16</f>
        <v>2.2727272727272734</v>
      </c>
      <c r="D16" s="1" t="s">
        <v>17</v>
      </c>
      <c r="E16" s="1"/>
      <c r="F16" s="19">
        <v>24</v>
      </c>
      <c r="G16" s="19">
        <v>60</v>
      </c>
      <c r="H16" s="1"/>
      <c r="I16" s="44">
        <f>J16/I$5</f>
        <v>5.5606189968539317</v>
      </c>
      <c r="J16" s="44">
        <f>D$5*I$5*I$8*0.0254/2*2*PI()/(0.3048*60)*C12/D12*C13/D13*C14/D14*F16/G16</f>
        <v>4.5041013874516853</v>
      </c>
      <c r="K16" s="45">
        <f>((F$5-G$5)/E$5*(F$8*G$8*J$8/C$8*4.44822161526*I$8*0.0254/2/J$5/D$8*C12/D12*C13/D13*C14/D14*F16/G16))+G$5</f>
        <v>43.129753485649111</v>
      </c>
      <c r="L16" s="18"/>
      <c r="M16" s="1"/>
    </row>
    <row r="17" spans="1:13">
      <c r="A17" s="1"/>
      <c r="B17" s="15"/>
      <c r="C17" s="1"/>
      <c r="D17" s="1"/>
      <c r="E17" s="1"/>
      <c r="F17" s="1"/>
      <c r="G17" s="1"/>
      <c r="H17" s="1"/>
      <c r="I17" s="41">
        <f>D12*D13*D14*G16/C12/C13/C14/F16</f>
        <v>16.666666666666668</v>
      </c>
      <c r="J17" s="34" t="s">
        <v>27</v>
      </c>
      <c r="K17" s="1"/>
      <c r="L17" s="18"/>
      <c r="M17" s="1"/>
    </row>
    <row r="18" spans="1:13" ht="16" thickBot="1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</row>
  </sheetData>
  <sortState ref="I27:N70">
    <sortCondition descending="1" ref="M27:M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17"/>
  <sheetViews>
    <sheetView zoomScale="150" zoomScaleNormal="150" zoomScalePageLayoutView="150" workbookViewId="0">
      <selection activeCell="I5" sqref="I5"/>
    </sheetView>
  </sheetViews>
  <sheetFormatPr baseColWidth="10" defaultColWidth="10.83203125" defaultRowHeight="15" x14ac:dyDescent="0"/>
  <cols>
    <col min="1" max="1" width="5.83203125" style="34" customWidth="1"/>
    <col min="2" max="2" width="3.5" style="34" customWidth="1"/>
    <col min="3" max="3" width="11.6640625" style="34" customWidth="1"/>
    <col min="4" max="4" width="11.1640625" style="34" customWidth="1"/>
    <col min="5" max="5" width="10.83203125" style="34"/>
    <col min="6" max="6" width="10.1640625" style="34" customWidth="1"/>
    <col min="7" max="7" width="10.83203125" style="34"/>
    <col min="8" max="8" width="4.1640625" style="34" customWidth="1"/>
    <col min="9" max="10" width="10.83203125" style="34"/>
    <col min="11" max="11" width="2.83203125" style="34" customWidth="1"/>
    <col min="12" max="16384" width="10.83203125" style="34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" thickBot="1">
      <c r="A2" s="1"/>
      <c r="B2" s="35" t="s">
        <v>89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2"/>
      <c r="C3" s="36"/>
      <c r="D3" s="3"/>
      <c r="E3" s="3"/>
      <c r="F3" s="3"/>
      <c r="G3" s="3"/>
      <c r="H3" s="3"/>
      <c r="I3" s="3"/>
      <c r="J3" s="3"/>
      <c r="K3" s="4"/>
      <c r="L3" s="1"/>
    </row>
    <row r="4" spans="1:12" ht="4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2">
      <c r="A5" s="9"/>
      <c r="B5" s="10"/>
      <c r="C5" s="11" t="s">
        <v>6</v>
      </c>
      <c r="D5" s="12">
        <v>5310</v>
      </c>
      <c r="E5" s="12">
        <v>2.4300000000000002</v>
      </c>
      <c r="F5" s="12">
        <v>133</v>
      </c>
      <c r="G5" s="12">
        <v>2.7</v>
      </c>
      <c r="H5" s="9"/>
      <c r="I5" s="13">
        <v>0.81</v>
      </c>
      <c r="J5" s="13">
        <v>0.9</v>
      </c>
      <c r="K5" s="14"/>
      <c r="L5" s="9"/>
    </row>
    <row r="6" spans="1:12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</row>
    <row r="7" spans="1:12" ht="45">
      <c r="A7" s="1"/>
      <c r="B7" s="15"/>
      <c r="C7" s="7" t="s">
        <v>24</v>
      </c>
      <c r="D7" s="7" t="s">
        <v>25</v>
      </c>
      <c r="E7" s="9"/>
      <c r="F7" s="7" t="s">
        <v>7</v>
      </c>
      <c r="G7" s="7" t="s">
        <v>8</v>
      </c>
      <c r="I7" s="37" t="s">
        <v>9</v>
      </c>
      <c r="J7" s="37" t="s">
        <v>10</v>
      </c>
      <c r="K7" s="18"/>
      <c r="L7" s="1"/>
    </row>
    <row r="8" spans="1:12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I8" s="19">
        <v>4</v>
      </c>
      <c r="J8" s="19">
        <v>1.3</v>
      </c>
      <c r="K8" s="18"/>
      <c r="L8" s="1"/>
    </row>
    <row r="9" spans="1:12" ht="16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</row>
    <row r="10" spans="1:12">
      <c r="A10" s="1"/>
      <c r="B10" s="2"/>
      <c r="C10" s="36"/>
      <c r="D10" s="26"/>
      <c r="E10" s="3"/>
      <c r="F10" s="3"/>
      <c r="G10" s="3"/>
      <c r="H10" s="3"/>
      <c r="I10" s="27"/>
      <c r="J10" s="28"/>
      <c r="K10" s="4"/>
      <c r="L10" s="1"/>
    </row>
    <row r="11" spans="1:12" ht="60">
      <c r="A11" s="5"/>
      <c r="B11" s="6"/>
      <c r="C11" s="38" t="s">
        <v>11</v>
      </c>
      <c r="D11" s="38" t="s">
        <v>12</v>
      </c>
      <c r="E11" s="5"/>
      <c r="F11" s="39" t="s">
        <v>30</v>
      </c>
      <c r="G11" s="39" t="s">
        <v>31</v>
      </c>
      <c r="I11" s="39" t="s">
        <v>32</v>
      </c>
      <c r="K11" s="8"/>
      <c r="L11" s="5"/>
    </row>
    <row r="12" spans="1:12">
      <c r="A12" s="9"/>
      <c r="B12" s="10"/>
      <c r="C12" s="19">
        <v>12</v>
      </c>
      <c r="D12" s="19">
        <v>40</v>
      </c>
      <c r="E12" s="9"/>
      <c r="F12" s="44">
        <f>G12/I$5</f>
        <v>6.634829484882534</v>
      </c>
      <c r="G12" s="44">
        <f>D$5*I$5*((I$8*0.0254/2)*2*PI())/(0.3048*60)*C12/D12*C13/D13*C14/D14*C15/D15</f>
        <v>5.3742118827548531</v>
      </c>
      <c r="I12" s="45">
        <f>((F$5-G$5)/E$5*(F$8*G$8*J$8/C$8*4.44822161526*I$8*0.0254/2/J$5/D$8*C12/D12*C13/D13*C14/D14*C15/D15))+G$5</f>
        <v>50.940046772649495</v>
      </c>
      <c r="K12" s="14"/>
      <c r="L12" s="9"/>
    </row>
    <row r="13" spans="1:12">
      <c r="A13" s="1"/>
      <c r="B13" s="15"/>
      <c r="C13" s="19">
        <v>14</v>
      </c>
      <c r="D13" s="19">
        <v>40</v>
      </c>
      <c r="E13" s="1"/>
      <c r="F13" s="42">
        <f>D12*D13*D14*D15/C12/C13/C14/C15</f>
        <v>13.96825396825397</v>
      </c>
      <c r="G13" s="1" t="s">
        <v>28</v>
      </c>
      <c r="H13" s="1"/>
      <c r="I13" s="1"/>
      <c r="K13" s="18"/>
      <c r="L13" s="1"/>
    </row>
    <row r="14" spans="1:12">
      <c r="A14" s="1"/>
      <c r="B14" s="15"/>
      <c r="C14" s="19">
        <v>15</v>
      </c>
      <c r="D14" s="19">
        <v>22</v>
      </c>
      <c r="E14" s="1"/>
      <c r="F14" s="1"/>
      <c r="G14" s="1"/>
      <c r="H14" s="1"/>
      <c r="I14" s="29"/>
      <c r="J14" s="1"/>
      <c r="K14" s="18"/>
      <c r="L14" s="1"/>
    </row>
    <row r="15" spans="1:12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</row>
    <row r="16" spans="1:12" ht="16" thickBot="1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19"/>
  <sheetViews>
    <sheetView tabSelected="1" workbookViewId="0">
      <selection activeCell="I24" sqref="I24"/>
    </sheetView>
  </sheetViews>
  <sheetFormatPr baseColWidth="10" defaultColWidth="10.83203125" defaultRowHeight="15" x14ac:dyDescent="0"/>
  <cols>
    <col min="1" max="1" width="5.83203125" style="34" customWidth="1"/>
    <col min="2" max="2" width="2.33203125" style="34" customWidth="1"/>
    <col min="3" max="3" width="11.6640625" style="34" customWidth="1"/>
    <col min="4" max="4" width="11.1640625" style="34" customWidth="1"/>
    <col min="5" max="5" width="10.83203125" style="34"/>
    <col min="6" max="6" width="11.83203125" style="34" bestFit="1" customWidth="1"/>
    <col min="7" max="7" width="11.5" style="34" customWidth="1"/>
    <col min="8" max="8" width="2.83203125" style="34" customWidth="1"/>
    <col min="9" max="16384" width="10.83203125" style="34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6" thickBot="1">
      <c r="A2" s="1"/>
      <c r="B2" s="35" t="s">
        <v>37</v>
      </c>
      <c r="C2" s="1"/>
      <c r="D2" s="1"/>
      <c r="E2" s="1"/>
      <c r="F2" s="1"/>
      <c r="G2" s="1"/>
      <c r="H2" s="1"/>
      <c r="I2" s="1"/>
    </row>
    <row r="3" spans="1:9">
      <c r="A3" s="1"/>
      <c r="B3" s="2"/>
      <c r="C3" s="36"/>
      <c r="D3" s="3"/>
      <c r="E3" s="3"/>
      <c r="F3" s="3"/>
      <c r="G3" s="3"/>
      <c r="H3" s="4"/>
      <c r="I3" s="1"/>
    </row>
    <row r="4" spans="1:9" ht="35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>
      <c r="A5" s="9"/>
      <c r="B5" s="10"/>
      <c r="C5" s="11" t="s">
        <v>6</v>
      </c>
      <c r="D5" s="12">
        <v>100</v>
      </c>
      <c r="E5" s="12">
        <v>1.67</v>
      </c>
      <c r="F5" s="12">
        <v>4.8</v>
      </c>
      <c r="G5" s="12">
        <v>0.37</v>
      </c>
      <c r="H5" s="14"/>
      <c r="I5" s="9"/>
    </row>
    <row r="6" spans="1:9">
      <c r="A6" s="1"/>
      <c r="B6" s="15"/>
      <c r="C6" s="16"/>
      <c r="D6" s="16"/>
      <c r="E6" s="17"/>
      <c r="F6" s="17"/>
      <c r="G6" s="1"/>
      <c r="H6" s="18"/>
      <c r="I6" s="1"/>
    </row>
    <row r="7" spans="1:9" ht="30">
      <c r="A7" s="1"/>
      <c r="B7" s="15"/>
      <c r="C7" s="7" t="s">
        <v>25</v>
      </c>
      <c r="D7" s="7" t="s">
        <v>38</v>
      </c>
      <c r="F7" s="7" t="s">
        <v>39</v>
      </c>
      <c r="G7" s="7" t="s">
        <v>40</v>
      </c>
      <c r="H7" s="18"/>
      <c r="I7" s="1"/>
    </row>
    <row r="8" spans="1:9">
      <c r="A8" s="1"/>
      <c r="B8" s="15"/>
      <c r="C8" s="19">
        <v>2</v>
      </c>
      <c r="D8" s="13">
        <v>0.7</v>
      </c>
      <c r="F8" s="19">
        <v>12</v>
      </c>
      <c r="G8" s="19">
        <v>18</v>
      </c>
      <c r="H8" s="18"/>
      <c r="I8" s="1"/>
    </row>
    <row r="9" spans="1:9" ht="16" thickBot="1">
      <c r="A9" s="1"/>
      <c r="B9" s="20"/>
      <c r="C9" s="21"/>
      <c r="D9" s="21"/>
      <c r="E9" s="22"/>
      <c r="F9" s="22"/>
      <c r="G9" s="22"/>
      <c r="H9" s="25"/>
      <c r="I9" s="1"/>
    </row>
    <row r="10" spans="1:9">
      <c r="A10" s="1"/>
      <c r="B10" s="2"/>
      <c r="C10" s="36"/>
      <c r="D10" s="26"/>
      <c r="E10" s="3"/>
      <c r="F10" s="3"/>
      <c r="G10" s="3"/>
      <c r="H10" s="4"/>
      <c r="I10" s="1"/>
    </row>
    <row r="11" spans="1:9" ht="45">
      <c r="A11" s="5"/>
      <c r="B11" s="6"/>
      <c r="C11" s="38" t="s">
        <v>11</v>
      </c>
      <c r="D11" s="38" t="s">
        <v>12</v>
      </c>
      <c r="E11" s="5"/>
      <c r="F11" s="39" t="s">
        <v>43</v>
      </c>
      <c r="G11" s="39" t="s">
        <v>44</v>
      </c>
      <c r="H11" s="8"/>
      <c r="I11" s="5"/>
    </row>
    <row r="12" spans="1:9">
      <c r="A12" s="9"/>
      <c r="B12" s="10"/>
      <c r="C12" s="19">
        <v>12</v>
      </c>
      <c r="D12" s="19">
        <v>60</v>
      </c>
      <c r="E12" s="11" t="s">
        <v>41</v>
      </c>
      <c r="F12" s="49">
        <f>D$5*(C12*C13*C14*C15/D12/D13/D14/D15)*(360/60)</f>
        <v>17.142857142857142</v>
      </c>
      <c r="G12" s="50">
        <f>90/F12</f>
        <v>5.25</v>
      </c>
      <c r="H12" s="14"/>
      <c r="I12" s="9"/>
    </row>
    <row r="13" spans="1:9">
      <c r="A13" s="1"/>
      <c r="B13" s="15"/>
      <c r="C13" s="19">
        <v>12</v>
      </c>
      <c r="D13" s="19">
        <v>84</v>
      </c>
      <c r="E13" s="11" t="s">
        <v>42</v>
      </c>
      <c r="F13" s="49">
        <f>((-1)*(F12/(G17))*(F$8))+(F12)</f>
        <v>12.030011467328405</v>
      </c>
      <c r="G13" s="50">
        <f>90/F13</f>
        <v>7.4812896267327478</v>
      </c>
      <c r="H13" s="18"/>
      <c r="I13" s="1"/>
    </row>
    <row r="14" spans="1:9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>
      <c r="A15" s="1"/>
      <c r="B15" s="15"/>
      <c r="C15" s="19">
        <v>1</v>
      </c>
      <c r="D15" s="19">
        <v>1</v>
      </c>
      <c r="E15" s="1"/>
      <c r="H15" s="18"/>
      <c r="I15" s="1"/>
    </row>
    <row r="16" spans="1:9" ht="60">
      <c r="A16" s="1"/>
      <c r="B16" s="15"/>
      <c r="C16" s="46">
        <f>D12*D13*D14*D15/C12/C13/C14/C15</f>
        <v>35</v>
      </c>
      <c r="D16" s="47" t="s">
        <v>46</v>
      </c>
      <c r="E16" s="1"/>
      <c r="F16" s="39" t="s">
        <v>47</v>
      </c>
      <c r="G16" s="39" t="s">
        <v>45</v>
      </c>
      <c r="H16" s="18"/>
      <c r="I16" s="1"/>
    </row>
    <row r="17" spans="1:9">
      <c r="A17" s="1"/>
      <c r="B17" s="15"/>
      <c r="C17" s="42"/>
      <c r="D17" s="1"/>
      <c r="E17" s="1"/>
      <c r="F17" s="48">
        <f>((((F$5*C$8)-(G$5*C$8))/(E$5*C$8))*(F$8*G$8*(C12*C13*C14*C15/D12/D13/D14/D15)/(0.2248*39.37))+(G$5*C$8))/C$8</f>
        <v>1.2948711756558522</v>
      </c>
      <c r="G17" s="51">
        <f>E5*C8*(1/(C12*C13*C14*C15/D12/D13/D14/D15))*39.37*0.2248*D8/G8</f>
        <v>40.234792671111101</v>
      </c>
      <c r="H17" s="18"/>
      <c r="I17" s="1"/>
    </row>
    <row r="18" spans="1:9" ht="16" thickBot="1">
      <c r="A18" s="1"/>
      <c r="B18" s="20"/>
      <c r="C18" s="22"/>
      <c r="D18" s="22"/>
      <c r="E18" s="22"/>
      <c r="F18" s="22"/>
      <c r="G18" s="22"/>
      <c r="H18" s="25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I19"/>
  <sheetViews>
    <sheetView workbookViewId="0">
      <selection activeCell="G9" sqref="G9"/>
    </sheetView>
  </sheetViews>
  <sheetFormatPr baseColWidth="10" defaultColWidth="10.83203125" defaultRowHeight="15" x14ac:dyDescent="0"/>
  <cols>
    <col min="1" max="1" width="5.83203125" style="34" customWidth="1"/>
    <col min="2" max="2" width="2.33203125" style="34" customWidth="1"/>
    <col min="3" max="3" width="11.6640625" style="34" customWidth="1"/>
    <col min="4" max="4" width="11.1640625" style="34" customWidth="1"/>
    <col min="5" max="5" width="11.5" style="34" customWidth="1"/>
    <col min="6" max="6" width="11.83203125" style="34" bestFit="1" customWidth="1"/>
    <col min="7" max="7" width="11.83203125" style="34" customWidth="1"/>
    <col min="8" max="8" width="2.83203125" style="34" customWidth="1"/>
    <col min="9" max="16384" width="10.83203125" style="34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6" thickBot="1">
      <c r="A2" s="1"/>
      <c r="B2" s="35" t="s">
        <v>53</v>
      </c>
      <c r="C2" s="1"/>
      <c r="D2" s="1"/>
      <c r="E2" s="1"/>
      <c r="F2" s="1"/>
      <c r="G2" s="1"/>
      <c r="H2" s="1"/>
      <c r="I2" s="1"/>
    </row>
    <row r="3" spans="1:9">
      <c r="A3" s="1"/>
      <c r="B3" s="2"/>
      <c r="C3" s="36"/>
      <c r="D3" s="3"/>
      <c r="E3" s="3"/>
      <c r="F3" s="3"/>
      <c r="G3" s="3"/>
      <c r="H3" s="4"/>
      <c r="I3" s="1"/>
    </row>
    <row r="4" spans="1:9" ht="30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>
      <c r="A5" s="9"/>
      <c r="B5" s="10"/>
      <c r="C5" s="11" t="s">
        <v>6</v>
      </c>
      <c r="D5" s="12">
        <v>100</v>
      </c>
      <c r="E5" s="12">
        <v>1.67</v>
      </c>
      <c r="F5" s="12">
        <v>4.8</v>
      </c>
      <c r="G5" s="12">
        <v>0.37</v>
      </c>
      <c r="H5" s="14"/>
      <c r="I5" s="9"/>
    </row>
    <row r="6" spans="1:9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>
      <c r="A7" s="1"/>
      <c r="B7" s="15"/>
      <c r="C7" s="7" t="s">
        <v>25</v>
      </c>
      <c r="D7" s="7" t="s">
        <v>38</v>
      </c>
      <c r="E7" s="7" t="s">
        <v>52</v>
      </c>
      <c r="F7" s="7" t="s">
        <v>48</v>
      </c>
      <c r="G7" s="7" t="s">
        <v>49</v>
      </c>
      <c r="H7" s="18"/>
      <c r="I7" s="1"/>
    </row>
    <row r="8" spans="1:9">
      <c r="A8" s="1"/>
      <c r="B8" s="15"/>
      <c r="C8" s="19">
        <v>4</v>
      </c>
      <c r="D8" s="13">
        <v>0.95</v>
      </c>
      <c r="E8" s="19">
        <v>64</v>
      </c>
      <c r="F8" s="19">
        <v>11</v>
      </c>
      <c r="G8" s="19">
        <v>8</v>
      </c>
      <c r="H8" s="18"/>
      <c r="I8" s="1"/>
    </row>
    <row r="9" spans="1:9" ht="16" thickBot="1">
      <c r="A9" s="1"/>
      <c r="B9" s="20"/>
      <c r="C9" s="21"/>
      <c r="D9" s="21"/>
      <c r="E9" s="22"/>
      <c r="F9" s="22"/>
      <c r="G9" s="22"/>
      <c r="H9" s="25"/>
      <c r="I9" s="1"/>
    </row>
    <row r="10" spans="1:9">
      <c r="A10" s="1"/>
      <c r="B10" s="2"/>
      <c r="C10" s="36"/>
      <c r="D10" s="26"/>
      <c r="E10" s="3"/>
      <c r="F10" s="3"/>
      <c r="G10" s="3"/>
      <c r="H10" s="4"/>
      <c r="I10" s="1"/>
    </row>
    <row r="11" spans="1:9" ht="45">
      <c r="A11" s="5"/>
      <c r="B11" s="6"/>
      <c r="C11" s="38" t="s">
        <v>11</v>
      </c>
      <c r="D11" s="38" t="s">
        <v>12</v>
      </c>
      <c r="E11" s="5"/>
      <c r="F11" s="39" t="s">
        <v>50</v>
      </c>
      <c r="G11" s="39" t="s">
        <v>51</v>
      </c>
      <c r="H11" s="8"/>
      <c r="I11" s="5"/>
    </row>
    <row r="12" spans="1:9">
      <c r="A12" s="9"/>
      <c r="B12" s="10"/>
      <c r="C12" s="19">
        <v>6</v>
      </c>
      <c r="D12" s="19">
        <v>6</v>
      </c>
      <c r="E12" s="11" t="s">
        <v>41</v>
      </c>
      <c r="F12" s="52">
        <f>(D$5*(C12*C13*C14*C15/D12/D13/D14/D15)*(360/60))*PI()*2*(G$8/2)/360</f>
        <v>41.887902047863911</v>
      </c>
      <c r="G12" s="50">
        <f>1/(F12/E$8)</f>
        <v>1.5278874536821951</v>
      </c>
      <c r="H12" s="14"/>
      <c r="I12" s="9"/>
    </row>
    <row r="13" spans="1:9">
      <c r="A13" s="1"/>
      <c r="B13" s="15"/>
      <c r="C13" s="19">
        <v>1</v>
      </c>
      <c r="D13" s="19">
        <v>1</v>
      </c>
      <c r="E13" s="11" t="s">
        <v>42</v>
      </c>
      <c r="F13" s="52">
        <f>(((-1)*((D5*(C12*C13*C14*C15/D12/D13/D14/D15)*(360/60))/(G17))*(F8))+(D5*(C12*C13*C14*C15/D12/D13/D14/D15)*(360/60)))*(3.14*2*(G8/2)/360)</f>
        <v>9.0677671951280274</v>
      </c>
      <c r="G13" s="50">
        <f>1/(F13/E$8)</f>
        <v>7.0579668205846993</v>
      </c>
      <c r="H13" s="18"/>
      <c r="I13" s="1"/>
    </row>
    <row r="14" spans="1:9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>
      <c r="A15" s="1"/>
      <c r="B15" s="15"/>
      <c r="C15" s="19">
        <v>1</v>
      </c>
      <c r="D15" s="19">
        <v>1</v>
      </c>
      <c r="E15" s="1"/>
      <c r="H15" s="18"/>
      <c r="I15" s="1"/>
    </row>
    <row r="16" spans="1:9" ht="60">
      <c r="A16" s="1"/>
      <c r="B16" s="15"/>
      <c r="C16" s="46">
        <f>D12*D13*D14*D15/C12/C13/C14/C15</f>
        <v>1</v>
      </c>
      <c r="D16" s="47" t="s">
        <v>46</v>
      </c>
      <c r="E16" s="1"/>
      <c r="F16" s="39" t="s">
        <v>47</v>
      </c>
      <c r="G16" s="39" t="s">
        <v>45</v>
      </c>
      <c r="H16" s="18"/>
      <c r="I16" s="1"/>
    </row>
    <row r="17" spans="1:9">
      <c r="A17" s="1"/>
      <c r="B17" s="15"/>
      <c r="C17" s="42"/>
      <c r="D17" s="1"/>
      <c r="E17" s="1"/>
      <c r="F17" s="48">
        <f>((((F$5*C$8)-(G5*C$8))/(E$5*C$8))*(F$8*G$8/2*(C12*C13*C14*C15/D12/D13/D14/D15)/(0.2248*39.37))+(G$5*C$8))/C$8</f>
        <v>3.6669944687731775</v>
      </c>
      <c r="G17" s="51">
        <f>E$5*C$8*(1/(C12*C13*C14*C15/D12/D13/D14/D15))*39.37*0.2248*D$8/(G$8/2)</f>
        <v>14.041121523999996</v>
      </c>
      <c r="H17" s="18"/>
      <c r="I17" s="1"/>
    </row>
    <row r="18" spans="1:9" ht="16" thickBot="1">
      <c r="A18" s="1"/>
      <c r="B18" s="20"/>
      <c r="C18" s="22"/>
      <c r="D18" s="22"/>
      <c r="E18" s="22"/>
      <c r="F18" s="22"/>
      <c r="G18" s="22"/>
      <c r="H18" s="25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J19"/>
  <sheetViews>
    <sheetView zoomScale="150" zoomScaleNormal="150" zoomScalePageLayoutView="150" workbookViewId="0">
      <selection activeCell="E14" sqref="E14"/>
    </sheetView>
  </sheetViews>
  <sheetFormatPr baseColWidth="10" defaultColWidth="10.83203125" defaultRowHeight="15" x14ac:dyDescent="0"/>
  <cols>
    <col min="1" max="1" width="5.83203125" style="34" customWidth="1"/>
    <col min="2" max="2" width="2.33203125" style="34" customWidth="1"/>
    <col min="3" max="3" width="11.6640625" style="34" customWidth="1"/>
    <col min="4" max="4" width="11.1640625" style="34" customWidth="1"/>
    <col min="5" max="5" width="10.83203125" style="34"/>
    <col min="6" max="6" width="11.83203125" style="34" bestFit="1" customWidth="1"/>
    <col min="7" max="8" width="11.5" style="34" customWidth="1"/>
    <col min="9" max="9" width="2.83203125" style="34" customWidth="1"/>
    <col min="10" max="10" width="2.33203125" style="34" customWidth="1"/>
    <col min="11" max="16384" width="10.83203125" style="34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" thickBot="1">
      <c r="A2" s="1"/>
      <c r="B2" s="35" t="s">
        <v>54</v>
      </c>
      <c r="C2" s="1"/>
      <c r="D2" s="1"/>
      <c r="E2" s="1"/>
      <c r="F2" s="1"/>
      <c r="G2" s="1"/>
      <c r="H2" s="1"/>
      <c r="I2" s="1"/>
      <c r="J2" s="1"/>
    </row>
    <row r="3" spans="1:10">
      <c r="A3" s="1"/>
      <c r="B3" s="2"/>
      <c r="C3" s="36"/>
      <c r="D3" s="3"/>
      <c r="E3" s="3"/>
      <c r="F3" s="3"/>
      <c r="G3" s="3"/>
      <c r="H3" s="3"/>
      <c r="I3" s="4"/>
      <c r="J3" s="1"/>
    </row>
    <row r="4" spans="1:10" ht="35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>
      <c r="A5" s="9"/>
      <c r="B5" s="10"/>
      <c r="C5" s="11" t="s">
        <v>6</v>
      </c>
      <c r="D5" s="12">
        <v>5310</v>
      </c>
      <c r="E5" s="12">
        <v>2.4300000000000002</v>
      </c>
      <c r="F5" s="12">
        <v>133</v>
      </c>
      <c r="G5" s="12">
        <v>2.7</v>
      </c>
      <c r="H5" s="53"/>
      <c r="I5" s="14"/>
      <c r="J5" s="9"/>
    </row>
    <row r="6" spans="1:10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5">
      <c r="A7" s="1"/>
      <c r="B7" s="15"/>
      <c r="C7" s="7" t="s">
        <v>25</v>
      </c>
      <c r="D7" s="7" t="s">
        <v>38</v>
      </c>
      <c r="E7" s="7" t="s">
        <v>52</v>
      </c>
      <c r="F7" s="7" t="s">
        <v>56</v>
      </c>
      <c r="G7" s="7" t="s">
        <v>55</v>
      </c>
      <c r="H7" s="7" t="s">
        <v>57</v>
      </c>
      <c r="I7" s="18"/>
      <c r="J7" s="1"/>
    </row>
    <row r="8" spans="1:10">
      <c r="A8" s="1"/>
      <c r="B8" s="15"/>
      <c r="C8" s="19">
        <v>1</v>
      </c>
      <c r="D8" s="13">
        <v>0.8</v>
      </c>
      <c r="E8" s="19">
        <v>40</v>
      </c>
      <c r="F8" s="19">
        <v>2</v>
      </c>
      <c r="G8" s="19">
        <v>1</v>
      </c>
      <c r="H8" s="19">
        <v>10</v>
      </c>
      <c r="I8" s="18"/>
      <c r="J8" s="1"/>
    </row>
    <row r="9" spans="1:10" ht="16" thickBot="1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>
      <c r="A10" s="1"/>
      <c r="B10" s="2"/>
      <c r="C10" s="36"/>
      <c r="D10" s="26"/>
      <c r="E10" s="3"/>
      <c r="F10" s="3"/>
      <c r="G10" s="3"/>
      <c r="H10" s="3"/>
      <c r="I10" s="4"/>
      <c r="J10" s="1"/>
    </row>
    <row r="11" spans="1:10" ht="60">
      <c r="A11" s="5"/>
      <c r="B11" s="6"/>
      <c r="C11" s="38" t="s">
        <v>11</v>
      </c>
      <c r="D11" s="38" t="s">
        <v>12</v>
      </c>
      <c r="E11" s="5"/>
      <c r="F11" s="39" t="s">
        <v>58</v>
      </c>
      <c r="G11" s="39" t="s">
        <v>59</v>
      </c>
      <c r="H11" s="5"/>
      <c r="I11" s="8"/>
      <c r="J11" s="5"/>
    </row>
    <row r="12" spans="1:10">
      <c r="A12" s="9"/>
      <c r="B12" s="10"/>
      <c r="C12" s="19">
        <v>12</v>
      </c>
      <c r="D12" s="19">
        <v>50</v>
      </c>
      <c r="E12" s="11" t="s">
        <v>41</v>
      </c>
      <c r="F12" s="52">
        <f>(D$5*(C12*C13*C14*C15/D12/D13/D14/D15)*(360/60))*PI()*2*(G$8/2)/360*F$8</f>
        <v>133.45485592449441</v>
      </c>
      <c r="G12" s="50">
        <f>1/(F12/E$8)</f>
        <v>0.29972682314857879</v>
      </c>
      <c r="H12" s="54"/>
      <c r="I12" s="14"/>
      <c r="J12" s="9"/>
    </row>
    <row r="13" spans="1:10">
      <c r="A13" s="1"/>
      <c r="B13" s="15"/>
      <c r="C13" s="19">
        <v>1</v>
      </c>
      <c r="D13" s="19">
        <v>1</v>
      </c>
      <c r="E13" s="11" t="s">
        <v>42</v>
      </c>
      <c r="F13" s="52">
        <f>(((-1)*((D$5*(C12*C13*C14*C15/D12/D13/D14/D15)*(360/60))/(G17))*(H$8))+(D$5*(C12*C13*C14*C15/D12/D13/D14/D15)*(360/60)))*(3.14*2*(G$8/2)/360)*F$8</f>
        <v>124.08389155550253</v>
      </c>
      <c r="G13" s="50">
        <f>1/(F13/E$8)</f>
        <v>0.32236255245192774</v>
      </c>
      <c r="H13" s="54"/>
      <c r="I13" s="18"/>
      <c r="J13" s="1"/>
    </row>
    <row r="14" spans="1:10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60">
      <c r="A16" s="1"/>
      <c r="B16" s="15"/>
      <c r="C16" s="46">
        <f>D12*D13*D14*D15/C12/C13/C14/C15</f>
        <v>4.166666666666667</v>
      </c>
      <c r="D16" s="47" t="s">
        <v>46</v>
      </c>
      <c r="E16" s="1"/>
      <c r="F16" s="39" t="s">
        <v>88</v>
      </c>
      <c r="G16" s="39" t="s">
        <v>87</v>
      </c>
      <c r="H16" s="5"/>
      <c r="I16" s="18"/>
      <c r="J16" s="1"/>
    </row>
    <row r="17" spans="1:10">
      <c r="A17" s="1"/>
      <c r="B17" s="15"/>
      <c r="C17" s="42"/>
      <c r="D17" s="1"/>
      <c r="E17" s="1"/>
      <c r="F17" s="48">
        <f>(((((F$5*C$8)-(G$5*C$8))/(E$5*C$8))*(H$8*(C12*C13*C14*C15/D12/D13/D14/D15)*G$8/(0.2248*39.37)))+(G$5*C$8))/C$8</f>
        <v>17.240778609258111</v>
      </c>
      <c r="G17" s="51">
        <f>E$5*C$8*(1/(C12*C13*C14*C15/D12/D13/D14/D15))*39.37*0.2248*D$8/(G$8/2)</f>
        <v>143.37609120000002</v>
      </c>
      <c r="H17" s="55"/>
      <c r="I17" s="18"/>
      <c r="J17" s="1"/>
    </row>
    <row r="18" spans="1:10" ht="16" thickBot="1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MOTOR-SPECS</vt:lpstr>
      <vt:lpstr>2-Speed Drive</vt:lpstr>
      <vt:lpstr>1-Speed Drive</vt:lpstr>
      <vt:lpstr>Rotary Mechanism</vt:lpstr>
      <vt:lpstr>Linear Mechanism</vt:lpstr>
      <vt:lpstr>Intake Mechanism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Shehan Suresh</cp:lastModifiedBy>
  <dcterms:created xsi:type="dcterms:W3CDTF">2012-08-11T00:19:30Z</dcterms:created>
  <dcterms:modified xsi:type="dcterms:W3CDTF">2015-01-22T02:33:42Z</dcterms:modified>
</cp:coreProperties>
</file>