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ki Tang\Downloads\"/>
    </mc:Choice>
  </mc:AlternateContent>
  <bookViews>
    <workbookView windowWidth="23040" windowHeight="9060"/>
  </bookViews>
  <sheets>
    <sheet name="Cover" sheetId="1" r:id="rId1"/>
    <sheet name="Dashboard" sheetId="2" r:id="rId2"/>
    <sheet name="Students" sheetId="3" r:id="rId3"/>
    <sheet name="Leads" sheetId="4" r:id="rId4"/>
    <sheet name="Trials" sheetId="5" r:id="rId5"/>
    <sheet name="Invoices" sheetId="6" r:id="rId6"/>
    <sheet name="Expenses" sheetId="7" r:id="rId7"/>
    <sheet name="Makeup_Churn" sheetId="8" r:id="rId8"/>
    <sheet name="Events" sheetId="9" r:id="rId9"/>
    <sheet name="WinterCamp" sheetId="10" r:id="rId10"/>
    <sheet name="Camp_Plan" sheetId="11" r:id="rId11"/>
    <sheet name="Scripts" sheetId="12" r:id="rId12"/>
    <sheet name="Send_Kit" sheetId="13" r:id="rId13"/>
    <sheet name="Programs" sheetId="14" r:id="rId14"/>
    <sheet name="Exhibitions" sheetId="15" r:id="rId15"/>
    <sheet name="Certificates" sheetId="16" r:id="rId16"/>
    <sheet name="Channel_Pivot" sheetId="17" r:id="rId17"/>
    <sheet name="Access" sheetId="18" r:id="rId18"/>
    <sheet name="Consents" sheetId="19" r:id="rId19"/>
    <sheet name="Approvals" sheetId="20" r:id="rId20"/>
    <sheet name="Offboarding" sheetId="21" r:id="rId21"/>
    <sheet name="Assets" sheetId="22" r:id="rId22"/>
    <sheet name="Brand" sheetId="23" r:id="rId23"/>
    <sheet name="PDF_List" sheetId="24" r:id="rId24"/>
    <sheet name="Calendar" sheetId="25" r:id="rId25"/>
    <sheet name="Halloween" sheetId="26" r:id="rId26"/>
    <sheet name="ForFun_EN" sheetId="27" r:id="rId27"/>
    <sheet name="Flyer" sheetId="28" r:id="rId28"/>
    <sheet name="Tasklist" sheetId="29" r:id="rId29"/>
    <sheet name="Invoice_Poster" sheetId="30" r:id="rId30"/>
    <sheet name="Consent_Poster" sheetId="31" r:id="rId31"/>
    <sheet name="Survey_Poster" sheetId="32" r:id="rId32"/>
    <sheet name="Gantt" sheetId="33" r:id="rId33"/>
    <sheet name="Compliance" sheetId="34" r:id="rId34"/>
    <sheet name="AntiFraud" sheetId="35" r:id="rId35"/>
    <sheet name="SOP" sheetId="36" r:id="rId36"/>
    <sheet name="Showcase" sheetId="37" r:id="rId37"/>
    <sheet name="BirthdayWS" sheetId="38" r:id="rId38"/>
    <sheet name="HalloweenPlan" sheetId="39" r:id="rId39"/>
    <sheet name="Certificate" sheetId="40" r:id="rId40"/>
    <sheet name="Sales2027" sheetId="41" r:id="rId41"/>
    <sheet name="PnL2027" sheetId="42" r:id="rId42"/>
    <sheet name="First30" sheetId="43" r:id="rId43"/>
  </sheets>
  <definedNames>
    <definedName name="_xlnm._FilterDatabase" localSheetId="2" hidden="1">Students!$A$2:$J$100</definedName>
    <definedName name="_xlnm._FilterDatabase" localSheetId="3" hidden="1">Leads!$A$2:$M$100</definedName>
    <definedName name="_xlnm._FilterDatabase" localSheetId="4" hidden="1">Trials!$A$2:$J$100</definedName>
    <definedName name="_xlnm._FilterDatabase" localSheetId="5" hidden="1">Invoices!$A$2:$L$34</definedName>
    <definedName name="_xlnm._FilterDatabase" localSheetId="6" hidden="1">Expenses!$A$2:$F$100</definedName>
    <definedName name="_xlnm._FilterDatabase" localSheetId="7" hidden="1">Makeup_Churn!$A$2:$G$100</definedName>
    <definedName name="_xlnm._FilterDatabase" localSheetId="9" hidden="1">WinterCamp!$A$2:$G$100</definedName>
    <definedName name="_xlnm._FilterDatabase" localSheetId="13" hidden="1">Programs!$A$2:$G$33</definedName>
    <definedName name="_xlnm.Print_Titles" localSheetId="1">Dashboard!$1:$2</definedName>
    <definedName name="_xlnm.Print_Titles" localSheetId="2">Students!$1:$2</definedName>
    <definedName name="_xlnm.Print_Titles" localSheetId="3">Leads!$1:$2</definedName>
    <definedName name="_xlnm.Print_Titles" localSheetId="4">Trials!$1:$2</definedName>
    <definedName name="_xlnm.Print_Titles" localSheetId="5">Invoices!$1:$2</definedName>
    <definedName name="_xlnm.Print_Titles" localSheetId="6">Expenses!$1:$2</definedName>
    <definedName name="_xlnm.Print_Titles" localSheetId="7">Makeup_Churn!$1:$2</definedName>
    <definedName name="_xlnm.Print_Titles" localSheetId="8">Events!$1:$2</definedName>
    <definedName name="_xlnm.Print_Titles" localSheetId="9">WinterCamp!$1:$2</definedName>
    <definedName name="_xlnm.Print_Titles" localSheetId="10">Camp_Plan!$1:$2</definedName>
    <definedName name="_xlnm.Print_Titles" localSheetId="11">Scripts!$1:$2</definedName>
    <definedName name="_xlnm.Print_Titles" localSheetId="12">Send_Kit!$1:$2</definedName>
    <definedName name="_xlnm.Print_Titles" localSheetId="13">Programs!$1:$2</definedName>
    <definedName name="_xlnm.Print_Titles" localSheetId="14">Exhibitions!$1:$2</definedName>
    <definedName name="_xlnm.Print_Titles" localSheetId="15">Certificates!$1:$2</definedName>
    <definedName name="_xlnm.Print_Titles" localSheetId="16">Channel_Pivot!$1:$2</definedName>
    <definedName name="_xlnm.Print_Titles" localSheetId="17">Access!$1:$2</definedName>
    <definedName name="_xlnm.Print_Titles" localSheetId="18">Consents!$1:$2</definedName>
    <definedName name="_xlnm.Print_Titles" localSheetId="19">Approvals!$1:$2</definedName>
    <definedName name="_xlnm.Print_Titles" localSheetId="20">Offboarding!$1:$2</definedName>
    <definedName name="_xlnm.Print_Titles" localSheetId="21">Assets!$1:$2</definedName>
    <definedName name="_xlnm.Print_Titles" localSheetId="22">Brand!$1:$2</definedName>
    <definedName name="_xlnm.Print_Titles" localSheetId="23">PDF_List!$1:$2</definedName>
    <definedName name="_xlnm.Print_Titles" localSheetId="28">Tasklist!$1:$2</definedName>
    <definedName name="_xlnm.Print_Titles" localSheetId="32">Gantt!$1:$2</definedName>
    <definedName name="_xlnm.Print_Titles" localSheetId="33">Compliance!$1:$2</definedName>
    <definedName name="_xlnm.Print_Titles" localSheetId="34">AntiFraud!$1:$2</definedName>
    <definedName name="_xlnm.Print_Titles" localSheetId="35">SOP!$1:$2</definedName>
    <definedName name="_xlnm.Print_Titles" localSheetId="36">Showcase!$1:$2</definedName>
    <definedName name="_xlnm.Print_Titles" localSheetId="37">BirthdayWS!$1:$2</definedName>
    <definedName name="_xlnm.Print_Titles" localSheetId="38">HalloweenPlan!$1:$2</definedName>
    <definedName name="_xlnm.Print_Titles" localSheetId="40">Sales2027!$1:$2</definedName>
    <definedName name="_xlnm.Print_Titles" localSheetId="41">'PnL2027'!$1:$2</definedName>
    <definedName name="_xlnm.Print_Titles" localSheetId="42">First30!$1:$2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Unpaid &gt;7 days = call today.</t>
        </r>
      </text>
    </comment>
  </commentList>
</comments>
</file>

<file path=xl/comments2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Minors' data minimum necessary, no outside sharing. Expiry in contract.</t>
        </r>
      </text>
    </comment>
  </commentList>
</comments>
</file>

<file path=xl/comments3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Log source + consent basis for every lead. Never buy lists. CCA leads only with school permission.</t>
        </r>
      </text>
    </comment>
  </commentList>
</comments>
</file>

<file path=xl/comments4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Trial fee/free must match promise. Log no-enrol reasons truthfully.</t>
        </r>
      </text>
    </comment>
  </commentList>
</comments>
</file>

<file path=xl/comments5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Corporate account only. Every discount signed. Receipt for every yuan.</t>
        </r>
      </text>
    </comment>
  </commentList>
</comments>
</file>

<file path=xl/comments6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Receipts same day. No cash without voucher.</t>
        </r>
      </text>
    </comment>
  </commentList>
</comments>
</file>

<file path=xl/comments7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Make-up promises in writing. No verbal unlimited guarantees.</t>
        </r>
      </text>
    </comment>
  </commentList>
</comments>
</file>

<file path=xl/comments8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EKA permits first. Wind/rain plan. Insurance for kids in sculptures.</t>
        </r>
      </text>
    </comment>
  </commentList>
</comments>
</file>

<file path=xl/comments9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4-kid min, food safety, licensed lunch venue. Refund rules before selling.</t>
        </r>
      </text>
    </comment>
  </commentList>
</comments>
</file>

<file path=xl/comments10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Curriculum IP stays inside. Timestamp versions.</t>
        </r>
      </text>
    </comment>
  </commentList>
</comments>
</file>

<file path=xl/comments11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Cut % + contract before sending works.</t>
        </r>
      </text>
    </comment>
  </commentList>
</comments>
</file>

<file path=xl/comments12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Certify only hours taught. Danny signs.</t>
        </r>
      </text>
    </comment>
  </commentList>
</comments>
</file>

<file path=xl/comments13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Management accounts, reconcile monthly.</t>
        </r>
      </text>
    </comment>
  </commentList>
</comments>
</file>

<file path=xl/comments14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Sign first, shoot later. Withdraw = delete in 15 days.</t>
        </r>
      </text>
    </comment>
  </commentList>
</comments>
</file>

<file path=xl/comments15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No approval, no discount/refund/cut.</t>
        </r>
      </text>
    </comment>
  </commentList>
</comments>
</file>

<file path=xl/comments16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Safety + consent + money = P0.</t>
        </r>
      </text>
    </comment>
  </commentList>
</comments>
</file>

<file path=xl/comments17.xml><?xml version="1.0" encoding="utf-8"?>
<comments xmlns="http://schemas.openxmlformats.org/spreadsheetml/2006/main">
  <authors>
    <author>NovArt</author>
  </authors>
  <commentList>
    <comment ref="A2" authorId="0">
      <text>
        <r>
          <rPr>
            <sz val="10"/>
            <rFont val="宋体"/>
            <charset val="134"/>
          </rPr>
          <t>Red line: Overdue P0 = escalate same day.</t>
        </r>
      </text>
    </comment>
  </commentList>
</comments>
</file>

<file path=xl/sharedStrings.xml><?xml version="1.0" encoding="utf-8"?>
<sst xmlns="http://schemas.openxmlformats.org/spreadsheetml/2006/main" count="1959" uniqueCount="992">
  <si>
    <t>Track</t>
  </si>
  <si>
    <t>money · people · risks</t>
  </si>
  <si>
    <t>which channel pays</t>
  </si>
  <si>
    <t>start here</t>
  </si>
  <si>
    <t>overall plan</t>
  </si>
  <si>
    <t>Sales Plan 2027</t>
  </si>
  <si>
    <t>costs + net</t>
  </si>
  <si>
    <t>Work</t>
  </si>
  <si>
    <t>pipeline</t>
  </si>
  <si>
    <t>booking + outcome</t>
  </si>
  <si>
    <t>bill + collect</t>
  </si>
  <si>
    <t>credits left</t>
  </si>
  <si>
    <t>who drifts</t>
  </si>
  <si>
    <t>spend</t>
  </si>
  <si>
    <t>full</t>
  </si>
  <si>
    <t>6-step plan</t>
  </si>
  <si>
    <t>Send</t>
  </si>
  <si>
    <t>Kits</t>
  </si>
  <si>
    <t>8 steps daily</t>
  </si>
  <si>
    <t>Program</t>
  </si>
  <si>
    <t>Programs</t>
  </si>
  <si>
    <t>Exhibitions</t>
  </si>
  <si>
    <t>Certificates Tracker</t>
  </si>
  <si>
    <t>print certificate</t>
  </si>
  <si>
    <t>year calendar</t>
  </si>
  <si>
    <t>art party plan</t>
  </si>
  <si>
    <t>birthday plan</t>
  </si>
  <si>
    <t>pumpkin plan</t>
  </si>
  <si>
    <t>Assets</t>
  </si>
  <si>
    <t>Assets Control</t>
  </si>
  <si>
    <t>missing list</t>
  </si>
  <si>
    <t>trial flyer</t>
  </si>
  <si>
    <t>pumpkin flyer</t>
  </si>
  <si>
    <t>for fun</t>
  </si>
  <si>
    <t>events + gifts</t>
  </si>
  <si>
    <t>logo + sign-offs</t>
  </si>
  <si>
    <t>print invoice</t>
  </si>
  <si>
    <t>print consent</t>
  </si>
  <si>
    <t>print</t>
  </si>
  <si>
    <t>Risk</t>
  </si>
  <si>
    <t>who edits</t>
  </si>
  <si>
    <t>sign first</t>
  </si>
  <si>
    <t>approve first</t>
  </si>
  <si>
    <t>exit flow</t>
  </si>
  <si>
    <t>scam defense</t>
  </si>
  <si>
    <t>scope + hours</t>
  </si>
  <si>
    <t>law + red lines</t>
  </si>
  <si>
    <t>Dashboard</t>
  </si>
  <si>
    <t>Item</t>
  </si>
  <si>
    <t>Amount (¥)</t>
  </si>
  <si>
    <t>Notes</t>
  </si>
  <si>
    <t>Month revenue (paid)</t>
  </si>
  <si>
    <t>Outstanding (unpaid)</t>
  </si>
  <si>
    <t>¥ — chase now</t>
  </si>
  <si>
    <t>Other expenses</t>
  </si>
  <si>
    <t>¥ — auto from Expenses</t>
  </si>
  <si>
    <t>Referral payout 10%</t>
  </si>
  <si>
    <t>¥</t>
  </si>
  <si>
    <t>Hospitality 3%</t>
  </si>
  <si>
    <t>Net balance</t>
  </si>
  <si>
    <t>¥ — revenue minus all</t>
  </si>
  <si>
    <t>Active students</t>
  </si>
  <si>
    <t>kids</t>
  </si>
  <si>
    <t>Open leads</t>
  </si>
  <si>
    <t>families</t>
  </si>
  <si>
    <t>Trial→enrolment</t>
  </si>
  <si>
    <t>target 50%</t>
  </si>
  <si>
    <t>Renewals due</t>
  </si>
  <si>
    <t>kids — see Students</t>
  </si>
  <si>
    <t>Renew soon (4 left — act early)</t>
  </si>
  <si>
    <t>families — talk before the last 2</t>
  </si>
  <si>
    <t>Churn risks</t>
  </si>
  <si>
    <t>Camp weeks full</t>
  </si>
  <si>
    <t>weeks ≥4 kids</t>
  </si>
  <si>
    <t>Renew now list</t>
  </si>
  <si>
    <t>List (auto in modern WPS; else see red rows)</t>
  </si>
  <si>
    <t>Churn watchlist</t>
  </si>
  <si>
    <t>Outstanding detail</t>
  </si>
  <si>
    <t>Detail (auto; else see Unpaid rows)</t>
  </si>
  <si>
    <t>Today's list (auto)</t>
  </si>
  <si>
    <t>Done?</t>
  </si>
  <si>
    <t>Renew now: call red rows in Students</t>
  </si>
  <si>
    <t/>
  </si>
  <si>
    <t>At risk: talk to red rows in Makeup_Churn</t>
  </si>
  <si>
    <t>Unpaid: chase Unpaid rows in Invoices</t>
  </si>
  <si>
    <t>Targets vs Actual (meeting numbers)</t>
  </si>
  <si>
    <t>Metric</t>
  </si>
  <si>
    <t>Target</t>
  </si>
  <si>
    <t>Actual</t>
  </si>
  <si>
    <t>Gap</t>
  </si>
  <si>
    <t>Students / month</t>
  </si>
  <si>
    <t>Trial conversion</t>
  </si>
  <si>
    <t>Renewals due (want 0)</t>
  </si>
  <si>
    <t>Churn risks (want 0)</t>
  </si>
  <si>
    <t>Unpaid bills (want 0)</t>
  </si>
  <si>
    <t>Open items (want 0): renewals, risks, unpaid above.</t>
  </si>
  <si>
    <t>24 hours</t>
  </si>
  <si>
    <t>Target (meeting)</t>
  </si>
  <si>
    <t>Students &amp; Class Credits</t>
  </si>
  <si>
    <t>ID</t>
  </si>
  <si>
    <t>Name</t>
  </si>
  <si>
    <t>Age</t>
  </si>
  <si>
    <t>School</t>
  </si>
  <si>
    <t>WeChat</t>
  </si>
  <si>
    <t>Package</t>
  </si>
  <si>
    <t>Total</t>
  </si>
  <si>
    <t>Used</t>
  </si>
  <si>
    <t>Left</t>
  </si>
  <si>
    <t>Renew flag</t>
  </si>
  <si>
    <t>From trial</t>
  </si>
  <si>
    <t>Absences</t>
  </si>
  <si>
    <t>STU-01</t>
  </si>
  <si>
    <t>Josh D1</t>
  </si>
  <si>
    <t>Dulwich</t>
  </si>
  <si>
    <t>Semester+1</t>
  </si>
  <si>
    <t>STU-02</t>
  </si>
  <si>
    <t>Josh D2</t>
  </si>
  <si>
    <t>Semester</t>
  </si>
  <si>
    <t>STU-03</t>
  </si>
  <si>
    <t>Charlotte</t>
  </si>
  <si>
    <t>STU-04</t>
  </si>
  <si>
    <t>William</t>
  </si>
  <si>
    <t>STU-05</t>
  </si>
  <si>
    <t>Daphne</t>
  </si>
  <si>
    <t>YCIS</t>
  </si>
  <si>
    <t>18-class</t>
  </si>
  <si>
    <t>Leads</t>
  </si>
  <si>
    <t>Lead ID</t>
  </si>
  <si>
    <t>Parent</t>
  </si>
  <si>
    <t>Child / Age</t>
  </si>
  <si>
    <t>Source</t>
  </si>
  <si>
    <t>CCA?</t>
  </si>
  <si>
    <t>Status</t>
  </si>
  <si>
    <t>Next step</t>
  </si>
  <si>
    <t>Last follow-up</t>
  </si>
  <si>
    <t>Introduced by</t>
  </si>
  <si>
    <t>Owner</t>
  </si>
  <si>
    <t>First-touch script</t>
  </si>
  <si>
    <t>LEAD-01</t>
  </si>
  <si>
    <t>Josh's dad</t>
  </si>
  <si>
    <t>Josh D1, 7</t>
  </si>
  <si>
    <t>Referral</t>
  </si>
  <si>
    <t>No</t>
  </si>
  <si>
    <t>Enrolled</t>
  </si>
  <si>
    <t>Collect 4-kid fees</t>
  </si>
  <si>
    <t>LEAD-02</t>
  </si>
  <si>
    <t>Pending A</t>
  </si>
  <si>
    <t>CCA showcase</t>
  </si>
  <si>
    <t>Yes</t>
  </si>
  <si>
    <t>Contacting</t>
  </si>
  <si>
    <t>Invite to visit</t>
  </si>
  <si>
    <t>Studio official</t>
  </si>
  <si>
    <t>Trials</t>
  </si>
  <si>
    <t>Trial ID</t>
  </si>
  <si>
    <t>Child</t>
  </si>
  <si>
    <t>Date</t>
  </si>
  <si>
    <t>Attended</t>
  </si>
  <si>
    <t>Outcome</t>
  </si>
  <si>
    <t>No-enrol reason</t>
  </si>
  <si>
    <t>Script</t>
  </si>
  <si>
    <t>Script CN</t>
  </si>
  <si>
    <t>Script EN</t>
  </si>
  <si>
    <t>TR-01</t>
  </si>
  <si>
    <t>2026-10-18</t>
  </si>
  <si>
    <t>T1</t>
  </si>
  <si>
    <t>TR-02</t>
  </si>
  <si>
    <t>2026-10-19</t>
  </si>
  <si>
    <t>Not enrolled</t>
  </si>
  <si>
    <t>Schedule clash</t>
  </si>
  <si>
    <t>T2</t>
  </si>
  <si>
    <t>Invoices</t>
  </si>
  <si>
    <t>Invoice No.</t>
  </si>
  <si>
    <t>Student</t>
  </si>
  <si>
    <t>Price</t>
  </si>
  <si>
    <t>Qty</t>
  </si>
  <si>
    <t>Discount</t>
  </si>
  <si>
    <t>Paid</t>
  </si>
  <si>
    <t>Paid date</t>
  </si>
  <si>
    <t>Script No.</t>
  </si>
  <si>
    <t>Approved by</t>
  </si>
  <si>
    <t>Type</t>
  </si>
  <si>
    <t>INV-2026-001</t>
  </si>
  <si>
    <t>P1</t>
  </si>
  <si>
    <t>TOTAL</t>
  </si>
  <si>
    <t>Expenses</t>
  </si>
  <si>
    <t>Category</t>
  </si>
  <si>
    <t>Amount</t>
  </si>
  <si>
    <t>Note</t>
  </si>
  <si>
    <t>Make-ups &amp; At-Risk</t>
  </si>
  <si>
    <t>Absence dates</t>
  </si>
  <si>
    <t>Make-up date</t>
  </si>
  <si>
    <t>Done</t>
  </si>
  <si>
    <t>Alert</t>
  </si>
  <si>
    <t>Message</t>
  </si>
  <si>
    <t>Events &amp; Materials</t>
  </si>
  <si>
    <t>Event</t>
  </si>
  <si>
    <t>Unit price</t>
  </si>
  <si>
    <t>Subtotal</t>
  </si>
  <si>
    <t>CCA closing gift</t>
  </si>
  <si>
    <t>Halloween</t>
  </si>
  <si>
    <t>Pumpkin + decor</t>
  </si>
  <si>
    <t>Winter camp</t>
  </si>
  <si>
    <t>Poster flyer</t>
  </si>
  <si>
    <t>Winter Camp</t>
  </si>
  <si>
    <t>Week</t>
  </si>
  <si>
    <t>Returning</t>
  </si>
  <si>
    <t>Fee</t>
  </si>
  <si>
    <t>Fill</t>
  </si>
  <si>
    <t>Winter Camp Plan</t>
  </si>
  <si>
    <t>Milestone</t>
  </si>
  <si>
    <t xml:space="preserve"> </t>
  </si>
  <si>
    <t>Dec</t>
  </si>
  <si>
    <t>W1 Christmas week — dates locked with parents/schools</t>
  </si>
  <si>
    <t>3 weeks total per model; Jan counts 3</t>
  </si>
  <si>
    <t>W2 New Year week</t>
  </si>
  <si>
    <t>Goats-in-Art all 3 weeks</t>
  </si>
  <si>
    <t>Jan</t>
  </si>
  <si>
    <t>W3 after-New-Year week</t>
  </si>
  <si>
    <t>Min 4 kids/week to open</t>
  </si>
  <si>
    <t>Nov</t>
  </si>
  <si>
    <t>Goat sculpture Proof standing in the studio (kids see it, want it)</t>
  </si>
  <si>
    <t>Danny designs</t>
  </si>
  <si>
    <t>Week split: sculpture ~12h + painting ~8h = 20h (5 days x 6h incl lunch, 2 breaks)</t>
  </si>
  <si>
    <t>Topic-focused, one theme</t>
  </si>
  <si>
    <t>Daily rule: finished work to take home every day</t>
  </si>
  <si>
    <t>Fee CNY 9,000/kid/week; list-price story 400/hr; early-bird + royalty discounts only, each in writing</t>
  </si>
  <si>
    <t>Approvals</t>
  </si>
  <si>
    <t>Strict pricing; private rates stay private</t>
  </si>
  <si>
    <t>F1</t>
  </si>
  <si>
    <t>Early Dec</t>
  </si>
  <si>
    <t>Ask regulars staying in Shanghai with K1 (soft, chat-first); invite them to refer a friend staying too</t>
  </si>
  <si>
    <t>No hard sell</t>
  </si>
  <si>
    <t>K1</t>
  </si>
  <si>
    <t>Mid Dec</t>
  </si>
  <si>
    <t>100 flyers + QR out</t>
  </si>
  <si>
    <t>1 wk before</t>
  </si>
  <si>
    <t>Headcount per week: 4+ open; under 4 merge into the studio group (studio rent CNY 1,000/day line)</t>
  </si>
  <si>
    <t>Few kids = studio, not school site</t>
  </si>
  <si>
    <t>Roles: Teacher + Helper; lunch plan; materials kits in Events</t>
  </si>
  <si>
    <t>Camp open</t>
  </si>
  <si>
    <t>Film with V1 consents only (white canvas to finish)</t>
  </si>
  <si>
    <t>No signed row, no camera</t>
  </si>
  <si>
    <t>V1</t>
  </si>
  <si>
    <t>T+1 day</t>
  </si>
  <si>
    <t>Thank-you + trial/enrolment pack to every camp family; log in Trials/Leads</t>
  </si>
  <si>
    <t>24h rule</t>
  </si>
  <si>
    <t>Messages</t>
  </si>
  <si>
    <t>No.</t>
  </si>
  <si>
    <t>Scenario</t>
  </si>
  <si>
    <t>Message (EN)</t>
  </si>
  <si>
    <t>Message (CN)</t>
  </si>
  <si>
    <t>Send invoice</t>
  </si>
  <si>
    <t>Hello [name], attached is [child]'s fee summary for [dates]: [n] sessions, CNY [amount]. At NovArt every session is planned around your child, so no two classes are the same. Let me know if you'd like anything adjusted.</t>
  </si>
  <si>
    <r>
      <t>您好</t>
    </r>
    <r>
      <rPr>
        <sz val="10"/>
        <color theme="1"/>
        <rFont val="Calibri"/>
        <charset val="134"/>
      </rPr>
      <t>[</t>
    </r>
    <r>
      <rPr>
        <sz val="10"/>
        <color theme="1"/>
        <rFont val="宋体"/>
        <charset val="134"/>
      </rPr>
      <t>称呼</t>
    </r>
    <r>
      <rPr>
        <sz val="10"/>
        <color theme="1"/>
        <rFont val="Calibri"/>
        <charset val="134"/>
      </rPr>
      <t>]</t>
    </r>
    <r>
      <rPr>
        <sz val="10"/>
        <color theme="1"/>
        <rFont val="宋体"/>
        <charset val="134"/>
      </rPr>
      <t>，附件是</t>
    </r>
    <r>
      <rPr>
        <sz val="10"/>
        <color theme="1"/>
        <rFont val="Calibri"/>
        <charset val="134"/>
      </rPr>
      <t>[</t>
    </r>
    <r>
      <rPr>
        <sz val="10"/>
        <color theme="1"/>
        <rFont val="宋体"/>
        <charset val="134"/>
      </rPr>
      <t>孩子</t>
    </r>
    <r>
      <rPr>
        <sz val="10"/>
        <color theme="1"/>
        <rFont val="Calibri"/>
        <charset val="134"/>
      </rPr>
      <t>][</t>
    </r>
    <r>
      <rPr>
        <sz val="10"/>
        <color theme="1"/>
        <rFont val="宋体"/>
        <charset val="134"/>
      </rPr>
      <t>日期</t>
    </r>
    <r>
      <rPr>
        <sz val="10"/>
        <color theme="1"/>
        <rFont val="Calibri"/>
        <charset val="134"/>
      </rPr>
      <t>]</t>
    </r>
    <r>
      <rPr>
        <sz val="10"/>
        <color theme="1"/>
        <rFont val="宋体"/>
        <charset val="134"/>
      </rPr>
      <t>的费用小结：共</t>
    </r>
    <r>
      <rPr>
        <sz val="10"/>
        <color theme="1"/>
        <rFont val="Calibri"/>
        <charset val="134"/>
      </rPr>
      <t>[n]</t>
    </r>
    <r>
      <rPr>
        <sz val="10"/>
        <color theme="1"/>
        <rFont val="宋体"/>
        <charset val="134"/>
      </rPr>
      <t>节，合计</t>
    </r>
    <r>
      <rPr>
        <sz val="10"/>
        <color theme="1"/>
        <rFont val="Calibri"/>
        <charset val="134"/>
      </rPr>
      <t>[</t>
    </r>
    <r>
      <rPr>
        <sz val="10"/>
        <color theme="1"/>
        <rFont val="宋体"/>
        <charset val="134"/>
      </rPr>
      <t>金额</t>
    </r>
    <r>
      <rPr>
        <sz val="10"/>
        <color theme="1"/>
        <rFont val="Calibri"/>
        <charset val="134"/>
      </rPr>
      <t>]</t>
    </r>
    <r>
      <rPr>
        <sz val="10"/>
        <color theme="1"/>
        <rFont val="宋体"/>
        <charset val="134"/>
      </rPr>
      <t>元。在</t>
    </r>
    <r>
      <rPr>
        <sz val="10"/>
        <color theme="1"/>
        <rFont val="Calibri"/>
        <charset val="134"/>
      </rPr>
      <t>NovArt</t>
    </r>
    <r>
      <rPr>
        <sz val="10"/>
        <color theme="1"/>
        <rFont val="宋体"/>
        <charset val="134"/>
      </rPr>
      <t>，每节课都围绕孩子单独设计，不会有两节完全一样的课。如需调整，随时告诉我。</t>
    </r>
  </si>
  <si>
    <t>P2</t>
  </si>
  <si>
    <t>Gentle nudge</t>
  </si>
  <si>
    <t>Hello [name], floating last week's fee summary back to the top — it may be buried in a busy inbox. No rush; reply when it suits you and I'll resend the breakdown.</t>
  </si>
  <si>
    <r>
      <t>您好</t>
    </r>
    <r>
      <rPr>
        <sz val="10"/>
        <color theme="1"/>
        <rFont val="Calibri"/>
        <charset val="134"/>
      </rPr>
      <t>[</t>
    </r>
    <r>
      <rPr>
        <sz val="10"/>
        <color theme="1"/>
        <rFont val="宋体"/>
        <charset val="134"/>
      </rPr>
      <t>称呼</t>
    </r>
    <r>
      <rPr>
        <sz val="10"/>
        <color theme="1"/>
        <rFont val="Calibri"/>
        <charset val="134"/>
      </rPr>
      <t>]</t>
    </r>
    <r>
      <rPr>
        <sz val="10"/>
        <color theme="1"/>
        <rFont val="宋体"/>
        <charset val="134"/>
      </rPr>
      <t>，把上周的费用小结再顶一下，可能沉在未读里了。不着急，方便时回我一声，我把明细再发一份。</t>
    </r>
  </si>
  <si>
    <t>Post-trial 24h</t>
  </si>
  <si>
    <t>It was lovely having [child] today — [one concrete thing they did]. The course plan is attached; confirming this week keeps the same teacher and slot from next week.</t>
  </si>
  <si>
    <r>
      <t>今天</t>
    </r>
    <r>
      <rPr>
        <sz val="10"/>
        <color theme="1"/>
        <rFont val="Calibri"/>
        <charset val="134"/>
      </rPr>
      <t>[</t>
    </r>
    <r>
      <rPr>
        <sz val="10"/>
        <color theme="1"/>
        <rFont val="宋体"/>
        <charset val="134"/>
      </rPr>
      <t>孩子</t>
    </r>
    <r>
      <rPr>
        <sz val="10"/>
        <color theme="1"/>
        <rFont val="Calibri"/>
        <charset val="134"/>
      </rPr>
      <t>]</t>
    </r>
    <r>
      <rPr>
        <sz val="10"/>
        <color theme="1"/>
        <rFont val="宋体"/>
        <charset val="134"/>
      </rPr>
      <t>表现很好，</t>
    </r>
    <r>
      <rPr>
        <sz val="10"/>
        <color theme="1"/>
        <rFont val="Calibri"/>
        <charset val="134"/>
      </rPr>
      <t>[</t>
    </r>
    <r>
      <rPr>
        <sz val="10"/>
        <color theme="1"/>
        <rFont val="宋体"/>
        <charset val="134"/>
      </rPr>
      <t>一件具体的事</t>
    </r>
    <r>
      <rPr>
        <sz val="10"/>
        <color theme="1"/>
        <rFont val="Calibri"/>
        <charset val="134"/>
      </rPr>
      <t>]</t>
    </r>
    <r>
      <rPr>
        <sz val="10"/>
        <color theme="1"/>
        <rFont val="宋体"/>
        <charset val="134"/>
      </rPr>
      <t>。课程方案附后，本周确认的话，下周起是同一位老师、同一个时间，孩子不用重新适应。</t>
    </r>
  </si>
  <si>
    <t>Trial passed</t>
  </si>
  <si>
    <t>No pressure at all — art can't be rushed. If you have a moment, tell me what held you back (timing, fee, or simply not yet) so I can note it. When a camp or workshop fits, you'll hear from me first.</t>
  </si>
  <si>
    <t>完全没关系，艺术急不得。方便的话告诉我一声，是时间、费用，还是时机未到，我记下来。以后有合适的营或工坊，我第一个告诉您。</t>
  </si>
  <si>
    <t>R1</t>
  </si>
  <si>
    <t>Renewal</t>
  </si>
  <si>
    <t>Heads-up: [child] has 2 sessions left, finishing around [date]. The next block brings a new artist and new techniques, and the teacher already has a direction in mind for [child]. Shall I hold the slot?</t>
  </si>
  <si>
    <t>提醒一下，[孩子]还剩2节，大约[日期]结课。下一轮是新的艺术家和新技法，老师已经给[孩子]想好了方向。需要我把名额留住吗？</t>
  </si>
  <si>
    <t>M1</t>
  </si>
  <si>
    <t>Make-up</t>
  </si>
  <si>
    <t>We missed [child] today — hope all is well. Would Saturday or Sunday work for a make-up? Send me a time and I'll book it with the teacher.</t>
  </si>
  <si>
    <t>今天没见到[孩子]，希望一切都好。周六或周日方便补课吗？给我一个时间，我去跟老师约好。</t>
  </si>
  <si>
    <t>M2</t>
  </si>
  <si>
    <t>At-risk check</t>
  </si>
  <si>
    <t>We haven't seen [child] for two weeks — is the current time still working? Tell me a better slot and I'll move things around. [Child] was just finding their stride; stopping now would be a pity.</t>
  </si>
  <si>
    <t>两周没见到[孩子]了，现在的时间还方便吗？告诉我更合适的时间，我来调整。孩子刚找到感觉，这时候停下来挺可惜的。</t>
  </si>
  <si>
    <t>C1</t>
  </si>
  <si>
    <t>CCA to studio</t>
  </si>
  <si>
    <t>You're warmly invited: our end-of-term mini exhibition opens Saturday afternoon, and [child] has work in it. Come hear them talk it through for five minutes — grandparents very welcome too. Afterwards, come upstairs and see the studio.</t>
  </si>
  <si>
    <t>诚挚邀请：结课小展周六下午开幕，[孩子]有作品参展。欢迎来听孩子讲五分钟，祖父母也一起来。展后欢迎上楼参观工作室。</t>
  </si>
  <si>
    <t>G1</t>
  </si>
  <si>
    <t>Referral ask</t>
  </si>
  <si>
    <t>If friends ever ask about art classes, feel free to pass along our referral card. Every referring family gets a thank-you, arranged privately. Most of our families found us this way.</t>
  </si>
  <si>
    <t>如果朋友问起艺术课，欢迎把我们的引荐卡转给他们。每位转介绍的家庭都有心意，私下安排。我们大部分家庭都是这样来的。</t>
  </si>
  <si>
    <t>Photo consent</t>
  </si>
  <si>
    <t>We'd love to include [child]'s best moments in this week's short film, posted only on our official account. Close-ups always need your OK first — the consent form is attached, and a 'no' on any line is fully respected.</t>
  </si>
  <si>
    <t>想把[孩子]本周的精彩瞬间放进本周短片，只发官方账号。特写镜头一定先征得您的同意，授权书附后，任何一条写“不同意”，我们都照办。</t>
  </si>
  <si>
    <t>S1</t>
  </si>
  <si>
    <t>Showcase invite</t>
  </si>
  <si>
    <t>You're invited to our art get-together this Saturday afternoon. Each child presents their work for about five minutes — grandparents warmly welcome. Hope to see you there.</t>
  </si>
  <si>
    <t>邀请您参加本周六下午的艺术小聚。每个孩子上台讲五分钟自己的作品，欢迎祖父母一起来。期待见到您。</t>
  </si>
  <si>
    <t>B1</t>
  </si>
  <si>
    <t>Which account</t>
  </si>
  <si>
    <t>For the fastest reply, please message us here on the official account — the teacher is in class all day and rarely checks messages. We reply within one hour.</t>
  </si>
  <si>
    <t>要最快回复，请直接在这个官方号留言，老师白天都在上课，很少看消息。我们保证一小时内回复。</t>
  </si>
  <si>
    <t>Fee + private thank-you</t>
  </si>
  <si>
    <t>Thank you for bringing [names] along — it means a lot to us. We've added a private thank-you discount to your summary (attached): [n] sessions, CNY [amount]. This rate stays between us, not a public offer. Settling by [date] lets all the kids finish within the semester.</t>
  </si>
  <si>
    <t>感谢您带来[名字]，这对我们意义很大。附件是您的费用小结，已附上私下感谢折扣：共[n]节，合计[金额]元。这个价格只给您，不对外。请在[日期]前确认，这样几个孩子都能在本学期内上完。</t>
  </si>
  <si>
    <t>Camp invite (soft)</t>
  </si>
  <si>
    <t>Are you staying in Shanghai for the holidays? We're running a [theme] camp week — full days, one theme, finished work to take home every day. Several regulars are coming; I can hold a spot, or pass this to a friend who is staying too.</t>
  </si>
  <si>
    <t>假期留沪吗？我们有一周[主题]营，全日制、一个主题、每天都有成品带回家。几个老学员已经报名了，需要留位告诉我，也可以转给同样留沪的朋友。</t>
  </si>
  <si>
    <t>E1</t>
  </si>
  <si>
    <t>Exhibition pack</t>
  </si>
  <si>
    <t>There's a [name] exhibition in [month] and we'd like to enter [child]'s work. Preparation is an 8-hour pack at the regular program rate — materials and entry covered. Shall I reserve the hours?</t>
  </si>
  <si>
    <t>[月份]有个[名称]展览，想送[孩子]的作品去。备展是8小时包，和常规课程同价，材料和送展都含在内。需要我把时间留出来吗？</t>
  </si>
  <si>
    <t>U1</t>
  </si>
  <si>
    <t>Second nudge (firm)</t>
  </si>
  <si>
    <t>Hello [name], following up on the [date] summary (CNY [amount]) — still open. If timing is the issue, give me a date and I'll note it. Otherwise please settle this week so [child]'s classes run uninterrupted.</t>
  </si>
  <si>
    <t>您好[称呼]，[日期]的费用单（[金额]元）还没结。如果是付款时间的问题，告诉我一个日期，我记下来。不然的话，麻烦本周结一下，孩子上课不受影响。</t>
  </si>
  <si>
    <t>Send Kit</t>
  </si>
  <si>
    <t>Scenario (pick)</t>
  </si>
  <si>
    <t>Trial invite</t>
  </si>
  <si>
    <t>1 Script (copy)</t>
  </si>
  <si>
    <t>2 Flyer (SKU)</t>
  </si>
  <si>
    <t>3 Invoice (which)</t>
  </si>
  <si>
    <t>4 Checklist</t>
  </si>
  <si>
    <t>→ Script (auto)</t>
  </si>
  <si>
    <t>→ Flyer (auto)</t>
  </si>
  <si>
    <t>Program / Artist</t>
  </si>
  <si>
    <t>Technique</t>
  </si>
  <si>
    <t>Hours</t>
  </si>
  <si>
    <t>2026 Fall</t>
  </si>
  <si>
    <t>Architecture</t>
  </si>
  <si>
    <t>Construction</t>
  </si>
  <si>
    <t>Running</t>
  </si>
  <si>
    <t>Boats — kids love it</t>
  </si>
  <si>
    <t>2027 Q1</t>
  </si>
  <si>
    <t>Goats in Art (New Year)</t>
  </si>
  <si>
    <t>Sculpture</t>
  </si>
  <si>
    <t>Planned</t>
  </si>
  <si>
    <t>Cyanotype</t>
  </si>
  <si>
    <t>Photographic print</t>
  </si>
  <si>
    <t>Marita Wai style</t>
  </si>
  <si>
    <t>2027 Q2</t>
  </si>
  <si>
    <t>Romero Britto</t>
  </si>
  <si>
    <t>Painting</t>
  </si>
  <si>
    <t>Idea</t>
  </si>
  <si>
    <t>girlish — popular</t>
  </si>
  <si>
    <t>Giacometti</t>
  </si>
  <si>
    <t>hard — small groups</t>
  </si>
  <si>
    <t>CONFIDENTIAL — studio property. Never share full roadmap outside. Version dated on each edit.</t>
  </si>
  <si>
    <t>Last updated:</t>
  </si>
  <si>
    <t>Organizer cut</t>
  </si>
  <si>
    <t>Kids</t>
  </si>
  <si>
    <t>Group</t>
  </si>
  <si>
    <t>Package fee</t>
  </si>
  <si>
    <t>Costs covered</t>
  </si>
  <si>
    <t>Agreed cut %</t>
  </si>
  <si>
    <t>Contract</t>
  </si>
  <si>
    <t>HK show</t>
  </si>
  <si>
    <t>Next exhibition</t>
  </si>
  <si>
    <t>2027-01</t>
  </si>
  <si>
    <t>tbc — ask Beijing lady</t>
  </si>
  <si>
    <t>Exhibition-only</t>
  </si>
  <si>
    <t>Plan - Amber bridge</t>
  </si>
  <si>
    <t>Certificates</t>
  </si>
  <si>
    <t>Issued</t>
  </si>
  <si>
    <t>Signed</t>
  </si>
  <si>
    <t>e.g. Daphne</t>
  </si>
  <si>
    <t>Morandi</t>
  </si>
  <si>
    <t>Channels and Revenue</t>
  </si>
  <si>
    <t>Trial booked</t>
  </si>
  <si>
    <t>Parked</t>
  </si>
  <si>
    <t>Conv.</t>
  </si>
  <si>
    <t>Revenue ¥</t>
  </si>
  <si>
    <t>School event</t>
  </si>
  <si>
    <t>Walk-in</t>
  </si>
  <si>
    <t>Social</t>
  </si>
  <si>
    <t>EKA</t>
  </si>
  <si>
    <t>Partner</t>
  </si>
  <si>
    <t>Birthday WS</t>
  </si>
  <si>
    <t>Month</t>
  </si>
  <si>
    <t>Revenue (paid)</t>
  </si>
  <si>
    <t>2026-10</t>
  </si>
  <si>
    <t>2026-11</t>
  </si>
  <si>
    <t>2026-12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</si>
  <si>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</si>
  <si>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</si>
  <si>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</si>
  <si>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</si>
  <si>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</si>
  <si>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</si>
  <si>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</si>
  <si>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</si>
  <si>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Access Control — who can see and edit</t>
  </si>
  <si>
    <t>Member</t>
  </si>
  <si>
    <t>Role</t>
  </si>
  <si>
    <t>Can view</t>
  </si>
  <si>
    <t>Can edit</t>
  </si>
  <si>
    <t>Locked</t>
  </si>
  <si>
    <t>Coordinator (TBD)</t>
  </si>
  <si>
    <t>Workbook author (TBD)</t>
  </si>
  <si>
    <t>All</t>
  </si>
  <si>
    <t>All (incl formulas)</t>
  </si>
  <si>
    <t>—</t>
  </si>
  <si>
    <t>Nicole</t>
  </si>
  <si>
    <t>View all</t>
  </si>
  <si>
    <t>Sign approvals, discount cols</t>
  </si>
  <si>
    <t>Finance formulas, structure</t>
  </si>
  <si>
    <t>Danny</t>
  </si>
  <si>
    <t>Founder + teacher</t>
  </si>
  <si>
    <t>Programs content, sign-offs</t>
  </si>
  <si>
    <t>Finance, contact details</t>
  </si>
  <si>
    <t>Consents</t>
  </si>
  <si>
    <t>Photo</t>
  </si>
  <si>
    <t>Video</t>
  </si>
  <si>
    <t>Close-up</t>
  </si>
  <si>
    <t>School publish</t>
  </si>
  <si>
    <t>Signed date</t>
  </si>
  <si>
    <t>File ref</t>
  </si>
  <si>
    <t>e.g. Josh D1</t>
  </si>
  <si>
    <t>2026-10-20</t>
  </si>
  <si>
    <t>Student/Item</t>
  </si>
  <si>
    <t>Amount/Discount</t>
  </si>
  <si>
    <t>Requested by</t>
  </si>
  <si>
    <t>Discount (early bird/loyal)</t>
  </si>
  <si>
    <t>Josh 4 kids</t>
  </si>
  <si>
    <t>10% off</t>
  </si>
  <si>
    <t>Requested</t>
  </si>
  <si>
    <t>Exhibition cut</t>
  </si>
  <si>
    <t>Beijing organizer %</t>
  </si>
  <si>
    <t>TBD — get it in writing before any entry work starts</t>
  </si>
  <si>
    <t>Partnership</t>
  </si>
  <si>
    <t>EKA points linkage + 2h staff taster</t>
  </si>
  <si>
    <t>Pending EKA reply (spend/park link; taster format TBD)</t>
  </si>
  <si>
    <t>Offboarding - Run the day someone steps back</t>
  </si>
  <si>
    <t>Step</t>
  </si>
  <si>
    <t>1. Change shared-doc password</t>
  </si>
  <si>
    <t>2. Remove personal devices</t>
  </si>
  <si>
    <t>3. Confirm all rows = official account</t>
  </si>
  <si>
    <t>4. Export final backup</t>
  </si>
  <si>
    <t>5. Revoke shares except founders</t>
  </si>
  <si>
    <t>Asset Library — what we have and what is missing</t>
  </si>
  <si>
    <t>Version/Date</t>
  </si>
  <si>
    <t>Location</t>
  </si>
  <si>
    <t>Stock/Link</t>
  </si>
  <si>
    <t>Cloud link</t>
  </si>
  <si>
    <t>M-01</t>
  </si>
  <si>
    <t>Trial flyer</t>
  </si>
  <si>
    <t>Nicole ver.</t>
  </si>
  <si>
    <t>Cloud/Assets</t>
  </si>
  <si>
    <t>/</t>
  </si>
  <si>
    <t>Attach for trial families</t>
  </si>
  <si>
    <t>See Flyer sheet; link final from cloud</t>
  </si>
  <si>
    <t>Ready</t>
  </si>
  <si>
    <t>M-02</t>
  </si>
  <si>
    <t>2027 calendar + year plan</t>
  </si>
  <si>
    <t>To design</t>
  </si>
  <si>
    <t>See Calendar sheet</t>
  </si>
  <si>
    <t>Closing + welcome gifts</t>
  </si>
  <si>
    <t>M-03</t>
  </si>
  <si>
    <t>Program booklet</t>
  </si>
  <si>
    <t>To compress</t>
  </si>
  <si>
    <t>PDF too big — compress first</t>
  </si>
  <si>
    <t>M-04</t>
  </si>
  <si>
    <t>Referral card</t>
  </si>
  <si>
    <t>To print</t>
  </si>
  <si>
    <t>Front desk</t>
  </si>
  <si>
    <t>Parents pass on</t>
  </si>
  <si>
    <t>M-05</t>
  </si>
  <si>
    <t>Consent form</t>
  </si>
  <si>
    <t>Final</t>
  </si>
  <si>
    <t>Front desk + cloud</t>
  </si>
  <si>
    <t>Sign first</t>
  </si>
  <si>
    <t>M-06</t>
  </si>
  <si>
    <t>Closing gift pack</t>
  </si>
  <si>
    <t>To stock</t>
  </si>
  <si>
    <t>Studio</t>
  </si>
  <si>
    <t>sketchbook + stickers + QR</t>
  </si>
  <si>
    <t>M-07</t>
  </si>
  <si>
    <t>Birthday WS poster</t>
  </si>
  <si>
    <t>To make</t>
  </si>
  <si>
    <t>6–8 kids</t>
  </si>
  <si>
    <t>M-08</t>
  </si>
  <si>
    <t>Winter camp flyer</t>
  </si>
  <si>
    <t>Theme TBD by Danny</t>
  </si>
  <si>
    <t>Goat-year theme first</t>
  </si>
  <si>
    <t>M-09</t>
  </si>
  <si>
    <t>Invoice slip</t>
  </si>
  <si>
    <t>See Invoice_Poster</t>
  </si>
  <si>
    <t>This sheet</t>
  </si>
  <si>
    <t>Attach with bills</t>
  </si>
  <si>
    <t>M-10</t>
  </si>
  <si>
    <t>See Consent_Poster</t>
  </si>
  <si>
    <t>Front desk + sheet</t>
  </si>
  <si>
    <t>M-11</t>
  </si>
  <si>
    <t>Survey</t>
  </si>
  <si>
    <t>See Survey_Poster</t>
  </si>
  <si>
    <t>Send before renewal</t>
  </si>
  <si>
    <t>M-12</t>
  </si>
  <si>
    <t>Halloween flyer</t>
  </si>
  <si>
    <t>EN HD</t>
  </si>
  <si>
    <t>See Halloween sheet</t>
  </si>
  <si>
    <t>10-kid groups, scan to book</t>
  </si>
  <si>
    <t>M-13</t>
  </si>
  <si>
    <t>For Fun EN</t>
  </si>
  <si>
    <t>EN ver.</t>
  </si>
  <si>
    <t>See ForFun_EN</t>
  </si>
  <si>
    <t>Swap original logo before print</t>
  </si>
  <si>
    <t>M-14</t>
  </si>
  <si>
    <t>Closing gifts</t>
  </si>
  <si>
    <t>Mid-Nov ver.</t>
  </si>
  <si>
    <t>sketchbook + stickers + pen + QR + red packet</t>
  </si>
  <si>
    <t>M-15</t>
  </si>
  <si>
    <t>Real pumpkins + carving tools</t>
  </si>
  <si>
    <t>Buy early</t>
  </si>
  <si>
    <t>Brand Assets — logo, sign-offs, letterhead</t>
  </si>
  <si>
    <t>Standard / Text</t>
  </si>
  <si>
    <t>Logo</t>
  </si>
  <si>
    <t>NovArt STUDIO (Λ-A · mirrored-R · F-T); print body always NOVART, art variants for graphics only</t>
  </si>
  <si>
    <t>TBD</t>
  </si>
  <si>
    <t>Email sign-off</t>
  </si>
  <si>
    <t>TBD | Novart Studio · EKA Tianwu, Pudong; Course enquiries | Email TBD</t>
  </si>
  <si>
    <t xml:space="preserve"> TBD</t>
  </si>
  <si>
    <t>WeChat sign-off</t>
  </si>
  <si>
    <t>TBD | Novart Studio; Official account, reply within 1 hour</t>
  </si>
  <si>
    <t>Letterhead</t>
  </si>
  <si>
    <t>Business card</t>
  </si>
  <si>
    <t>Name + official account + Room 409 EKA Tianwu</t>
  </si>
  <si>
    <t>Receiving account</t>
  </si>
  <si>
    <t>Corporate account TBD (never use personal accounts)</t>
  </si>
  <si>
    <t>PDF Build List — list first, design later</t>
  </si>
  <si>
    <t>PDF</t>
  </si>
  <si>
    <t>Use</t>
  </si>
  <si>
    <t>Source sheet</t>
  </si>
  <si>
    <t>PDF-01</t>
  </si>
  <si>
    <t>Bill parents</t>
  </si>
  <si>
    <t>After logo final</t>
  </si>
  <si>
    <t>PDF-02</t>
  </si>
  <si>
    <t>One page per child</t>
  </si>
  <si>
    <t>PDF-03</t>
  </si>
  <si>
    <t>1–5 scale</t>
  </si>
  <si>
    <t>PDF-04</t>
  </si>
  <si>
    <t>Send to prospects</t>
  </si>
  <si>
    <t>Source PDF too big</t>
  </si>
  <si>
    <t>PDF-05</t>
  </si>
  <si>
    <t>2027 calendar</t>
  </si>
  <si>
    <t>Calendar</t>
  </si>
  <si>
    <t>Draft ready</t>
  </si>
  <si>
    <t>Nicole ver. filed</t>
  </si>
  <si>
    <t>PDF-06</t>
  </si>
  <si>
    <t>Send to new leads</t>
  </si>
  <si>
    <t>PDF-07</t>
  </si>
  <si>
    <t>Referrals</t>
  </si>
  <si>
    <t>Students</t>
  </si>
  <si>
    <t>Print 10% rule</t>
  </si>
  <si>
    <t>PDF-08</t>
  </si>
  <si>
    <t>Completion certificate</t>
  </si>
  <si>
    <t>Renewal hook</t>
  </si>
  <si>
    <t>Signed by Danny</t>
  </si>
  <si>
    <t>Class Calendar</t>
  </si>
  <si>
    <t>Halloween Flyer</t>
  </si>
  <si>
    <t>ForFun EN</t>
  </si>
  <si>
    <t>Trial Flyer</t>
  </si>
  <si>
    <t>Tasks</t>
  </si>
  <si>
    <t>Scope</t>
  </si>
  <si>
    <t>When</t>
  </si>
  <si>
    <t>Start</t>
  </si>
  <si>
    <t>End</t>
  </si>
  <si>
    <t>Check A</t>
  </si>
  <si>
    <t>Check B</t>
  </si>
  <si>
    <t>Priority</t>
  </si>
  <si>
    <t>Done%</t>
  </si>
  <si>
    <t>Mid Nov</t>
  </si>
  <si>
    <t>Stock closing gifts (sketchbook + stickers + pen + QR + red packet)</t>
  </si>
  <si>
    <t>6h</t>
  </si>
  <si>
    <t>P0</t>
  </si>
  <si>
    <t>Oct</t>
  </si>
  <si>
    <t>Window + lift ads live in 3 days</t>
  </si>
  <si>
    <t>This week</t>
  </si>
  <si>
    <t>1h</t>
  </si>
  <si>
    <t>Buy real pumpkins early + count tables</t>
  </si>
  <si>
    <t>Before Halloween</t>
  </si>
  <si>
    <t>2h</t>
  </si>
  <si>
    <t>Monthly</t>
  </si>
  <si>
    <t>Collect reviews + referrals</t>
  </si>
  <si>
    <t>UN to NovArt brand cutover: EKA signage, lift ads, parent notice (old name UN Studio)</t>
  </si>
  <si>
    <t>Cash</t>
  </si>
  <si>
    <t>Collect Josh 4-kid fees (discount signed, 24h)</t>
  </si>
  <si>
    <t>Once</t>
  </si>
  <si>
    <t>4h</t>
  </si>
  <si>
    <t>Revive Daphne-type dormant credits (18-class sleepers)</t>
  </si>
  <si>
    <t>Clear unpaid list before each camp/term</t>
  </si>
  <si>
    <t>Each term</t>
  </si>
  <si>
    <t>Sales</t>
  </si>
  <si>
    <t>Lock 3 open issues before start: CCA TA, trial fee, credit expiry</t>
  </si>
  <si>
    <t>3h</t>
  </si>
  <si>
    <t>Lock 400 list price story in T1 (tailor-made defense)</t>
  </si>
  <si>
    <t>Expansion</t>
  </si>
  <si>
    <t>New-school CCA (Wellington/Concordia)</t>
  </si>
  <si>
    <t>2027</t>
  </si>
  <si>
    <t>Phase 1-2 wks</t>
  </si>
  <si>
    <t>Open public email + social accounts + print consent forms</t>
  </si>
  <si>
    <t>Phase 7-8 wks</t>
  </si>
  <si>
    <t>Proof calendar booklet + 2027 Q1 plan</t>
  </si>
  <si>
    <t>8h</t>
  </si>
  <si>
    <t>Weekly</t>
  </si>
  <si>
    <t>1–2 short videos (shoot/edit/post)</t>
  </si>
  <si>
    <t>4h/wk</t>
  </si>
  <si>
    <t>EKA liaison</t>
  </si>
  <si>
    <t>EKA points integration (spend/park)</t>
  </si>
  <si>
    <t>Jan show entry + Beijing cut agreed</t>
  </si>
  <si>
    <t>Teaching</t>
  </si>
  <si>
    <t>5 programs × 8h per term + rebook scripts</t>
  </si>
  <si>
    <t>Per term</t>
  </si>
  <si>
    <t>Year-1 group + solo shows + certificates</t>
  </si>
  <si>
    <t>May–Jun</t>
  </si>
  <si>
    <t>Onboarding: schedule + kit + rules + expectations</t>
  </si>
  <si>
    <t>Trial end-to-end: welcome + brief + experience</t>
  </si>
  <si>
    <t>Referral upkeep: families + partners + schools</t>
  </si>
  <si>
    <t>Campaign calendar + flyers + social content</t>
  </si>
  <si>
    <t>Audit YIQI ART WeChat account: followers, history posts, migrate/rename plan</t>
  </si>
  <si>
    <t>Catalog PDF slim-down (too big to send) + 2027 calendar inside</t>
  </si>
  <si>
    <t>Copycat file: Shun Space evidence screenshots archived (defense only)</t>
  </si>
  <si>
    <t>Exhibition pipeline lock: Beijing lady cut %, Amber bridge, Jan show</t>
  </si>
  <si>
    <t>Per-artist one-pager: essence + technique + hours (Danny dictates, you format)</t>
  </si>
  <si>
    <t xml:space="preserve"> Ops</t>
  </si>
  <si>
    <t>Weekly showcase clips: white canvas to finish + family photo</t>
  </si>
  <si>
    <t>2h/wk</t>
  </si>
  <si>
    <t>3-year artist roadmap: 200 artists split by term (retention story)</t>
  </si>
  <si>
    <t>BirthdayWS packages: 6-8 kids, cost-covering, all guests to trials</t>
  </si>
  <si>
    <t>Per event</t>
  </si>
  <si>
    <t>2h/session</t>
  </si>
  <si>
    <t>Review</t>
  </si>
  <si>
    <t>August lesson ritual: lock summer people + money (lost ¥50k)</t>
  </si>
  <si>
    <t>Each Aug</t>
  </si>
  <si>
    <t>Lead + 24h trial follow-up (Wed/Thu eves)</t>
  </si>
  <si>
    <t>Attendance/credits/make-ups/churn (Fri)</t>
  </si>
  <si>
    <t>Weekends</t>
  </si>
  <si>
    <t>Studio TA + reception + filming</t>
  </si>
  <si>
    <t>Every weekend</t>
  </si>
  <si>
    <t>Venue + staff taster (2h free)</t>
  </si>
  <si>
    <t>As needed</t>
  </si>
  <si>
    <t>EKA staff 2h free taster (Kyiv scarf-machine style: simple + fun, format TBD)</t>
  </si>
  <si>
    <t>New: adults</t>
  </si>
  <si>
    <t>Adult tasters (materials/venue separate)</t>
  </si>
  <si>
    <t>3h/session</t>
  </si>
  <si>
    <t>New: props</t>
  </si>
  <si>
    <t>Studio decor (water feature size TBD — passing thought, lowest priority)</t>
  </si>
  <si>
    <t>End Oct</t>
  </si>
  <si>
    <t>Xmas camp theme goats-in-art + goat sculpture proof</t>
  </si>
  <si>
    <t>Danny leads</t>
  </si>
  <si>
    <t>Lock Xmas 12/24–1/7 + 6-wk summer plan</t>
  </si>
  <si>
    <t>Wrap-up</t>
  </si>
  <si>
    <t>[Aug lesson] lock summer people + money early (lost 2 deals ¥50k this Aug)</t>
  </si>
  <si>
    <t>Monthly parent updates: progress + feedback + preview</t>
  </si>
  <si>
    <t>Anytime</t>
  </si>
  <si>
    <t>Complaints/refunds + escalation (with Approvals)</t>
  </si>
  <si>
    <t>1h/event</t>
  </si>
  <si>
    <t>Log no-enrol reasons + revisit</t>
  </si>
  <si>
    <t>Term timetable + rooms/teachers</t>
  </si>
  <si>
    <t>Metrics weekly</t>
  </si>
  <si>
    <t>Review 3 rates: trial 60% / enrol 50% / renew TBD + pipeline hygiene</t>
  </si>
  <si>
    <t>Prop trolley for acrylics (functional, not furniture-heavy)</t>
  </si>
  <si>
    <t>Policy each Jun</t>
  </si>
  <si>
    <t>Summer rota (who collects when Danny away)</t>
  </si>
  <si>
    <t>Each Jun</t>
  </si>
  <si>
    <t>Policy each Jul</t>
  </si>
  <si>
    <t>1 wk before summer: clear unpaid list</t>
  </si>
  <si>
    <t>Each Jul</t>
  </si>
  <si>
    <t>Open issue</t>
  </si>
  <si>
    <t>CCA TA: JD says in-school, meeting says no (lock before start)</t>
  </si>
  <si>
    <t>Trial fee or free: JD silent, meeting split (lock before start)</t>
  </si>
  <si>
    <t>Credits expire? Danny relaxed, Nicole wants rebook (write into contract)</t>
  </si>
  <si>
    <t>Regular weeks (~18h/wk)</t>
  </si>
  <si>
    <t>Finance</t>
  </si>
  <si>
    <t>Social/commission 10%/hospitality 3% owner + caps (TBD)</t>
  </si>
  <si>
    <t>Kick off Rednote: rename to studio, 3 first posts (showcase + camp + goat Proof)</t>
  </si>
  <si>
    <t>Holiday museum-visit format: pick date + linked artist + sign-up sheet (20 signed last time)</t>
  </si>
  <si>
    <t>Per holiday</t>
  </si>
  <si>
    <t>Invoice Poster</t>
  </si>
  <si>
    <t>Consent Poster</t>
  </si>
  <si>
    <t>Survey Poster</t>
  </si>
  <si>
    <t>Task</t>
  </si>
  <si>
    <t>Progress</t>
  </si>
  <si>
    <t>2027-10</t>
  </si>
  <si>
    <t>2027-11</t>
  </si>
  <si>
    <t>2027-12</t>
  </si>
  <si>
    <t>2027 Revenue Calendar — from BREAK EVEN model (¥1,056,000)</t>
  </si>
  <si>
    <t>Winter camp — 3 weeks (Jan)</t>
  </si>
  <si>
    <t>Semester intake Feb — 15 standard</t>
  </si>
  <si>
    <t>May camp — 1 week</t>
  </si>
  <si>
    <t>Summer camp Jul — 3 weeks</t>
  </si>
  <si>
    <t>Summer camp Aug — 3 weeks</t>
  </si>
  <si>
    <t>Semester intake Sep — 15 standard</t>
  </si>
  <si>
    <t>Oct camp — 1 week</t>
  </si>
  <si>
    <t>CCA rolling — 25 kids a month</t>
  </si>
  <si>
    <t>Key dates — from the meeting recording</t>
  </si>
  <si>
    <t>Halloween event (Oct 31, after 15:00)</t>
  </si>
  <si>
    <t>CCA closing gifts (mid-Nov)</t>
  </si>
  <si>
    <t>Winter camp window (Dec 24 - Jan 7)</t>
  </si>
  <si>
    <t>End-of-semester showcase / art party</t>
  </si>
  <si>
    <t>Compliance</t>
  </si>
  <si>
    <t>Area</t>
  </si>
  <si>
    <t>Rule / Topic</t>
  </si>
  <si>
    <t>What to do</t>
  </si>
  <si>
    <t>Official link</t>
  </si>
  <si>
    <t>Training</t>
  </si>
  <si>
    <r>
      <t xml:space="preserve">民办教育/工作室 vs 培训机构边界   </t>
    </r>
    <r>
      <rPr>
        <sz val="10"/>
        <color theme="1"/>
        <rFont val="微软雅黑"/>
        <charset val="134"/>
      </rPr>
      <t xml:space="preserve">           </t>
    </r>
    <r>
      <rPr>
        <sz val="10"/>
        <color theme="1"/>
        <rFont val="宋体"/>
        <charset val="134"/>
      </rPr>
      <t xml:space="preserve">       </t>
    </r>
    <r>
      <rPr>
        <sz val="10"/>
        <color theme="1"/>
        <rFont val="Calibri"/>
        <charset val="134"/>
      </rPr>
      <t xml:space="preserve"> (Private education vs studio boundary)</t>
    </r>
  </si>
  <si>
    <r>
      <t>studio</t>
    </r>
    <r>
      <rPr>
        <sz val="9"/>
        <color theme="1"/>
        <rFont val="微软雅黑"/>
        <charset val="134"/>
      </rPr>
      <t>口径</t>
    </r>
    <r>
      <rPr>
        <sz val="10"/>
        <color theme="1"/>
        <rFont val="宋体"/>
        <charset val="134"/>
      </rPr>
      <t>：</t>
    </r>
    <r>
      <rPr>
        <sz val="10"/>
        <color theme="1"/>
        <rFont val="Calibri"/>
        <charset val="134"/>
      </rPr>
      <t>assistance/consulting</t>
    </r>
    <r>
      <rPr>
        <sz val="10"/>
        <color theme="1"/>
        <rFont val="宋体"/>
        <charset val="134"/>
      </rPr>
      <t>，</t>
    </r>
    <r>
      <rPr>
        <sz val="9"/>
        <color theme="1"/>
        <rFont val="微软雅黑"/>
        <charset val="134"/>
      </rPr>
      <t>不宣称学历教育</t>
    </r>
    <r>
      <rPr>
        <sz val="10"/>
        <color theme="1"/>
        <rFont val="Calibri"/>
        <charset val="134"/>
      </rPr>
      <t xml:space="preserve"> (Studio line: assistance/consulting, no schooling claims)</t>
    </r>
  </si>
  <si>
    <r>
      <t xml:space="preserve">gov.cn </t>
    </r>
    <r>
      <rPr>
        <sz val="9"/>
        <color theme="1"/>
        <rFont val="微软雅黑"/>
        <charset val="134"/>
      </rPr>
      <t xml:space="preserve">搜索 民办教育促进法     </t>
    </r>
    <r>
      <rPr>
        <sz val="10"/>
        <color theme="1"/>
        <rFont val="Calibri"/>
        <charset val="134"/>
      </rPr>
      <t xml:space="preserve">                              (gov.cn: Private Education Promotion Law)</t>
    </r>
  </si>
  <si>
    <t>Quarterly</t>
  </si>
  <si>
    <t>Children</t>
  </si>
  <si>
    <r>
      <t xml:space="preserve">未成年人保护：8岁以上本人+监护人双签  </t>
    </r>
    <r>
      <rPr>
        <sz val="10"/>
        <color theme="1"/>
        <rFont val="Calibri"/>
        <charset val="134"/>
      </rPr>
      <t xml:space="preserve">                    (Minors: dual sign (child 8+ + guardian))</t>
    </r>
  </si>
  <si>
    <r>
      <t>同意书双签</t>
    </r>
    <r>
      <rPr>
        <sz val="10"/>
        <color theme="1"/>
        <rFont val="Calibri"/>
        <charset val="134"/>
      </rPr>
      <t xml:space="preserve"> (Dual-signature consent)</t>
    </r>
  </si>
  <si>
    <r>
      <t xml:space="preserve">npc.gov.cn </t>
    </r>
    <r>
      <rPr>
        <sz val="9"/>
        <color theme="1"/>
        <rFont val="微软雅黑"/>
        <charset val="134"/>
      </rPr>
      <t>未成年人保护法</t>
    </r>
    <r>
      <rPr>
        <sz val="10"/>
        <color theme="1"/>
        <rFont val="Calibri"/>
        <charset val="134"/>
      </rPr>
      <t xml:space="preserve">                                (npc.gov.cn: Minors Protection Law)</t>
    </r>
  </si>
  <si>
    <t>Per signing</t>
  </si>
  <si>
    <t>Portrait</t>
  </si>
  <si>
    <r>
      <t xml:space="preserve">肖像权：签了才能拍，撤回15日删              </t>
    </r>
    <r>
      <rPr>
        <sz val="10"/>
        <color theme="1"/>
        <rFont val="Calibri"/>
        <charset val="134"/>
      </rPr>
      <t xml:space="preserve">                    (Portrait rights: sign first, delete in 15 days on withdrawal)</t>
    </r>
  </si>
  <si>
    <r>
      <t>Consents表+V1话术</t>
    </r>
    <r>
      <rPr>
        <sz val="10"/>
        <color theme="1"/>
        <rFont val="Calibri"/>
        <charset val="134"/>
      </rPr>
      <t xml:space="preserve"> (Consents sheet + V1 script)</t>
    </r>
  </si>
  <si>
    <r>
      <t xml:space="preserve">民法典第1018-1022条 </t>
    </r>
    <r>
      <rPr>
        <sz val="10"/>
        <color theme="1"/>
        <rFont val="宋体"/>
        <charset val="134"/>
      </rPr>
      <t xml:space="preserve">                          </t>
    </r>
    <r>
      <rPr>
        <sz val="10"/>
        <color theme="1"/>
        <rFont val="Calibri"/>
        <charset val="134"/>
      </rPr>
      <t xml:space="preserve"> (Civil Code Art. 1018-1022)</t>
    </r>
  </si>
  <si>
    <t>Per shoot</t>
  </si>
  <si>
    <t>Data</t>
  </si>
  <si>
    <r>
      <t>儿童个人信息最小必要、不外传</t>
    </r>
    <r>
      <rPr>
        <sz val="10"/>
        <color theme="1"/>
        <rFont val="宋体"/>
        <charset val="134"/>
      </rPr>
      <t xml:space="preserve">                    </t>
    </r>
    <r>
      <rPr>
        <sz val="10"/>
        <color theme="1"/>
        <rFont val="Calibri"/>
        <charset val="134"/>
      </rPr>
      <t xml:space="preserve"> (Children data: minimum necessary, never shared)</t>
    </r>
  </si>
  <si>
    <r>
      <t>共享文档最小权限</t>
    </r>
    <r>
      <rPr>
        <sz val="10"/>
        <color theme="1"/>
        <rFont val="Calibri"/>
        <charset val="134"/>
      </rPr>
      <t xml:space="preserve"> (Least-privilege sharing)</t>
    </r>
  </si>
  <si>
    <r>
      <t>CAC 儿童个人信息保护</t>
    </r>
    <r>
      <rPr>
        <sz val="10"/>
        <color theme="1"/>
        <rFont val="Calibri"/>
        <charset val="134"/>
      </rPr>
      <t xml:space="preserve"> (CAC: child data rules)</t>
    </r>
  </si>
  <si>
    <t>Food</t>
  </si>
  <si>
    <r>
      <t>冬令营午餐： 留样</t>
    </r>
    <r>
      <rPr>
        <sz val="10"/>
        <color theme="1"/>
        <rFont val="Calibri"/>
        <charset val="134"/>
      </rPr>
      <t xml:space="preserve">                                                                       (Camp lunch: licensed venue + samples kept)</t>
    </r>
  </si>
  <si>
    <r>
      <t>WinterCamp</t>
    </r>
    <r>
      <rPr>
        <sz val="9"/>
        <color theme="1"/>
        <rFont val="微软雅黑"/>
        <charset val="134"/>
      </rPr>
      <t>备注列</t>
    </r>
    <r>
      <rPr>
        <sz val="10"/>
        <color theme="1"/>
        <rFont val="Calibri"/>
        <charset val="134"/>
      </rPr>
      <t xml:space="preserve"> (WinterCamp notes col)</t>
    </r>
  </si>
  <si>
    <r>
      <t>市场监管总局 校园餐</t>
    </r>
    <r>
      <rPr>
        <sz val="10"/>
        <color theme="1"/>
        <rFont val="Calibri"/>
        <charset val="134"/>
      </rPr>
      <t xml:space="preserve"> (SAMR: school meals)</t>
    </r>
  </si>
  <si>
    <t>Per camp</t>
  </si>
  <si>
    <t>Safety</t>
  </si>
  <si>
    <r>
      <t>大型装置防风防雨+保险</t>
    </r>
    <r>
      <rPr>
        <sz val="10"/>
        <color theme="1"/>
        <rFont val="宋体"/>
        <charset val="134"/>
      </rPr>
      <t xml:space="preserve">                               </t>
    </r>
    <r>
      <rPr>
        <sz val="10"/>
        <color theme="1"/>
        <rFont val="Calibri"/>
        <charset val="134"/>
      </rPr>
      <t xml:space="preserve"> (Big installs: wind/rain plan + insurance)</t>
    </r>
  </si>
  <si>
    <r>
      <t>Events</t>
    </r>
    <r>
      <rPr>
        <sz val="9"/>
        <color theme="1"/>
        <rFont val="微软雅黑"/>
        <charset val="134"/>
      </rPr>
      <t>报备单</t>
    </r>
    <r>
      <rPr>
        <sz val="10"/>
        <color theme="1"/>
        <rFont val="Calibri"/>
        <charset val="134"/>
      </rPr>
      <t xml:space="preserve"> (Events permit sheet)</t>
    </r>
  </si>
  <si>
    <r>
      <t>EKA物业 + 保险经纪</t>
    </r>
    <r>
      <rPr>
        <sz val="10"/>
        <color theme="1"/>
        <rFont val="Calibri"/>
        <charset val="134"/>
      </rPr>
      <t xml:space="preserve"> (EKA mgmt + broker)</t>
    </r>
  </si>
  <si>
    <t>Tax</t>
  </si>
  <si>
    <t>Service invoices + IIT handling (office admin)</t>
  </si>
  <si>
    <r>
      <t>Approvals+Expenses</t>
    </r>
    <r>
      <rPr>
        <sz val="9"/>
        <color theme="1"/>
        <rFont val="微软雅黑"/>
        <charset val="134"/>
      </rPr>
      <t>留凭</t>
    </r>
    <r>
      <rPr>
        <sz val="10"/>
        <color theme="1"/>
        <rFont val="Calibri"/>
        <charset val="134"/>
      </rPr>
      <t xml:space="preserve">                                                        (Keep vouchers in Approvals+Expenses)</t>
    </r>
  </si>
  <si>
    <r>
      <t>12366 纳税服务</t>
    </r>
    <r>
      <rPr>
        <sz val="10"/>
        <color theme="1"/>
        <rFont val="Calibri"/>
        <charset val="134"/>
      </rPr>
      <t xml:space="preserve"> (12366 tax service)</t>
    </r>
  </si>
  <si>
    <t>Ads</t>
  </si>
  <si>
    <r>
      <t xml:space="preserve">广告法：不承诺升学/获奖 </t>
    </r>
    <r>
      <rPr>
        <sz val="10"/>
        <color theme="1"/>
        <rFont val="宋体"/>
        <charset val="134"/>
      </rPr>
      <t xml:space="preserve">                           </t>
    </r>
    <r>
      <rPr>
        <sz val="10"/>
        <color theme="1"/>
        <rFont val="Calibri"/>
        <charset val="134"/>
      </rPr>
      <t xml:space="preserve"> (Ads: never promise admissions/awards)</t>
    </r>
  </si>
  <si>
    <r>
      <t xml:space="preserve">海报话术过审 </t>
    </r>
    <r>
      <rPr>
        <sz val="10"/>
        <color theme="1"/>
        <rFont val="Calibri"/>
        <charset val="134"/>
      </rPr>
      <t>(Scripts cleared for posters)</t>
    </r>
  </si>
  <si>
    <r>
      <t>广告法第9/24条</t>
    </r>
    <r>
      <rPr>
        <sz val="10"/>
        <color theme="1"/>
        <rFont val="Calibri"/>
        <charset val="134"/>
      </rPr>
      <t xml:space="preserve"> (Advertising Law Art. 9/24)</t>
    </r>
  </si>
  <si>
    <t>Per poster</t>
  </si>
  <si>
    <t>IP</t>
  </si>
  <si>
    <r>
      <t>课程被抄：时间戳+存档</t>
    </r>
    <r>
      <rPr>
        <sz val="10"/>
        <color theme="1"/>
        <rFont val="宋体"/>
        <charset val="134"/>
      </rPr>
      <t xml:space="preserve">                              </t>
    </r>
    <r>
      <rPr>
        <sz val="10"/>
        <color theme="1"/>
        <rFont val="Calibri"/>
        <charset val="134"/>
      </rPr>
      <t xml:space="preserve"> (Anti-copy: timestamp + archive)</t>
    </r>
  </si>
  <si>
    <r>
      <t>Programs</t>
    </r>
    <r>
      <rPr>
        <sz val="9"/>
        <color theme="1"/>
        <rFont val="微软雅黑"/>
        <charset val="134"/>
      </rPr>
      <t>版本日期</t>
    </r>
    <r>
      <rPr>
        <sz val="10"/>
        <color theme="1"/>
        <rFont val="Calibri"/>
        <charset val="134"/>
      </rPr>
      <t xml:space="preserve"> (Programs version dates)</t>
    </r>
  </si>
  <si>
    <r>
      <t>版权局登记指南</t>
    </r>
    <r>
      <rPr>
        <sz val="10"/>
        <color theme="1"/>
        <rFont val="Calibri"/>
        <charset val="134"/>
      </rPr>
      <t xml:space="preserve"> (Copyright Office guide)</t>
    </r>
  </si>
  <si>
    <t>Anti-Fraud</t>
  </si>
  <si>
    <t>#</t>
  </si>
  <si>
    <t>What happened (meeting)</t>
  </si>
  <si>
    <t>Early signal</t>
  </si>
  <si>
    <t>Rule now</t>
  </si>
  <si>
    <t>Next action (this week)</t>
  </si>
  <si>
    <t>Due</t>
  </si>
  <si>
    <t>F-01</t>
  </si>
  <si>
    <t>Curriculum theft</t>
  </si>
  <si>
    <t>UN-era partner (CN lady, no EN): learned full system, fired, took students cut-price, opened Shun Space copying programs monthly incl obscure artists</t>
  </si>
  <si>
    <t>Same program next month on her channel</t>
  </si>
  <si>
    <t>Full methods never leave studio. Showcases show works not methods. Timestamp Programs. NDA for partners.</t>
  </si>
  <si>
    <t>Archive Shun Space screenshots with dates (defense file)</t>
  </si>
  <si>
    <t>Open</t>
  </si>
  <si>
    <t>F-02</t>
  </si>
  <si>
    <t>Contact theft</t>
  </si>
  <si>
    <t>Ex-colleague took all parent contacts; Danny lost students he can't name</t>
  </si>
  <si>
    <t>Side-channel adds</t>
  </si>
  <si>
    <t>One official channel only. Leads Owner = Studio official. No private adds. Offboarding revokes day one.</t>
  </si>
  <si>
    <t>Audit all parent contacts: Owner=official, delete side channels</t>
  </si>
  <si>
    <t>F-03</t>
  </si>
  <si>
    <t>Exhibition cut unknown</t>
  </si>
  <si>
    <t>Beijing lady runs intl shows (JP/IT/BJ/HK), cut % never discussed; also signed Shun Space</t>
  </si>
  <si>
    <t>Invoice without agreed split</t>
  </si>
  <si>
    <t>No show without Agreed cut % + signed confirmation (Exhibitions I/J). Amber bridge terms in writing.</t>
  </si>
  <si>
    <t>Email Beijing lady: ask cut % + written terms before Jan show</t>
  </si>
  <si>
    <t>F-04</t>
  </si>
  <si>
    <t>Price undercut</t>
  </si>
  <si>
    <t>Copycat lower price with stolen program</t>
  </si>
  <si>
    <t>Parent mentions cheaper same program</t>
  </si>
  <si>
    <t>400 list price defended by tailor-made story. Discounts enclosed + signed, never public.</t>
  </si>
  <si>
    <t>Lock 400 price story in Scripts T1; enclosed-discount rule live</t>
  </si>
  <si>
    <t>F-05</t>
  </si>
  <si>
    <t>Photo/video misuse</t>
  </si>
  <si>
    <t>Past photos/videos reused to build copycat program</t>
  </si>
  <si>
    <t>Our process videos appear elsewhere</t>
  </si>
  <si>
    <t>Consents signed first. Watermark process videos. No raw footage out.</t>
  </si>
  <si>
    <t>Watermark all process videos; raw footage stays inside</t>
  </si>
  <si>
    <t>Ongoing</t>
  </si>
  <si>
    <t>Daily SOP</t>
  </si>
  <si>
    <t>Do this now</t>
  </si>
  <si>
    <t>Go to</t>
  </si>
  <si>
    <t>Result</t>
  </si>
  <si>
    <t>1</t>
  </si>
  <si>
    <t>Review Dashboard — note renewals, at-risk families, outstanding bills</t>
  </si>
  <si>
    <t>Jot the 3 numbers here</t>
  </si>
  <si>
    <t>2</t>
  </si>
  <si>
    <t>Telephone families due to renew (Script R1)</t>
  </si>
  <si>
    <t xml:space="preserve"> renewals in</t>
  </si>
  <si>
    <t>3</t>
  </si>
  <si>
    <t>Visit with unsettled families (Script M2)</t>
  </si>
  <si>
    <t xml:space="preserve"> families kept</t>
  </si>
  <si>
    <t>4</t>
  </si>
  <si>
    <t>Remind outstanding bills with courtesy (Script P1)</t>
  </si>
  <si>
    <t>¥ collected</t>
  </si>
  <si>
    <t>5</t>
  </si>
  <si>
    <t>Register two new enquiries with source</t>
  </si>
  <si>
    <t>2 new leads</t>
  </si>
  <si>
    <t>6</t>
  </si>
  <si>
    <t>Invite one family to trial (Script T1)</t>
  </si>
  <si>
    <t>1 trial set</t>
  </si>
  <si>
    <t>7</t>
  </si>
  <si>
    <t>Publish one film (consent confirmed first)</t>
  </si>
  <si>
    <t>1 video posted</t>
  </si>
  <si>
    <t>8</t>
  </si>
  <si>
    <t>Mark Done% so the Gantt follows</t>
  </si>
  <si>
    <t>Gantt updated</t>
  </si>
  <si>
    <t>Showcase Plan</t>
  </si>
  <si>
    <t>Phase</t>
  </si>
  <si>
    <t>Materials / People</t>
  </si>
  <si>
    <t>Deadline</t>
  </si>
  <si>
    <t>T-14 days</t>
  </si>
  <si>
    <t>Fix date: Saturday after 15:00 (classes run till 15:00). Book the studio half, keep one corner for works display.</t>
  </si>
  <si>
    <t>Studio floor plan; nothing else that afternoon</t>
  </si>
  <si>
    <t>Send S1 invite on the official account to every family. Ask: headcount incl. grandparents.</t>
  </si>
  <si>
    <t>Scripts S1; reply-with-headcount</t>
  </si>
  <si>
    <t>T-10 days</t>
  </si>
  <si>
    <t>Each child picks ONE finished work + writes a 3-line card: what / how / what I learned.</t>
  </si>
  <si>
    <t>Intro cards, wall labels</t>
  </si>
  <si>
    <t>T-7 days</t>
  </si>
  <si>
    <t>Collect signed consents: photo yes/no, video yes/no, close-up needs a separate tick, school-channel publish separate tick. No signed row = no camera, no exceptions.</t>
  </si>
  <si>
    <t>Consents sheet + V1 script; tablet sign-off</t>
  </si>
  <si>
    <t>Print certificates: child name + program/artist + hours + technique + one-line concept + teacher signature. Wording is a record of study, not a licensed diploma.</t>
  </si>
  <si>
    <t>Certificates sheet; check hours against Students</t>
  </si>
  <si>
    <t>Print the run-of-show and assign 3 roles: Host (welcomes, keeps time), Teacher (introduces each child), Helper (music, snacks, photos of consented kids only).</t>
  </si>
  <si>
    <t>One-page run sheet</t>
  </si>
  <si>
    <t>T-3 days</t>
  </si>
  <si>
    <t>Rehearse: each child 5 minutes with a timer. Teacher listens once, fixes one thing only.</t>
  </si>
  <si>
    <t>Timer, floor marks</t>
  </si>
  <si>
    <t>Buy: juice + biscuits + stickers + printed QR codes (official account + referral card).</t>
  </si>
  <si>
    <t>Events sheet</t>
  </si>
  <si>
    <t>T-1 day</t>
  </si>
  <si>
    <t>Charge phones + tripod. Test one 10-second clip: check light, sound, faces of consented kids.</t>
  </si>
  <si>
    <t>Phones, tripod, charger</t>
  </si>
  <si>
    <t>Show day 15:00</t>
  </si>
  <si>
    <t>Doors + sign-in desk FIRST: every family leaves child name + parent phone + WeChat. (Past lesson: visitors came, no contacts stayed.)</t>
  </si>
  <si>
    <t>Sign-in sheet — never skip</t>
  </si>
  <si>
    <t>Show day 15:15</t>
  </si>
  <si>
    <t>Host opens (3 min max): what the kids made this term, one sentence on the studio's way of teaching.</t>
  </si>
  <si>
    <t>Host lines on run sheet</t>
  </si>
  <si>
    <t>Show day 15:20</t>
  </si>
  <si>
    <t>Kids present ~5 min each. Helper films ONLY consented kids, white-canvas-to-finish clips where available.</t>
  </si>
  <si>
    <t>Timer visible to kids</t>
  </si>
  <si>
    <t>Show day 16:00</t>
  </si>
  <si>
    <t>Certificates + family photos + mingle. Helper hands referral cards (G1, no public discount talk).</t>
  </si>
  <si>
    <t>Certificates, G1 cards</t>
  </si>
  <si>
    <t>Show day 16:30</t>
  </si>
  <si>
    <t>Close on time. Thank each family by name at the door.</t>
  </si>
  <si>
    <t>Send T1 to every visiting non-client family + enrolment pack. Log all in Trials/Leads within 24h.</t>
  </si>
  <si>
    <t>Trials sheet, Send_Kit</t>
  </si>
  <si>
    <t>T+3 days</t>
  </si>
  <si>
    <t>Post the short film (consented kids only) + ask 3 happy parents for a one-line review.</t>
  </si>
  <si>
    <t>G1 script, social accounts</t>
  </si>
  <si>
    <t>T+7 days</t>
  </si>
  <si>
    <t>Count: visitors / trials booked / enrolled. Write the number in Channel_Pivot notes.</t>
  </si>
  <si>
    <t>Channel_Pivot</t>
  </si>
  <si>
    <t>Birthday Plan</t>
  </si>
  <si>
    <t>Confirm with the birthday family: theme + 2-hour slot + headcount (default 6-8 kids; 20-kid scale only if the family asks). Rule: the birthday family pays for all guests.</t>
  </si>
  <si>
    <t>Theme list (animals/flowers/season); fee TBD openly</t>
  </si>
  <si>
    <t>Guest list with phones: collect every guest parent's phone + WeChat at invite time. (Past lesson: 20 kids came once, zero contacts stayed.)</t>
  </si>
  <si>
    <t>Invite cards via official account</t>
  </si>
  <si>
    <t>Prep one kit per kid: canvas/paper + paints + apron + name sticker. Count twice.</t>
  </si>
  <si>
    <t>Ask: food allergies + photo consent per guest child. Cake note: candles, no nuts unless confirmed.</t>
  </si>
  <si>
    <t>Consents sheet</t>
  </si>
  <si>
    <t>Order cake + juice + biscuits. Playlist + 2 simple games ready (backup if paint dries slow).</t>
  </si>
  <si>
    <t>Cake order; fee: birthday family</t>
  </si>
  <si>
    <t>Party 0:00</t>
  </si>
  <si>
    <t>Welcome + name stickers + hand wash. Helper photographs consented kids only.</t>
  </si>
  <si>
    <t>Stickers, camera</t>
  </si>
  <si>
    <t>Party 0:15</t>
  </si>
  <si>
    <t>Game 1 (10 min) to settle the group, then sit down to make.</t>
  </si>
  <si>
    <t>Game props</t>
  </si>
  <si>
    <t>Party 0:30</t>
  </si>
  <si>
    <t>Make: every child finishes ONE artwork to take home. Teacher rescues, never remakes.</t>
  </si>
  <si>
    <t>Kits; frames optional, extra charge stated upfront</t>
  </si>
  <si>
    <t>Party 1:30</t>
  </si>
  <si>
    <t>Cake + song + group photo (consented kids). Hand each guest: QR card + referral card.</t>
  </si>
  <si>
    <t>G1 cards</t>
  </si>
  <si>
    <t>Party 1:50</t>
  </si>
  <si>
    <t>Show &amp; tell: each child holds up their work, one sentence. Clap for everyone.</t>
  </si>
  <si>
    <t>Thank-you message to every guest family + trial invite (T1). Log all in Trials/Leads.</t>
  </si>
  <si>
    <t>Trials sheet</t>
  </si>
  <si>
    <t>Book trials into this week's slots. Track guest-to-trial in Channel_Pivot.</t>
  </si>
  <si>
    <t>Leads, Channel_Pivot</t>
  </si>
  <si>
    <t>Halloween Plan</t>
  </si>
  <si>
    <t>Cost</t>
  </si>
  <si>
    <t>Now</t>
  </si>
  <si>
    <t>Ask EKA: outdoor spot + free/paid + can we charge + fair booth dates</t>
  </si>
  <si>
    <t>EKA contract, permits</t>
  </si>
  <si>
    <t>M-15, tables in studio</t>
  </si>
  <si>
    <t>Build 2 pumpkins (1 big 1 small): noodles + fabric + iron core</t>
  </si>
  <si>
    <t>Noodles, gold fabric, iron core, 1 afternoon</t>
  </si>
  <si>
    <t>Low</t>
  </si>
  <si>
    <t>Window + lift ads live</t>
  </si>
  <si>
    <t>Signage guy, 3 days</t>
  </si>
  <si>
    <t>Posters 100 + QR + stickers pack</t>
  </si>
  <si>
    <t>Halloween flyer EN HD</t>
  </si>
  <si>
    <t>Oct 31 15:00+</t>
  </si>
  <si>
    <t>Carve or paint pumpkins, 10 kids/batch</t>
  </si>
  <si>
    <t>Real pumpkins, tools, aprons</t>
  </si>
  <si>
    <t>Small fee</t>
  </si>
  <si>
    <t>Oct 31 night</t>
  </si>
  <si>
    <t>Party option Fri night (Halloween always night)</t>
  </si>
  <si>
    <t>Music, lights, rain plan</t>
  </si>
  <si>
    <t>Oct 31</t>
  </si>
  <si>
    <t>Giant pumpkin stays outdoor, photos + leads</t>
  </si>
  <si>
    <t>QR everywhere, referral cards</t>
  </si>
  <si>
    <t>Free</t>
  </si>
  <si>
    <t>Thank-you + trial invites to all families</t>
  </si>
  <si>
    <t>Trials T1</t>
  </si>
  <si>
    <t>Convert → trials → enrolments</t>
  </si>
  <si>
    <t xml:space="preserve">Completion Certificate </t>
  </si>
  <si>
    <t>2027 Sales Plan vs Actual — 1,056,000 CNY (BREAK EVEN model 2026-10-09)</t>
  </si>
  <si>
    <t>Channel</t>
  </si>
  <si>
    <t>2027 target CNY</t>
  </si>
  <si>
    <t>Actual CNY</t>
  </si>
  <si>
    <t>Students target</t>
  </si>
  <si>
    <t>Students now</t>
  </si>
  <si>
    <t>Standard classes</t>
  </si>
  <si>
    <t>CCA programmes</t>
  </si>
  <si>
    <t>Holiday camps</t>
  </si>
  <si>
    <t>2027 P&amp;L vs Plan — revenue from the model, costs from the recording (fill the blue cells)</t>
  </si>
  <si>
    <t>Feb</t>
  </si>
  <si>
    <t>Mar</t>
  </si>
  <si>
    <t>Apr</t>
  </si>
  <si>
    <t>May</t>
  </si>
  <si>
    <t>Jun</t>
  </si>
  <si>
    <t>Jul</t>
  </si>
  <si>
    <t>Aug</t>
  </si>
  <si>
    <t>Sep</t>
  </si>
  <si>
    <t>FY 2027</t>
  </si>
  <si>
    <t>REVENUE TARGET (model)</t>
  </si>
  <si>
    <t>Target total</t>
  </si>
  <si>
    <t>REVENUE ACTUAL (paid invoices, by date)</t>
  </si>
  <si>
    <t>Standard actual</t>
  </si>
  <si>
    <t>CCA actual</t>
  </si>
  <si>
    <t>Camps actual</t>
  </si>
  <si>
    <t>Actual total</t>
  </si>
  <si>
    <t>Gap (actual-target)</t>
  </si>
  <si>
    <t>COST BUDGET (blue = fill from bills; auto lines follow actual revenue)</t>
  </si>
  <si>
    <t>Rent + property + management (fill)</t>
  </si>
  <si>
    <t>Utilities + electricity (fill)</t>
  </si>
  <si>
    <t>Materials + supplies (fill)</t>
  </si>
  <si>
    <t>Employer contributions (TBD, owners agree)</t>
  </si>
  <si>
    <t>Staffing (TBD, owners agree)</t>
  </si>
  <si>
    <t>Entertainment 3% (auto)</t>
  </si>
  <si>
    <t>Sales commission 10% (auto)</t>
  </si>
  <si>
    <t>Tax + other (fill)</t>
  </si>
  <si>
    <t>Budget total</t>
  </si>
  <si>
    <t>RECORDED + NET</t>
  </si>
  <si>
    <t>Recorded spend (from Expenses, by date)</t>
  </si>
  <si>
    <t>Net cash (actual-recorded)</t>
  </si>
  <si>
    <t>First 30 Days — Oct 14 to Nov 13 (do in order, tick Done)</t>
  </si>
  <si>
    <t>By</t>
  </si>
  <si>
    <t>Action</t>
  </si>
  <si>
    <t>Where</t>
  </si>
  <si>
    <t>Oct 17</t>
  </si>
  <si>
    <t>Window + lift ads live (promised in 3 days)</t>
  </si>
  <si>
    <t>Tasklist / EKA</t>
  </si>
  <si>
    <t>Collect Josh 4-kid fees, discount in writing (F1)</t>
  </si>
  <si>
    <t>Invoices + Scripts F1</t>
  </si>
  <si>
    <t>Private rate, not public</t>
  </si>
  <si>
    <t>Oct 18</t>
  </si>
  <si>
    <t>Revive dormant credits: message Daphne-type sleepers</t>
  </si>
  <si>
    <t>Students + M2</t>
  </si>
  <si>
    <t>18-class sleepers first</t>
  </si>
  <si>
    <t>Oct 20</t>
  </si>
  <si>
    <t>Buy real pumpkins + confirm tables/spot (rain plan)</t>
  </si>
  <si>
    <t>HalloweenPlan</t>
  </si>
  <si>
    <t>Oct 22</t>
  </si>
  <si>
    <t>Lock winter camp dates Dec 24-Jan 7 + fee + min 4/week</t>
  </si>
  <si>
    <t>WinterCamp + Camp_Plan</t>
  </si>
  <si>
    <t>Goat theme, Danny designs</t>
  </si>
  <si>
    <t>Oct 25</t>
  </si>
  <si>
    <t>Send price story T1: 400/hr tailor-made, early-bird/royal discount rules in writing</t>
  </si>
  <si>
    <t>Scripts + Approvals</t>
  </si>
  <si>
    <t>No public discount</t>
  </si>
  <si>
    <t>Halloween event after 15:00 (classes till 15:00)</t>
  </si>
  <si>
    <t>Big + small pumpkin</t>
  </si>
  <si>
    <t>Nov 1</t>
  </si>
  <si>
    <t>Log every new face into Leads within 24h; T1 to non-clients</t>
  </si>
  <si>
    <t>Leads + Trials</t>
  </si>
  <si>
    <t>No lost contacts</t>
  </si>
  <si>
    <t>Nov 6</t>
  </si>
  <si>
    <t>CCA closing gift packs ready: sketchbook + stickers + pen + QR + camp flyer</t>
  </si>
  <si>
    <t>Events</t>
  </si>
  <si>
    <t>30 sets</t>
  </si>
  <si>
    <t>Nov 10</t>
  </si>
  <si>
    <t>Showcase run locked: Sat after 15:00, roles Host/Teacher/Helper</t>
  </si>
  <si>
    <t>Showcase</t>
  </si>
  <si>
    <t>Nov 13</t>
  </si>
  <si>
    <t>Consents signed + certificates printed for showcase</t>
  </si>
  <si>
    <t>Consents + Certificates</t>
  </si>
  <si>
    <t>Unpaid list cleared before anything new starts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</si>
</sst>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"/>
    <numFmt numFmtId="177" formatCode="yyyy/mm/dd"/>
    <numFmt numFmtId="178" formatCode="\+0%;\-0%"/>
  </numFmts>
  <fonts count="49">
    <font>
      <sz val="11"/>
      <color theme="1"/>
      <name val="宋体"/>
      <charset val="134"/>
      <scheme val="minor"/>
    </font>
    <font>
      <sz val="10"/>
      <color theme="1"/>
      <name val="Calibri"/>
      <charset val="134"/>
    </font>
    <font>
      <b/>
      <sz val="12"/>
      <color rgb="FFFFFFFF"/>
      <name val="Calibri"/>
      <charset val="134"/>
    </font>
    <font>
      <sz val="12"/>
      <color theme="1"/>
      <name val="Calibri"/>
      <charset val="134"/>
    </font>
    <font>
      <b/>
      <sz val="10"/>
      <color rgb="FF1FA3A3"/>
      <name val="Calibri"/>
      <charset val="134"/>
    </font>
    <font>
      <b/>
      <sz val="10"/>
      <color rgb="FFFFFFFF"/>
      <name val="Calibri"/>
      <charset val="134"/>
    </font>
    <font>
      <b/>
      <sz val="10"/>
      <color rgb="FF1B2A4A"/>
      <name val="Calibri"/>
      <charset val="134"/>
    </font>
    <font>
      <b/>
      <sz val="10"/>
      <name val="Calibri"/>
      <charset val="134"/>
    </font>
    <font>
      <b/>
      <sz val="12"/>
      <name val="Calibri"/>
      <charset val="134"/>
    </font>
    <font>
      <u/>
      <sz val="10"/>
      <color rgb="FF1FA3A3"/>
      <name val="Calibri"/>
      <charset val="134"/>
    </font>
    <font>
      <sz val="9"/>
      <color theme="1"/>
      <name val="微软雅黑"/>
      <charset val="134"/>
    </font>
    <font>
      <b/>
      <sz val="10"/>
      <color rgb="FFB7950B"/>
      <name val="Calibri"/>
      <charset val="134"/>
    </font>
    <font>
      <sz val="10"/>
      <color rgb="FFFF0000"/>
      <name val="Calibri"/>
      <charset val="134"/>
    </font>
    <font>
      <sz val="11"/>
      <color theme="1"/>
      <name val="Calibri"/>
      <charset val="134"/>
    </font>
    <font>
      <b/>
      <sz val="10"/>
      <color rgb="FFFF0000"/>
      <name val="Calibri"/>
      <charset val="0"/>
    </font>
    <font>
      <b/>
      <u/>
      <sz val="11"/>
      <color rgb="FF1FA3A3"/>
      <name val="Calibri"/>
      <charset val="134"/>
    </font>
    <font>
      <b/>
      <sz val="12"/>
      <color theme="1"/>
      <name val="Calibri"/>
      <charset val="134"/>
    </font>
    <font>
      <b/>
      <u/>
      <sz val="12"/>
      <color rgb="FF1FA3A3"/>
      <name val="Calibri"/>
      <charset val="134"/>
    </font>
    <font>
      <i/>
      <sz val="10"/>
      <color rgb="FF888888"/>
      <name val="Calibri"/>
      <charset val="134"/>
    </font>
    <font>
      <b/>
      <sz val="10"/>
      <color theme="1"/>
      <name val="Calibri"/>
      <charset val="134"/>
    </font>
    <font>
      <sz val="10"/>
      <name val="Calibri"/>
      <charset val="134"/>
    </font>
    <font>
      <sz val="10"/>
      <color theme="0"/>
      <name val="Calibri"/>
      <charset val="134"/>
    </font>
    <font>
      <i/>
      <sz val="10"/>
      <color rgb="FFD9383C"/>
      <name val="Calibri"/>
      <charset val="134"/>
    </font>
    <font>
      <sz val="10"/>
      <color theme="1"/>
      <name val="宋体"/>
      <charset val="134"/>
    </font>
    <font>
      <b/>
      <sz val="10"/>
      <color rgb="FFD9383C"/>
      <name val="Calibri"/>
      <charset val="134"/>
    </font>
    <font>
      <sz val="10"/>
      <color rgb="FFD9383C"/>
      <name val="Calibri"/>
      <charset val="134"/>
    </font>
    <font>
      <b/>
      <sz val="10"/>
      <color rgb="FFC00000"/>
      <name val="Calibri"/>
      <charset val="134"/>
    </font>
    <font>
      <u/>
      <sz val="10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DBE7F3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6F2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5">
    <border>
      <left/>
      <right/>
      <top/>
      <bottom/>
      <diagonal/>
    </border>
    <border>
      <left style="medium">
        <color theme="3" tint="-0.5"/>
      </left>
      <right/>
      <top style="medium">
        <color theme="3" tint="-0.5"/>
      </top>
      <bottom/>
      <diagonal/>
    </border>
    <border>
      <left/>
      <right/>
      <top style="medium">
        <color theme="3" tint="-0.5"/>
      </top>
      <bottom/>
      <diagonal/>
    </border>
    <border>
      <left/>
      <right style="medium">
        <color theme="3" tint="-0.5"/>
      </right>
      <top style="medium">
        <color theme="3" tint="-0.5"/>
      </top>
      <bottom/>
      <diagonal/>
    </border>
    <border>
      <left style="medium">
        <color theme="3" tint="-0.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medium">
        <color theme="3" tint="-0.5"/>
      </right>
      <top style="thin">
        <color rgb="FFB0BEC5"/>
      </top>
      <bottom style="thin">
        <color rgb="FFB0BEC5"/>
      </bottom>
      <diagonal/>
    </border>
    <border>
      <left style="medium">
        <color theme="3" tint="-0.5"/>
      </left>
      <right style="thin">
        <color rgb="FFB0BEC5"/>
      </right>
      <top style="thin">
        <color rgb="FFB0BEC5"/>
      </top>
      <bottom style="medium">
        <color theme="3" tint="-0.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theme="3" tint="-0.5"/>
      </bottom>
      <diagonal/>
    </border>
    <border>
      <left style="thin">
        <color rgb="FFB0BEC5"/>
      </left>
      <right style="medium">
        <color theme="3" tint="-0.5"/>
      </right>
      <top style="thin">
        <color rgb="FFB0BEC5"/>
      </top>
      <bottom style="medium">
        <color theme="3" tint="-0.5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medium">
        <color auto="1"/>
      </right>
      <top style="thin">
        <color rgb="FFB0BEC5"/>
      </top>
      <bottom style="thin">
        <color rgb="FFB0BEC5"/>
      </bottom>
      <diagonal/>
    </border>
    <border>
      <left style="medium">
        <color auto="1"/>
      </left>
      <right style="thin">
        <color rgb="FFB0BEC5"/>
      </right>
      <top style="thin">
        <color rgb="FFB0BEC5"/>
      </top>
      <bottom style="medium">
        <color auto="1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auto="1"/>
      </bottom>
      <diagonal/>
    </border>
    <border>
      <left style="thin">
        <color rgb="FFB0BEC5"/>
      </left>
      <right style="medium">
        <color auto="1"/>
      </right>
      <top style="thin">
        <color rgb="FFB0BEC5"/>
      </top>
      <bottom style="medium">
        <color auto="1"/>
      </bottom>
      <diagonal/>
    </border>
    <border>
      <left style="medium">
        <color auto="1"/>
      </left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 style="medium">
        <color auto="1"/>
      </right>
      <top style="thin">
        <color rgb="FFB0BEC5"/>
      </top>
      <bottom/>
      <diagonal/>
    </border>
    <border>
      <left style="medium">
        <color auto="1"/>
      </left>
      <right style="thin">
        <color rgb="FFB0BEC5"/>
      </right>
      <top style="medium">
        <color theme="0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medium">
        <color theme="0"/>
      </top>
      <bottom style="thin">
        <color rgb="FFB0BEC5"/>
      </bottom>
      <diagonal/>
    </border>
    <border>
      <left style="thin">
        <color rgb="FFB0BEC5"/>
      </left>
      <right style="medium">
        <color auto="1"/>
      </right>
      <top style="medium">
        <color theme="0"/>
      </top>
      <bottom style="thin">
        <color rgb="FFB0BEC5"/>
      </bottom>
      <diagonal/>
    </border>
    <border>
      <left style="medium">
        <color theme="3" tint="-0.5"/>
      </left>
      <right style="thin">
        <color rgb="FFB0BEC5"/>
      </right>
      <top style="medium">
        <color theme="3" tint="-0.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medium">
        <color theme="3" tint="-0.5"/>
      </top>
      <bottom style="thin">
        <color rgb="FFB0BEC5"/>
      </bottom>
      <diagonal/>
    </border>
    <border>
      <left style="thin">
        <color rgb="FFB0BEC5"/>
      </left>
      <right style="medium">
        <color theme="3" tint="-0.5"/>
      </right>
      <top style="medium">
        <color theme="3" tint="-0.5"/>
      </top>
      <bottom style="thin">
        <color rgb="FFB0BEC5"/>
      </bottom>
      <diagonal/>
    </border>
    <border>
      <left style="medium">
        <color auto="1"/>
      </left>
      <right/>
      <top/>
      <bottom/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theme="3" tint="-0.5"/>
      </top>
      <bottom style="thin">
        <color theme="0" tint="-0.05"/>
      </bottom>
      <diagonal/>
    </border>
    <border>
      <left style="medium">
        <color theme="3" tint="-0.5"/>
      </left>
      <right style="thin">
        <color theme="0" tint="-0.05"/>
      </right>
      <top style="thin">
        <color theme="0" tint="-0.05"/>
      </top>
      <bottom style="thin">
        <color rgb="FFB0BEC5"/>
      </bottom>
      <diagonal/>
    </border>
    <border>
      <left/>
      <right style="thin">
        <color rgb="FFB0BEC5"/>
      </right>
      <top/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theme="0" tint="-0.0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/>
      <bottom style="thin">
        <color rgb="FFB0BEC5"/>
      </bottom>
      <diagonal/>
    </border>
    <border>
      <left style="thin">
        <color rgb="FFB0BEC5"/>
      </left>
      <right style="medium">
        <color theme="3" tint="-0.5"/>
      </right>
      <top style="thin">
        <color theme="0" tint="-0.05"/>
      </top>
      <bottom style="thin">
        <color rgb="FFB0BEC5"/>
      </bottom>
      <diagonal/>
    </border>
    <border>
      <left/>
      <right style="medium">
        <color theme="3" tint="-0.5"/>
      </right>
      <top/>
      <bottom/>
      <diagonal/>
    </border>
    <border>
      <left style="medium">
        <color theme="3" tint="-0.5"/>
      </left>
      <right style="medium">
        <color auto="1"/>
      </right>
      <top style="medium">
        <color theme="3" tint="-0.5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 style="medium">
        <color theme="3" tint="-0.5"/>
      </left>
      <right style="thin">
        <color rgb="FFB0BEC5"/>
      </right>
      <top/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theme="0"/>
      </top>
      <bottom style="thin">
        <color rgb="FFB0BEC5"/>
      </bottom>
      <diagonal/>
    </border>
    <border>
      <left style="thin">
        <color rgb="FFB0BEC5"/>
      </left>
      <right style="medium">
        <color theme="3" tint="-0.5"/>
      </right>
      <top style="thin">
        <color theme="0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medium">
        <color theme="3" tint="-0.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medium">
        <color theme="3" tint="-0.5"/>
      </bottom>
      <diagonal/>
    </border>
    <border>
      <left/>
      <right/>
      <top style="thin">
        <color rgb="FFB0BEC5"/>
      </top>
      <bottom style="medium">
        <color theme="3" tint="-0.5"/>
      </bottom>
      <diagonal/>
    </border>
    <border>
      <left/>
      <right style="medium">
        <color theme="3" tint="-0.5"/>
      </right>
      <top style="thin">
        <color rgb="FFB0BEC5"/>
      </top>
      <bottom style="medium">
        <color theme="3" tint="-0.5"/>
      </bottom>
      <diagonal/>
    </border>
    <border>
      <left style="medium">
        <color theme="3" tint="-0.5"/>
      </left>
      <right style="thin">
        <color rgb="FFB0BEC5"/>
      </right>
      <top style="medium">
        <color theme="0" tint="-0.0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medium">
        <color theme="0" tint="-0.05"/>
      </top>
      <bottom style="thin">
        <color rgb="FFB0BEC5"/>
      </bottom>
      <diagonal/>
    </border>
    <border>
      <left style="thin">
        <color rgb="FFB0BEC5"/>
      </left>
      <right style="medium">
        <color theme="3" tint="-0.5"/>
      </right>
      <top style="medium">
        <color theme="0" tint="-0.05"/>
      </top>
      <bottom style="thin">
        <color rgb="FFB0BEC5"/>
      </bottom>
      <diagonal/>
    </border>
    <border>
      <left style="thin">
        <color theme="3" tint="-0.5"/>
      </left>
      <right style="thin">
        <color theme="3" tint="-0.5"/>
      </right>
      <top style="thin">
        <color theme="3" tint="-0.5"/>
      </top>
      <bottom style="thin">
        <color theme="0" tint="-0.05"/>
      </bottom>
      <diagonal/>
    </border>
    <border>
      <left style="thin">
        <color theme="3" tint="-0.5"/>
      </left>
      <right style="thin">
        <color theme="3" tint="-0.5"/>
      </right>
      <top style="thin">
        <color theme="3" tint="-0.5"/>
      </top>
      <bottom/>
      <diagonal/>
    </border>
    <border>
      <left/>
      <right/>
      <top style="thin">
        <color theme="0" tint="-0.05"/>
      </top>
      <bottom/>
      <diagonal/>
    </border>
    <border>
      <left style="medium">
        <color auto="1"/>
      </left>
      <right style="thin">
        <color rgb="FFB0BEC5"/>
      </right>
      <top style="thin">
        <color theme="0" tint="-0.05"/>
      </top>
      <bottom style="thin">
        <color rgb="FFB0BEC5"/>
      </bottom>
      <diagonal/>
    </border>
    <border>
      <left style="thin">
        <color rgb="FFB0BEC5"/>
      </left>
      <right style="medium">
        <color auto="1"/>
      </right>
      <top style="thin">
        <color theme="0" tint="-0.05"/>
      </top>
      <bottom style="thin">
        <color rgb="FFB0BEC5"/>
      </bottom>
      <diagonal/>
    </border>
    <border>
      <left style="medium">
        <color theme="3" tint="-0.5"/>
      </left>
      <right/>
      <top/>
      <bottom style="thin">
        <color theme="0" tint="-0.15"/>
      </bottom>
      <diagonal/>
    </border>
    <border>
      <left/>
      <right/>
      <top/>
      <bottom style="thin">
        <color theme="0" tint="-0.15"/>
      </bottom>
      <diagonal/>
    </border>
    <border>
      <left/>
      <right style="medium">
        <color theme="3" tint="-0.5"/>
      </right>
      <top/>
      <bottom style="thin">
        <color theme="0" tint="-0.15"/>
      </bottom>
      <diagonal/>
    </border>
    <border>
      <left style="medium">
        <color theme="3" tint="-0.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 style="medium">
        <color theme="3" tint="-0.5"/>
      </right>
      <top style="thin">
        <color theme="0" tint="-0.15"/>
      </top>
      <bottom style="thin">
        <color theme="0" tint="-0.15"/>
      </bottom>
      <diagonal/>
    </border>
    <border>
      <left style="medium">
        <color theme="3" tint="-0.5"/>
      </left>
      <right style="thin">
        <color theme="0" tint="-0.15"/>
      </right>
      <top style="thin">
        <color theme="0" tint="-0.15"/>
      </top>
      <bottom style="medium">
        <color theme="3" tint="-0.5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medium">
        <color theme="3" tint="-0.5"/>
      </bottom>
      <diagonal/>
    </border>
    <border>
      <left style="thin">
        <color theme="0" tint="-0.15"/>
      </left>
      <right style="medium">
        <color theme="3" tint="-0.5"/>
      </right>
      <top style="thin">
        <color theme="0" tint="-0.15"/>
      </top>
      <bottom style="medium">
        <color theme="3" tint="-0.5"/>
      </bottom>
      <diagonal/>
    </border>
    <border>
      <left style="thin">
        <color rgb="FFD8D0C2"/>
      </left>
      <right style="thin">
        <color rgb="FFD8D0C2"/>
      </right>
      <top/>
      <bottom style="thin">
        <color rgb="FFD8D0C2"/>
      </bottom>
      <diagonal/>
    </border>
    <border>
      <left/>
      <right/>
      <top/>
      <bottom style="thin">
        <color rgb="FFD8D0C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0" fillId="9" borderId="67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68">
      <alignment vertical="center"/>
    </xf>
    <xf numFmtId="0" fontId="34" fillId="0" borderId="68">
      <alignment vertical="center"/>
    </xf>
    <xf numFmtId="0" fontId="35" fillId="0" borderId="69">
      <alignment vertical="center"/>
    </xf>
    <xf numFmtId="0" fontId="35" fillId="0" borderId="0">
      <alignment vertical="center"/>
    </xf>
    <xf numFmtId="0" fontId="36" fillId="10" borderId="70">
      <alignment vertical="center"/>
    </xf>
    <xf numFmtId="0" fontId="37" fillId="8" borderId="71">
      <alignment vertical="center"/>
    </xf>
    <xf numFmtId="0" fontId="38" fillId="8" borderId="70">
      <alignment vertical="center"/>
    </xf>
    <xf numFmtId="0" fontId="39" fillId="11" borderId="72">
      <alignment vertical="center"/>
    </xf>
    <xf numFmtId="0" fontId="40" fillId="0" borderId="73">
      <alignment vertical="center"/>
    </xf>
    <xf numFmtId="0" fontId="41" fillId="0" borderId="74">
      <alignment vertical="center"/>
    </xf>
    <xf numFmtId="0" fontId="42" fillId="12" borderId="0">
      <alignment vertical="center"/>
    </xf>
    <xf numFmtId="0" fontId="43" fillId="13" borderId="0">
      <alignment vertical="center"/>
    </xf>
    <xf numFmtId="0" fontId="44" fillId="14" borderId="0">
      <alignment vertical="center"/>
    </xf>
    <xf numFmtId="0" fontId="45" fillId="15" borderId="0">
      <alignment vertical="center"/>
    </xf>
    <xf numFmtId="0" fontId="46" fillId="16" borderId="0">
      <alignment vertical="center"/>
    </xf>
    <xf numFmtId="0" fontId="46" fillId="17" borderId="0">
      <alignment vertical="center"/>
    </xf>
    <xf numFmtId="0" fontId="45" fillId="18" borderId="0">
      <alignment vertical="center"/>
    </xf>
    <xf numFmtId="0" fontId="45" fillId="19" borderId="0">
      <alignment vertical="center"/>
    </xf>
    <xf numFmtId="0" fontId="46" fillId="20" borderId="0">
      <alignment vertical="center"/>
    </xf>
    <xf numFmtId="0" fontId="46" fillId="21" borderId="0">
      <alignment vertical="center"/>
    </xf>
    <xf numFmtId="0" fontId="45" fillId="22" borderId="0">
      <alignment vertical="center"/>
    </xf>
    <xf numFmtId="0" fontId="45" fillId="23" borderId="0">
      <alignment vertical="center"/>
    </xf>
    <xf numFmtId="0" fontId="46" fillId="24" borderId="0">
      <alignment vertical="center"/>
    </xf>
    <xf numFmtId="0" fontId="46" fillId="25" borderId="0">
      <alignment vertical="center"/>
    </xf>
    <xf numFmtId="0" fontId="45" fillId="26" borderId="0">
      <alignment vertical="center"/>
    </xf>
    <xf numFmtId="0" fontId="45" fillId="27" borderId="0">
      <alignment vertical="center"/>
    </xf>
    <xf numFmtId="0" fontId="46" fillId="28" borderId="0">
      <alignment vertical="center"/>
    </xf>
    <xf numFmtId="0" fontId="46" fillId="29" borderId="0">
      <alignment vertical="center"/>
    </xf>
    <xf numFmtId="0" fontId="45" fillId="30" borderId="0">
      <alignment vertical="center"/>
    </xf>
    <xf numFmtId="0" fontId="45" fillId="31" borderId="0">
      <alignment vertical="center"/>
    </xf>
    <xf numFmtId="0" fontId="46" fillId="32" borderId="0">
      <alignment vertical="center"/>
    </xf>
    <xf numFmtId="0" fontId="46" fillId="33" borderId="0">
      <alignment vertical="center"/>
    </xf>
    <xf numFmtId="0" fontId="45" fillId="34" borderId="0">
      <alignment vertical="center"/>
    </xf>
    <xf numFmtId="0" fontId="45" fillId="35" borderId="0">
      <alignment vertical="center"/>
    </xf>
    <xf numFmtId="0" fontId="46" fillId="36" borderId="0">
      <alignment vertical="center"/>
    </xf>
    <xf numFmtId="0" fontId="46" fillId="37" borderId="0">
      <alignment vertical="center"/>
    </xf>
    <xf numFmtId="0" fontId="45" fillId="38" borderId="0">
      <alignment vertical="center"/>
    </xf>
  </cellStyleXfs>
  <cellXfs count="40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6" fillId="3" borderId="4" xfId="0" applyFont="1" applyFill="1" applyBorder="1"/>
    <xf numFmtId="3" fontId="1" fillId="3" borderId="5" xfId="0" applyNumberFormat="1" applyFont="1" applyFill="1" applyBorder="1"/>
    <xf numFmtId="3" fontId="1" fillId="3" borderId="6" xfId="0" applyNumberFormat="1" applyFont="1" applyFill="1" applyBorder="1"/>
    <xf numFmtId="0" fontId="1" fillId="0" borderId="4" xfId="0" applyFont="1" applyBorder="1"/>
    <xf numFmtId="3" fontId="1" fillId="0" borderId="5" xfId="0" applyNumberFormat="1" applyFont="1" applyBorder="1"/>
    <xf numFmtId="3" fontId="1" fillId="0" borderId="6" xfId="0" applyNumberFormat="1" applyFont="1" applyBorder="1"/>
    <xf numFmtId="3" fontId="1" fillId="4" borderId="5" xfId="0" applyNumberFormat="1" applyFont="1" applyFill="1" applyBorder="1"/>
    <xf numFmtId="3" fontId="1" fillId="4" borderId="6" xfId="0" applyNumberFormat="1" applyFont="1" applyFill="1" applyBorder="1"/>
    <xf numFmtId="0" fontId="1" fillId="0" borderId="7" xfId="0" applyFont="1" applyBorder="1"/>
    <xf numFmtId="3" fontId="1" fillId="0" borderId="8" xfId="0" applyNumberFormat="1" applyFont="1" applyBorder="1"/>
    <xf numFmtId="3" fontId="1" fillId="0" borderId="9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7" fillId="0" borderId="7" xfId="0" applyFont="1" applyBorder="1"/>
    <xf numFmtId="3" fontId="7" fillId="0" borderId="8" xfId="0" applyNumberFormat="1" applyFont="1" applyBorder="1"/>
    <xf numFmtId="0" fontId="1" fillId="0" borderId="8" xfId="0" applyFont="1" applyBorder="1"/>
    <xf numFmtId="0" fontId="1" fillId="0" borderId="9" xfId="0" applyFont="1" applyBorder="1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2" fillId="2" borderId="2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5" borderId="28" xfId="0" applyFont="1" applyFill="1" applyBorder="1" applyAlignment="1">
      <alignment horizontal="left"/>
    </xf>
    <xf numFmtId="0" fontId="1" fillId="0" borderId="24" xfId="0" applyFont="1" applyBorder="1"/>
    <xf numFmtId="0" fontId="1" fillId="0" borderId="25" xfId="0" applyFont="1" applyBorder="1"/>
    <xf numFmtId="9" fontId="1" fillId="0" borderId="25" xfId="0" applyNumberFormat="1" applyFont="1" applyBorder="1"/>
    <xf numFmtId="0" fontId="11" fillId="0" borderId="25" xfId="0" applyFont="1" applyBorder="1" applyAlignment="1">
      <alignment horizontal="center" vertical="center"/>
    </xf>
    <xf numFmtId="0" fontId="1" fillId="0" borderId="26" xfId="0" applyFont="1" applyBorder="1"/>
    <xf numFmtId="0" fontId="7" fillId="6" borderId="28" xfId="0" applyFont="1" applyFill="1" applyBorder="1" applyAlignment="1">
      <alignment horizontal="left"/>
    </xf>
    <xf numFmtId="176" fontId="1" fillId="6" borderId="4" xfId="0" applyNumberFormat="1" applyFont="1" applyFill="1" applyBorder="1" applyAlignment="1">
      <alignment horizontal="left"/>
    </xf>
    <xf numFmtId="176" fontId="12" fillId="6" borderId="5" xfId="0" applyNumberFormat="1" applyFont="1" applyFill="1" applyBorder="1" applyAlignment="1">
      <alignment horizontal="left" vertical="center"/>
    </xf>
    <xf numFmtId="9" fontId="1" fillId="6" borderId="5" xfId="0" applyNumberFormat="1" applyFont="1" applyFill="1" applyBorder="1" applyAlignment="1">
      <alignment horizontal="left"/>
    </xf>
    <xf numFmtId="0" fontId="11" fillId="6" borderId="5" xfId="0" applyFont="1" applyFill="1" applyBorder="1" applyAlignment="1">
      <alignment horizontal="center" vertical="center"/>
    </xf>
    <xf numFmtId="9" fontId="11" fillId="6" borderId="5" xfId="0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76" fontId="11" fillId="5" borderId="4" xfId="0" applyNumberFormat="1" applyFont="1" applyFill="1" applyBorder="1" applyAlignment="1">
      <alignment horizontal="left" vertical="center"/>
    </xf>
    <xf numFmtId="176" fontId="1" fillId="5" borderId="5" xfId="0" applyNumberFormat="1" applyFont="1" applyFill="1" applyBorder="1" applyAlignment="1">
      <alignment horizontal="left"/>
    </xf>
    <xf numFmtId="9" fontId="1" fillId="5" borderId="5" xfId="0" applyNumberFormat="1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center" vertical="center"/>
    </xf>
    <xf numFmtId="9" fontId="11" fillId="5" borderId="5" xfId="0" applyNumberFormat="1" applyFont="1" applyFill="1" applyBorder="1" applyAlignment="1">
      <alignment horizontal="center" vertical="center"/>
    </xf>
    <xf numFmtId="176" fontId="11" fillId="6" borderId="4" xfId="0" applyNumberFormat="1" applyFont="1" applyFill="1" applyBorder="1" applyAlignment="1">
      <alignment horizontal="left" vertical="center"/>
    </xf>
    <xf numFmtId="176" fontId="1" fillId="6" borderId="5" xfId="0" applyNumberFormat="1" applyFont="1" applyFill="1" applyBorder="1" applyAlignment="1">
      <alignment horizontal="left"/>
    </xf>
    <xf numFmtId="9" fontId="1" fillId="6" borderId="5" xfId="0" applyNumberFormat="1" applyFont="1" applyFill="1" applyBorder="1" applyAlignment="1">
      <alignment horizontal="left" vertical="center"/>
    </xf>
    <xf numFmtId="9" fontId="1" fillId="5" borderId="5" xfId="0" applyNumberFormat="1" applyFont="1" applyFill="1" applyBorder="1" applyAlignment="1">
      <alignment horizontal="left"/>
    </xf>
    <xf numFmtId="0" fontId="1" fillId="0" borderId="28" xfId="0" applyFont="1" applyBorder="1"/>
    <xf numFmtId="9" fontId="1" fillId="0" borderId="5" xfId="0" applyNumberFormat="1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9" fontId="1" fillId="0" borderId="5" xfId="0" applyNumberFormat="1" applyFont="1" applyBorder="1"/>
    <xf numFmtId="0" fontId="5" fillId="2" borderId="28" xfId="0" applyFont="1" applyFill="1" applyBorder="1" applyAlignment="1">
      <alignment vertical="center"/>
    </xf>
    <xf numFmtId="0" fontId="1" fillId="0" borderId="4" xfId="0" applyFont="1" applyBorder="1"/>
    <xf numFmtId="0" fontId="1" fillId="3" borderId="4" xfId="0" applyFont="1" applyFill="1" applyBorder="1"/>
    <xf numFmtId="0" fontId="1" fillId="3" borderId="5" xfId="0" applyFont="1" applyFill="1" applyBorder="1"/>
    <xf numFmtId="9" fontId="1" fillId="3" borderId="5" xfId="0" applyNumberFormat="1" applyFont="1" applyFill="1" applyBorder="1"/>
    <xf numFmtId="0" fontId="11" fillId="3" borderId="5" xfId="0" applyFont="1" applyFill="1" applyBorder="1" applyAlignment="1">
      <alignment horizontal="center" vertical="center"/>
    </xf>
    <xf numFmtId="0" fontId="1" fillId="3" borderId="6" xfId="0" applyFont="1" applyFill="1" applyBorder="1"/>
    <xf numFmtId="0" fontId="1" fillId="0" borderId="28" xfId="0" applyFont="1" applyBorder="1"/>
    <xf numFmtId="0" fontId="11" fillId="0" borderId="5" xfId="0" applyFont="1" applyBorder="1" applyAlignment="1">
      <alignment horizontal="center" vertical="center"/>
    </xf>
    <xf numFmtId="0" fontId="1" fillId="0" borderId="7" xfId="0" applyFont="1" applyBorder="1"/>
    <xf numFmtId="9" fontId="1" fillId="0" borderId="8" xfId="0" applyNumberFormat="1" applyFont="1" applyBorder="1"/>
    <xf numFmtId="0" fontId="11" fillId="0" borderId="8" xfId="0" applyFont="1" applyBorder="1" applyAlignment="1">
      <alignment horizontal="center" vertical="center"/>
    </xf>
    <xf numFmtId="0" fontId="13" fillId="0" borderId="0" xfId="0" applyFont="1"/>
    <xf numFmtId="0" fontId="8" fillId="0" borderId="0" xfId="0" applyFont="1" applyAlignment="1">
      <alignment horizontal="center"/>
    </xf>
    <xf numFmtId="0" fontId="14" fillId="0" borderId="0" xfId="6" applyFont="1" applyAlignment="1">
      <alignment horizontal="center"/>
    </xf>
    <xf numFmtId="0" fontId="15" fillId="0" borderId="0" xfId="0" applyFont="1"/>
    <xf numFmtId="0" fontId="5" fillId="2" borderId="1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9" fontId="1" fillId="0" borderId="6" xfId="0" applyNumberFormat="1" applyFont="1" applyBorder="1" applyAlignment="1">
      <alignment vertical="center" wrapText="1"/>
    </xf>
    <xf numFmtId="0" fontId="1" fillId="6" borderId="5" xfId="0" applyFont="1" applyFill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5" fillId="2" borderId="13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 vertical="center" wrapText="1"/>
    </xf>
    <xf numFmtId="0" fontId="1" fillId="6" borderId="13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left" vertical="center" wrapText="1"/>
    </xf>
    <xf numFmtId="0" fontId="1" fillId="6" borderId="14" xfId="0" applyFont="1" applyFill="1" applyBorder="1" applyAlignment="1">
      <alignment horizontal="left" vertical="center" wrapText="1"/>
    </xf>
    <xf numFmtId="0" fontId="1" fillId="6" borderId="15" xfId="0" applyFont="1" applyFill="1" applyBorder="1" applyAlignment="1">
      <alignment horizontal="left" vertical="center" wrapText="1"/>
    </xf>
    <xf numFmtId="0" fontId="1" fillId="6" borderId="16" xfId="0" applyFont="1" applyFill="1" applyBorder="1" applyAlignment="1">
      <alignment horizontal="left" vertical="center" wrapText="1"/>
    </xf>
    <xf numFmtId="0" fontId="1" fillId="6" borderId="17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 vertical="center" wrapText="1"/>
    </xf>
    <xf numFmtId="0" fontId="1" fillId="6" borderId="14" xfId="0" applyFont="1" applyFill="1" applyBorder="1" applyAlignment="1">
      <alignment horizontal="left" vertical="center" wrapText="1"/>
    </xf>
    <xf numFmtId="0" fontId="1" fillId="6" borderId="13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left"/>
    </xf>
    <xf numFmtId="0" fontId="1" fillId="6" borderId="14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left"/>
    </xf>
    <xf numFmtId="0" fontId="1" fillId="5" borderId="14" xfId="0" applyFont="1" applyFill="1" applyBorder="1" applyAlignment="1">
      <alignment horizontal="left"/>
    </xf>
    <xf numFmtId="0" fontId="1" fillId="5" borderId="15" xfId="0" applyFont="1" applyFill="1" applyBorder="1" applyAlignment="1">
      <alignment horizontal="left" vertical="center" wrapText="1"/>
    </xf>
    <xf numFmtId="0" fontId="1" fillId="5" borderId="16" xfId="0" applyFont="1" applyFill="1" applyBorder="1" applyAlignment="1">
      <alignment horizontal="left" vertical="center" wrapText="1"/>
    </xf>
    <xf numFmtId="0" fontId="1" fillId="5" borderId="16" xfId="0" applyFont="1" applyFill="1" applyBorder="1" applyAlignment="1">
      <alignment horizontal="left" vertical="center" wrapText="1"/>
    </xf>
    <xf numFmtId="0" fontId="1" fillId="5" borderId="17" xfId="0" applyFont="1" applyFill="1" applyBorder="1" applyAlignment="1">
      <alignment horizontal="left" vertical="center" wrapText="1"/>
    </xf>
    <xf numFmtId="0" fontId="1" fillId="5" borderId="17" xfId="0" applyFont="1" applyFill="1" applyBorder="1" applyAlignment="1">
      <alignment horizontal="left" vertical="center" wrapText="1"/>
    </xf>
    <xf numFmtId="0" fontId="3" fillId="0" borderId="30" xfId="0" applyFont="1" applyBorder="1"/>
    <xf numFmtId="0" fontId="5" fillId="2" borderId="31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vertical="center" wrapText="1"/>
    </xf>
    <xf numFmtId="0" fontId="18" fillId="0" borderId="0" xfId="0" applyFont="1"/>
    <xf numFmtId="0" fontId="18" fillId="0" borderId="0" xfId="0" applyFont="1"/>
    <xf numFmtId="0" fontId="18" fillId="0" borderId="36" xfId="0" applyFont="1" applyBorder="1"/>
    <xf numFmtId="0" fontId="1" fillId="6" borderId="4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9" fillId="0" borderId="0" xfId="0" applyFont="1"/>
    <xf numFmtId="0" fontId="1" fillId="6" borderId="7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vertical="center" wrapText="1"/>
    </xf>
    <xf numFmtId="0" fontId="1" fillId="6" borderId="9" xfId="0" applyFont="1" applyFill="1" applyBorder="1" applyAlignment="1">
      <alignment vertical="center" wrapText="1"/>
    </xf>
    <xf numFmtId="0" fontId="2" fillId="2" borderId="37" xfId="0" applyFont="1" applyFill="1" applyBorder="1" applyAlignment="1">
      <alignment horizontal="center" vertical="center"/>
    </xf>
    <xf numFmtId="0" fontId="18" fillId="0" borderId="36" xfId="0" applyFont="1" applyBorder="1"/>
    <xf numFmtId="0" fontId="13" fillId="0" borderId="11" xfId="0" applyFont="1" applyBorder="1"/>
    <xf numFmtId="0" fontId="13" fillId="0" borderId="12" xfId="0" applyFont="1" applyBorder="1"/>
    <xf numFmtId="0" fontId="20" fillId="5" borderId="5" xfId="0" applyFont="1" applyFill="1" applyBorder="1" applyAlignment="1">
      <alignment horizontal="left"/>
    </xf>
    <xf numFmtId="0" fontId="20" fillId="6" borderId="13" xfId="0" applyFont="1" applyFill="1" applyBorder="1" applyAlignment="1">
      <alignment horizontal="left"/>
    </xf>
    <xf numFmtId="3" fontId="1" fillId="6" borderId="14" xfId="0" applyNumberFormat="1" applyFont="1" applyFill="1" applyBorder="1" applyAlignment="1">
      <alignment horizontal="left"/>
    </xf>
    <xf numFmtId="0" fontId="20" fillId="5" borderId="13" xfId="0" applyFont="1" applyFill="1" applyBorder="1" applyAlignment="1">
      <alignment horizontal="left"/>
    </xf>
    <xf numFmtId="3" fontId="1" fillId="5" borderId="14" xfId="0" applyNumberFormat="1" applyFont="1" applyFill="1" applyBorder="1" applyAlignment="1">
      <alignment horizontal="left"/>
    </xf>
    <xf numFmtId="9" fontId="20" fillId="5" borderId="5" xfId="0" applyNumberFormat="1" applyFont="1" applyFill="1" applyBorder="1" applyAlignment="1">
      <alignment horizontal="left"/>
    </xf>
    <xf numFmtId="0" fontId="20" fillId="5" borderId="14" xfId="0" applyFont="1" applyFill="1" applyBorder="1" applyAlignment="1">
      <alignment horizontal="left"/>
    </xf>
    <xf numFmtId="0" fontId="21" fillId="7" borderId="13" xfId="0" applyFont="1" applyFill="1" applyBorder="1" applyAlignment="1">
      <alignment horizontal="left"/>
    </xf>
    <xf numFmtId="0" fontId="21" fillId="7" borderId="5" xfId="0" applyFont="1" applyFill="1" applyBorder="1" applyAlignment="1">
      <alignment horizontal="left"/>
    </xf>
    <xf numFmtId="0" fontId="21" fillId="7" borderId="14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left"/>
    </xf>
    <xf numFmtId="3" fontId="1" fillId="5" borderId="5" xfId="0" applyNumberFormat="1" applyFont="1" applyFill="1" applyBorder="1" applyAlignment="1">
      <alignment horizontal="left"/>
    </xf>
    <xf numFmtId="0" fontId="1" fillId="6" borderId="13" xfId="0" applyFont="1" applyFill="1" applyBorder="1" applyAlignment="1">
      <alignment horizontal="left"/>
    </xf>
    <xf numFmtId="3" fontId="1" fillId="6" borderId="5" xfId="0" applyNumberFormat="1" applyFont="1" applyFill="1" applyBorder="1" applyAlignment="1">
      <alignment horizontal="left"/>
    </xf>
    <xf numFmtId="0" fontId="1" fillId="6" borderId="14" xfId="0" applyFont="1" applyFill="1" applyBorder="1" applyAlignment="1">
      <alignment horizontal="left"/>
    </xf>
    <xf numFmtId="0" fontId="1" fillId="6" borderId="15" xfId="0" applyFont="1" applyFill="1" applyBorder="1" applyAlignment="1">
      <alignment horizontal="left"/>
    </xf>
    <xf numFmtId="3" fontId="1" fillId="6" borderId="16" xfId="0" applyNumberFormat="1" applyFont="1" applyFill="1" applyBorder="1" applyAlignment="1">
      <alignment horizontal="left"/>
    </xf>
    <xf numFmtId="0" fontId="1" fillId="6" borderId="16" xfId="0" applyFont="1" applyFill="1" applyBorder="1" applyAlignment="1">
      <alignment horizontal="left"/>
    </xf>
    <xf numFmtId="0" fontId="1" fillId="6" borderId="17" xfId="0" applyFont="1" applyFill="1" applyBorder="1" applyAlignment="1">
      <alignment horizontal="left"/>
    </xf>
    <xf numFmtId="0" fontId="2" fillId="2" borderId="38" xfId="0" applyFont="1" applyFill="1" applyBorder="1" applyAlignment="1">
      <alignment horizontal="center" vertical="center"/>
    </xf>
    <xf numFmtId="0" fontId="3" fillId="0" borderId="39" xfId="0" applyFont="1" applyBorder="1"/>
    <xf numFmtId="0" fontId="5" fillId="2" borderId="40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1" fillId="6" borderId="6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1" fillId="6" borderId="7" xfId="0" applyFont="1" applyFill="1" applyBorder="1" applyAlignment="1">
      <alignment horizontal="left" vertical="center" wrapText="1"/>
    </xf>
    <xf numFmtId="0" fontId="1" fillId="6" borderId="8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" fillId="0" borderId="36" xfId="0" applyFont="1" applyBorder="1"/>
    <xf numFmtId="0" fontId="1" fillId="5" borderId="4" xfId="0" applyFont="1" applyFill="1" applyBorder="1" applyAlignment="1">
      <alignment horizontal="left" vertical="center" wrapText="1"/>
    </xf>
    <xf numFmtId="0" fontId="1" fillId="0" borderId="36" xfId="0" applyFont="1" applyBorder="1" applyAlignment="1">
      <alignment horizontal="left"/>
    </xf>
    <xf numFmtId="0" fontId="1" fillId="6" borderId="4" xfId="0" applyFont="1" applyFill="1" applyBorder="1" applyAlignment="1">
      <alignment horizontal="left" vertical="center" wrapText="1"/>
    </xf>
    <xf numFmtId="0" fontId="1" fillId="6" borderId="6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22" fillId="5" borderId="7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177" fontId="1" fillId="5" borderId="8" xfId="0" applyNumberFormat="1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1" fillId="5" borderId="9" xfId="0" applyFont="1" applyFill="1" applyBorder="1" applyAlignment="1">
      <alignment horizontal="left"/>
    </xf>
    <xf numFmtId="0" fontId="1" fillId="0" borderId="43" xfId="0" applyFont="1" applyBorder="1"/>
    <xf numFmtId="0" fontId="1" fillId="0" borderId="44" xfId="0" applyFont="1" applyBorder="1"/>
    <xf numFmtId="0" fontId="20" fillId="5" borderId="4" xfId="0" applyFont="1" applyFill="1" applyBorder="1" applyAlignment="1">
      <alignment horizontal="left" vertical="center"/>
    </xf>
    <xf numFmtId="0" fontId="20" fillId="6" borderId="4" xfId="0" applyFont="1" applyFill="1" applyBorder="1" applyAlignment="1">
      <alignment horizontal="left" vertical="center"/>
    </xf>
    <xf numFmtId="0" fontId="20" fillId="5" borderId="4" xfId="0" applyFont="1" applyFill="1" applyBorder="1" applyAlignment="1">
      <alignment horizontal="left"/>
    </xf>
    <xf numFmtId="0" fontId="1" fillId="5" borderId="28" xfId="0" applyFont="1" applyFill="1" applyBorder="1" applyAlignment="1">
      <alignment vertical="center"/>
    </xf>
    <xf numFmtId="0" fontId="1" fillId="5" borderId="43" xfId="0" applyFont="1" applyFill="1" applyBorder="1" applyAlignment="1">
      <alignment vertical="center"/>
    </xf>
    <xf numFmtId="0" fontId="1" fillId="5" borderId="44" xfId="0" applyFont="1" applyFill="1" applyBorder="1" applyAlignment="1">
      <alignment vertical="center"/>
    </xf>
    <xf numFmtId="0" fontId="20" fillId="6" borderId="7" xfId="0" applyFont="1" applyFill="1" applyBorder="1" applyAlignment="1">
      <alignment horizontal="left"/>
    </xf>
    <xf numFmtId="0" fontId="1" fillId="6" borderId="45" xfId="0" applyFont="1" applyFill="1" applyBorder="1" applyAlignment="1">
      <alignment vertical="center" wrapText="1"/>
    </xf>
    <xf numFmtId="0" fontId="1" fillId="6" borderId="46" xfId="0" applyFont="1" applyFill="1" applyBorder="1" applyAlignment="1">
      <alignment vertical="center" wrapText="1"/>
    </xf>
    <xf numFmtId="0" fontId="1" fillId="6" borderId="47" xfId="0" applyFont="1" applyFill="1" applyBorder="1" applyAlignment="1">
      <alignment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5" fillId="2" borderId="50" xfId="0" applyFont="1" applyFill="1" applyBorder="1" applyAlignment="1">
      <alignment horizontal="center" vertical="center" wrapText="1"/>
    </xf>
    <xf numFmtId="0" fontId="23" fillId="5" borderId="6" xfId="0" applyFont="1" applyFill="1" applyBorder="1" applyAlignment="1">
      <alignment vertical="center" wrapText="1"/>
    </xf>
    <xf numFmtId="0" fontId="23" fillId="6" borderId="6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2" fillId="2" borderId="51" xfId="0" applyFont="1" applyFill="1" applyBorder="1" applyAlignment="1">
      <alignment horizontal="center" vertical="center"/>
    </xf>
    <xf numFmtId="0" fontId="3" fillId="0" borderId="51" xfId="0" applyFont="1" applyBorder="1"/>
    <xf numFmtId="0" fontId="3" fillId="0" borderId="52" xfId="0" applyFont="1" applyBorder="1"/>
    <xf numFmtId="0" fontId="6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0" borderId="53" xfId="0" applyFont="1" applyBorder="1" applyAlignment="1">
      <alignment horizontal="left"/>
    </xf>
    <xf numFmtId="0" fontId="1" fillId="0" borderId="0" xfId="0" applyFont="1"/>
    <xf numFmtId="3" fontId="1" fillId="6" borderId="5" xfId="0" applyNumberFormat="1" applyFont="1" applyFill="1" applyBorder="1" applyAlignment="1">
      <alignment horizontal="left" vertical="center" wrapText="1"/>
    </xf>
    <xf numFmtId="0" fontId="1" fillId="6" borderId="6" xfId="0" applyFont="1" applyFill="1" applyBorder="1" applyAlignment="1">
      <alignment horizontal="left"/>
    </xf>
    <xf numFmtId="3" fontId="1" fillId="5" borderId="5" xfId="0" applyNumberFormat="1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1" fillId="6" borderId="7" xfId="0" applyFont="1" applyFill="1" applyBorder="1" applyAlignment="1">
      <alignment horizontal="left"/>
    </xf>
    <xf numFmtId="0" fontId="1" fillId="6" borderId="8" xfId="0" applyFont="1" applyFill="1" applyBorder="1" applyAlignment="1">
      <alignment horizontal="left"/>
    </xf>
    <xf numFmtId="0" fontId="1" fillId="6" borderId="8" xfId="0" applyFont="1" applyFill="1" applyBorder="1" applyAlignment="1">
      <alignment horizontal="left"/>
    </xf>
    <xf numFmtId="0" fontId="1" fillId="6" borderId="9" xfId="0" applyFont="1" applyFill="1" applyBorder="1" applyAlignment="1">
      <alignment horizontal="left"/>
    </xf>
    <xf numFmtId="0" fontId="5" fillId="2" borderId="54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6" borderId="13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right" vertical="center" wrapText="1"/>
    </xf>
    <xf numFmtId="0" fontId="1" fillId="6" borderId="5" xfId="0" applyFont="1" applyFill="1" applyBorder="1" applyAlignment="1">
      <alignment horizontal="right" vertical="center" wrapText="1"/>
    </xf>
    <xf numFmtId="3" fontId="1" fillId="6" borderId="5" xfId="0" applyNumberFormat="1" applyFont="1" applyFill="1" applyBorder="1" applyAlignment="1">
      <alignment horizontal="right" vertical="center" wrapText="1"/>
    </xf>
    <xf numFmtId="0" fontId="1" fillId="6" borderId="14" xfId="0" applyFont="1" applyFill="1" applyBorder="1" applyAlignment="1">
      <alignment horizontal="right" vertical="center" wrapText="1"/>
    </xf>
    <xf numFmtId="0" fontId="1" fillId="5" borderId="5" xfId="0" applyFont="1" applyFill="1" applyBorder="1" applyAlignment="1">
      <alignment horizontal="right" vertical="center" wrapText="1"/>
    </xf>
    <xf numFmtId="0" fontId="1" fillId="5" borderId="5" xfId="0" applyFont="1" applyFill="1" applyBorder="1" applyAlignment="1">
      <alignment horizontal="right" vertical="center" wrapText="1"/>
    </xf>
    <xf numFmtId="3" fontId="1" fillId="5" borderId="5" xfId="0" applyNumberFormat="1" applyFont="1" applyFill="1" applyBorder="1" applyAlignment="1">
      <alignment horizontal="right" vertical="center" wrapText="1"/>
    </xf>
    <xf numFmtId="0" fontId="1" fillId="5" borderId="14" xfId="0" applyFont="1" applyFill="1" applyBorder="1" applyAlignment="1">
      <alignment horizontal="right" vertical="center" wrapText="1"/>
    </xf>
    <xf numFmtId="0" fontId="1" fillId="6" borderId="13" xfId="0" applyFont="1" applyFill="1" applyBorder="1" applyAlignment="1">
      <alignment horizontal="left" vertical="center" wrapText="1"/>
    </xf>
    <xf numFmtId="0" fontId="1" fillId="6" borderId="14" xfId="0" applyFont="1" applyFill="1" applyBorder="1" applyAlignment="1">
      <alignment horizontal="left" vertical="center" wrapText="1"/>
    </xf>
    <xf numFmtId="0" fontId="1" fillId="5" borderId="13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 vertical="center" wrapText="1"/>
    </xf>
    <xf numFmtId="0" fontId="1" fillId="6" borderId="15" xfId="0" applyFont="1" applyFill="1" applyBorder="1" applyAlignment="1">
      <alignment horizontal="left" vertical="center" wrapText="1"/>
    </xf>
    <xf numFmtId="0" fontId="1" fillId="6" borderId="16" xfId="0" applyFont="1" applyFill="1" applyBorder="1" applyAlignment="1">
      <alignment horizontal="left" vertical="center" wrapText="1"/>
    </xf>
    <xf numFmtId="3" fontId="1" fillId="6" borderId="16" xfId="0" applyNumberFormat="1" applyFont="1" applyFill="1" applyBorder="1" applyAlignment="1">
      <alignment horizontal="left" vertical="center" wrapText="1"/>
    </xf>
    <xf numFmtId="0" fontId="1" fillId="6" borderId="17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/>
    </xf>
    <xf numFmtId="0" fontId="1" fillId="6" borderId="6" xfId="0" applyFont="1" applyFill="1" applyBorder="1" applyAlignment="1">
      <alignment horizontal="left"/>
    </xf>
    <xf numFmtId="0" fontId="1" fillId="6" borderId="9" xfId="0" applyFont="1" applyFill="1" applyBorder="1" applyAlignment="1">
      <alignment horizontal="left"/>
    </xf>
    <xf numFmtId="3" fontId="1" fillId="6" borderId="5" xfId="0" applyNumberFormat="1" applyFont="1" applyFill="1" applyBorder="1" applyAlignment="1">
      <alignment horizontal="left" vertical="center" wrapText="1"/>
    </xf>
    <xf numFmtId="3" fontId="1" fillId="5" borderId="5" xfId="0" applyNumberFormat="1" applyFont="1" applyFill="1" applyBorder="1" applyAlignment="1">
      <alignment horizontal="left" vertical="center" wrapText="1"/>
    </xf>
    <xf numFmtId="0" fontId="7" fillId="6" borderId="8" xfId="0" applyFont="1" applyFill="1" applyBorder="1" applyAlignment="1">
      <alignment horizontal="left"/>
    </xf>
    <xf numFmtId="3" fontId="24" fillId="6" borderId="8" xfId="0" applyNumberFormat="1" applyFont="1" applyFill="1" applyBorder="1" applyAlignment="1">
      <alignment horizontal="left"/>
    </xf>
    <xf numFmtId="0" fontId="1" fillId="0" borderId="2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5" borderId="4" xfId="0" applyFont="1" applyFill="1" applyBorder="1" applyAlignment="1">
      <alignment horizontal="left" vertical="top" wrapText="1"/>
    </xf>
    <xf numFmtId="0" fontId="1" fillId="0" borderId="36" xfId="0" applyFont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 wrapText="1"/>
    </xf>
    <xf numFmtId="0" fontId="1" fillId="6" borderId="5" xfId="0" applyFont="1" applyFill="1" applyBorder="1" applyAlignment="1">
      <alignment horizontal="left" vertical="top" wrapText="1"/>
    </xf>
    <xf numFmtId="0" fontId="23" fillId="6" borderId="6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left" vertical="top" wrapText="1"/>
    </xf>
    <xf numFmtId="0" fontId="1" fillId="5" borderId="6" xfId="0" applyFont="1" applyFill="1" applyBorder="1" applyAlignment="1">
      <alignment horizontal="left" vertical="top" wrapText="1"/>
    </xf>
    <xf numFmtId="0" fontId="1" fillId="6" borderId="4" xfId="0" applyFont="1" applyFill="1" applyBorder="1" applyAlignment="1">
      <alignment horizontal="left" vertical="top" wrapText="1"/>
    </xf>
    <xf numFmtId="0" fontId="1" fillId="6" borderId="5" xfId="0" applyFont="1" applyFill="1" applyBorder="1" applyAlignment="1">
      <alignment horizontal="left" vertical="top" wrapText="1"/>
    </xf>
    <xf numFmtId="0" fontId="1" fillId="6" borderId="6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/>
    </xf>
    <xf numFmtId="0" fontId="1" fillId="5" borderId="5" xfId="0" applyFont="1" applyFill="1" applyBorder="1" applyAlignment="1">
      <alignment horizontal="left" vertical="top"/>
    </xf>
    <xf numFmtId="0" fontId="1" fillId="5" borderId="5" xfId="0" applyFont="1" applyFill="1" applyBorder="1" applyAlignment="1">
      <alignment horizontal="left" vertical="top"/>
    </xf>
    <xf numFmtId="0" fontId="1" fillId="5" borderId="6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/>
    </xf>
    <xf numFmtId="0" fontId="1" fillId="6" borderId="5" xfId="0" applyFont="1" applyFill="1" applyBorder="1" applyAlignment="1">
      <alignment horizontal="left" vertical="top"/>
    </xf>
    <xf numFmtId="0" fontId="1" fillId="6" borderId="5" xfId="0" applyFont="1" applyFill="1" applyBorder="1" applyAlignment="1">
      <alignment horizontal="left" vertical="top"/>
    </xf>
    <xf numFmtId="0" fontId="1" fillId="6" borderId="6" xfId="0" applyFont="1" applyFill="1" applyBorder="1" applyAlignment="1">
      <alignment horizontal="left" vertical="top"/>
    </xf>
    <xf numFmtId="0" fontId="1" fillId="6" borderId="7" xfId="0" applyFont="1" applyFill="1" applyBorder="1" applyAlignment="1">
      <alignment horizontal="left" vertical="top"/>
    </xf>
    <xf numFmtId="0" fontId="1" fillId="6" borderId="8" xfId="0" applyFont="1" applyFill="1" applyBorder="1" applyAlignment="1">
      <alignment horizontal="left" vertical="top"/>
    </xf>
    <xf numFmtId="0" fontId="1" fillId="6" borderId="8" xfId="0" applyFont="1" applyFill="1" applyBorder="1" applyAlignment="1">
      <alignment horizontal="left" vertical="top"/>
    </xf>
    <xf numFmtId="0" fontId="1" fillId="6" borderId="9" xfId="0" applyFont="1" applyFill="1" applyBorder="1" applyAlignment="1">
      <alignment horizontal="left" vertical="top"/>
    </xf>
    <xf numFmtId="0" fontId="1" fillId="0" borderId="0" xfId="0" applyFont="1" applyAlignment="1">
      <alignment wrapText="1"/>
    </xf>
    <xf numFmtId="0" fontId="1" fillId="0" borderId="36" xfId="0" applyFont="1" applyBorder="1" applyAlignment="1">
      <alignment wrapText="1"/>
    </xf>
    <xf numFmtId="177" fontId="1" fillId="6" borderId="5" xfId="0" applyNumberFormat="1" applyFont="1" applyFill="1" applyBorder="1" applyAlignment="1">
      <alignment vertical="center" wrapText="1"/>
    </xf>
    <xf numFmtId="0" fontId="1" fillId="6" borderId="6" xfId="0" applyFont="1" applyFill="1" applyBorder="1" applyAlignment="1">
      <alignment wrapText="1"/>
    </xf>
    <xf numFmtId="177" fontId="1" fillId="5" borderId="5" xfId="0" applyNumberFormat="1" applyFont="1" applyFill="1" applyBorder="1" applyAlignment="1">
      <alignment vertical="center" wrapText="1"/>
    </xf>
    <xf numFmtId="0" fontId="1" fillId="5" borderId="6" xfId="0" applyFont="1" applyFill="1" applyBorder="1" applyAlignment="1">
      <alignment wrapText="1"/>
    </xf>
    <xf numFmtId="177" fontId="1" fillId="6" borderId="5" xfId="0" applyNumberFormat="1" applyFont="1" applyFill="1" applyBorder="1" applyAlignment="1">
      <alignment vertical="center" wrapText="1"/>
    </xf>
    <xf numFmtId="0" fontId="1" fillId="5" borderId="4" xfId="0" applyFont="1" applyFill="1" applyBorder="1"/>
    <xf numFmtId="0" fontId="1" fillId="5" borderId="5" xfId="0" applyFont="1" applyFill="1" applyBorder="1"/>
    <xf numFmtId="177" fontId="1" fillId="5" borderId="5" xfId="0" applyNumberFormat="1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177" fontId="1" fillId="6" borderId="5" xfId="0" applyNumberFormat="1" applyFont="1" applyFill="1" applyBorder="1"/>
    <xf numFmtId="0" fontId="1" fillId="6" borderId="7" xfId="0" applyFont="1" applyFill="1" applyBorder="1"/>
    <xf numFmtId="0" fontId="1" fillId="6" borderId="8" xfId="0" applyFont="1" applyFill="1" applyBorder="1"/>
    <xf numFmtId="177" fontId="1" fillId="6" borderId="8" xfId="0" applyNumberFormat="1" applyFont="1" applyFill="1" applyBorder="1"/>
    <xf numFmtId="0" fontId="1" fillId="6" borderId="9" xfId="0" applyFont="1" applyFill="1" applyBorder="1" applyAlignment="1">
      <alignment wrapText="1"/>
    </xf>
    <xf numFmtId="0" fontId="1" fillId="6" borderId="13" xfId="0" applyFont="1" applyFill="1" applyBorder="1" applyAlignment="1">
      <alignment horizontal="left" vertical="center" wrapText="1"/>
    </xf>
    <xf numFmtId="0" fontId="1" fillId="5" borderId="13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/>
    </xf>
    <xf numFmtId="0" fontId="1" fillId="6" borderId="16" xfId="0" applyFont="1" applyFill="1" applyBorder="1" applyAlignment="1">
      <alignment horizontal="left"/>
    </xf>
    <xf numFmtId="0" fontId="20" fillId="5" borderId="13" xfId="0" applyFont="1" applyFill="1" applyBorder="1" applyAlignment="1">
      <alignment horizontal="left"/>
    </xf>
    <xf numFmtId="0" fontId="20" fillId="6" borderId="13" xfId="0" applyFont="1" applyFill="1" applyBorder="1" applyAlignment="1">
      <alignment horizontal="left"/>
    </xf>
    <xf numFmtId="3" fontId="20" fillId="6" borderId="5" xfId="0" applyNumberFormat="1" applyFont="1" applyFill="1" applyBorder="1" applyAlignment="1">
      <alignment horizontal="left"/>
    </xf>
    <xf numFmtId="3" fontId="20" fillId="5" borderId="5" xfId="0" applyNumberFormat="1" applyFont="1" applyFill="1" applyBorder="1" applyAlignment="1">
      <alignment horizontal="left"/>
    </xf>
    <xf numFmtId="3" fontId="25" fillId="6" borderId="5" xfId="0" applyNumberFormat="1" applyFont="1" applyFill="1" applyBorder="1" applyAlignment="1">
      <alignment horizontal="left"/>
    </xf>
    <xf numFmtId="1" fontId="20" fillId="5" borderId="5" xfId="0" applyNumberFormat="1" applyFont="1" applyFill="1" applyBorder="1" applyAlignment="1">
      <alignment horizontal="left"/>
    </xf>
    <xf numFmtId="1" fontId="20" fillId="6" borderId="5" xfId="0" applyNumberFormat="1" applyFont="1" applyFill="1" applyBorder="1" applyAlignment="1">
      <alignment horizontal="left"/>
    </xf>
    <xf numFmtId="0" fontId="20" fillId="0" borderId="13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1" fillId="0" borderId="14" xfId="0" applyFont="1" applyBorder="1" applyAlignment="1">
      <alignment horizontal="left" vertical="center" wrapText="1"/>
    </xf>
    <xf numFmtId="0" fontId="25" fillId="6" borderId="13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center" vertical="center"/>
    </xf>
    <xf numFmtId="177" fontId="26" fillId="5" borderId="5" xfId="0" applyNumberFormat="1" applyFont="1" applyFill="1" applyBorder="1" applyAlignment="1">
      <alignment horizontal="left"/>
    </xf>
    <xf numFmtId="0" fontId="26" fillId="6" borderId="5" xfId="0" applyFont="1" applyFill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26" fillId="5" borderId="16" xfId="0" applyFont="1" applyFill="1" applyBorder="1" applyAlignment="1">
      <alignment horizontal="left"/>
    </xf>
    <xf numFmtId="0" fontId="6" fillId="0" borderId="0" xfId="0" applyFont="1"/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178" fontId="1" fillId="0" borderId="6" xfId="0" applyNumberFormat="1" applyFont="1" applyBorder="1"/>
    <xf numFmtId="0" fontId="1" fillId="0" borderId="8" xfId="0" applyFont="1" applyBorder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" fillId="6" borderId="59" xfId="0" applyFont="1" applyFill="1" applyBorder="1"/>
    <xf numFmtId="0" fontId="1" fillId="6" borderId="60" xfId="0" applyFont="1" applyFill="1" applyBorder="1" applyAlignment="1">
      <alignment horizontal="center"/>
    </xf>
    <xf numFmtId="0" fontId="1" fillId="6" borderId="61" xfId="0" applyFont="1" applyFill="1" applyBorder="1" applyAlignment="1">
      <alignment horizontal="center"/>
    </xf>
    <xf numFmtId="0" fontId="1" fillId="5" borderId="59" xfId="0" applyFont="1" applyFill="1" applyBorder="1" applyAlignment="1">
      <alignment horizontal="center"/>
    </xf>
    <xf numFmtId="0" fontId="27" fillId="5" borderId="60" xfId="0" applyFont="1" applyFill="1" applyBorder="1" applyAlignment="1">
      <alignment vertical="center" wrapText="1"/>
    </xf>
    <xf numFmtId="0" fontId="1" fillId="5" borderId="60" xfId="0" applyFont="1" applyFill="1" applyBorder="1" applyAlignment="1">
      <alignment horizontal="left"/>
    </xf>
    <xf numFmtId="0" fontId="1" fillId="5" borderId="60" xfId="0" applyFont="1" applyFill="1" applyBorder="1" applyAlignment="1">
      <alignment horizontal="left"/>
    </xf>
    <xf numFmtId="0" fontId="1" fillId="5" borderId="61" xfId="0" applyFont="1" applyFill="1" applyBorder="1" applyAlignment="1">
      <alignment horizontal="left"/>
    </xf>
    <xf numFmtId="0" fontId="1" fillId="8" borderId="59" xfId="0" applyFont="1" applyFill="1" applyBorder="1" applyAlignment="1">
      <alignment horizontal="center"/>
    </xf>
    <xf numFmtId="0" fontId="27" fillId="8" borderId="60" xfId="0" applyFont="1" applyFill="1" applyBorder="1" applyAlignment="1">
      <alignment vertical="center" wrapText="1"/>
    </xf>
    <xf numFmtId="0" fontId="1" fillId="8" borderId="60" xfId="0" applyFont="1" applyFill="1" applyBorder="1" applyAlignment="1">
      <alignment horizontal="left"/>
    </xf>
    <xf numFmtId="0" fontId="1" fillId="8" borderId="60" xfId="0" applyFont="1" applyFill="1" applyBorder="1" applyAlignment="1">
      <alignment horizontal="left"/>
    </xf>
    <xf numFmtId="0" fontId="1" fillId="8" borderId="61" xfId="0" applyFont="1" applyFill="1" applyBorder="1" applyAlignment="1">
      <alignment horizontal="left"/>
    </xf>
    <xf numFmtId="0" fontId="1" fillId="6" borderId="60" xfId="0" applyFont="1" applyFill="1" applyBorder="1" applyAlignment="1">
      <alignment horizontal="center" vertical="center" wrapText="1"/>
    </xf>
    <xf numFmtId="0" fontId="1" fillId="6" borderId="61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/>
    </xf>
    <xf numFmtId="0" fontId="1" fillId="2" borderId="63" xfId="0" applyFont="1" applyFill="1" applyBorder="1" applyAlignment="1">
      <alignment horizontal="center"/>
    </xf>
    <xf numFmtId="0" fontId="1" fillId="2" borderId="64" xfId="0" applyFont="1" applyFill="1" applyBorder="1" applyAlignment="1">
      <alignment horizontal="center"/>
    </xf>
    <xf numFmtId="0" fontId="1" fillId="5" borderId="65" xfId="0" applyFont="1" applyFill="1" applyBorder="1" applyAlignment="1">
      <alignment horizontal="center"/>
    </xf>
    <xf numFmtId="0" fontId="27" fillId="5" borderId="65" xfId="0" applyFont="1" applyFill="1" applyBorder="1"/>
    <xf numFmtId="0" fontId="1" fillId="5" borderId="65" xfId="0" applyFont="1" applyFill="1" applyBorder="1"/>
    <xf numFmtId="0" fontId="1" fillId="0" borderId="66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rgb="FFFCE4EC"/>
        </patternFill>
      </fill>
    </dxf>
    <dxf>
      <fill>
        <patternFill patternType="solid">
          <fgColor rgb="FFFFCDD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DD2"/>
        </patternFill>
      </fill>
    </dxf>
    <dxf>
      <font>
        <b val="1"/>
        <color rgb="FFFFFFFF"/>
      </font>
      <fill>
        <patternFill patternType="solid">
          <fgColor rgb="FFC00000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FD54F"/>
        </patternFill>
      </fill>
    </dxf>
    <dxf>
      <font>
        <color rgb="FFC00000"/>
      </font>
      <fill>
        <patternFill patternType="solid">
          <fgColor rgb="FFFCE4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6" Type="http://schemas.openxmlformats.org/officeDocument/2006/relationships/styles" Target="styles.xml"/><Relationship Id="rId45" Type="http://schemas.openxmlformats.org/officeDocument/2006/relationships/sharedStrings" Target="sharedStrings.xml"/><Relationship Id="rId44" Type="http://schemas.openxmlformats.org/officeDocument/2006/relationships/theme" Target="theme/theme1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Credits left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Students!$I$2</c:f>
              <c:strCache>
                <c:ptCount val="1"/>
                <c:pt idx="0">
                  <c:v>Left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Students!$B$3:$B$12</c:f>
              <c:strCache>
                <c:ptCount val="10"/>
                <c:pt idx="0">
                  <c:v>Josh D1</c:v>
                </c:pt>
                <c:pt idx="1">
                  <c:v>Josh D2</c:v>
                </c:pt>
                <c:pt idx="2">
                  <c:v>Charlotte</c:v>
                </c:pt>
                <c:pt idx="3">
                  <c:v>William</c:v>
                </c:pt>
                <c:pt idx="4">
                  <c:v>Daphne</c:v>
                </c:pt>
              </c:strCache>
            </c:strRef>
          </c:cat>
          <c:val>
            <c:numRef>
              <c:f>Students!$I$3:$I$12</c:f>
              <c:numCache>
                <c:formatCode>General</c:formatCode>
                <c:ptCount val="10"/>
                <c:pt idx="0">
                  <c:v>14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d277b2-ed7c-4204-ac54-a34045ff9d4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by channel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Channel_Pivot!$H$2</c:f>
              <c:strCache>
                <c:ptCount val="1"/>
                <c:pt idx="0">
                  <c:v>Revenue ¥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Channel_Pivot!$A$3:$A$10</c:f>
              <c:strCache>
                <c:ptCount val="8"/>
                <c:pt idx="0">
                  <c:v>CCA showcase</c:v>
                </c:pt>
                <c:pt idx="1">
                  <c:v>School event</c:v>
                </c:pt>
                <c:pt idx="2">
                  <c:v>Referral</c:v>
                </c:pt>
                <c:pt idx="3">
                  <c:v>Walk-in</c:v>
                </c:pt>
                <c:pt idx="4">
                  <c:v>Social</c:v>
                </c:pt>
                <c:pt idx="5">
                  <c:v>EKA</c:v>
                </c:pt>
                <c:pt idx="6">
                  <c:v>Partner</c:v>
                </c:pt>
                <c:pt idx="7">
                  <c:v>Birthday WS</c:v>
                </c:pt>
              </c:strCache>
            </c:strRef>
          </c:cat>
          <c:val>
            <c:numRef>
              <c:f>Channel_Pivot!$H$3:$H$10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8000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Channel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¥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9aabe9-40c5-444d-9b35-0ae49c02b51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Leads by channel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Channel_Pivot!$B$2</c:f>
              <c:strCache>
                <c:ptCount val="1"/>
                <c:pt idx="0">
                  <c:v>Leads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Pt>
            <c:idx val="5"/>
            <c:bubble3D val="0"/>
            <c:spPr>
              <a:ln>
                <a:noFill/>
                <a:prstDash val="solid"/>
              </a:ln>
            </c:spPr>
          </c:dPt>
          <c:dPt>
            <c:idx val="6"/>
            <c:bubble3D val="0"/>
            <c:spPr>
              <a:ln>
                <a:noFill/>
                <a:prstDash val="solid"/>
              </a:ln>
            </c:spPr>
          </c:dPt>
          <c:dPt>
            <c:idx val="7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Channel_Pivot!$A$3:$A$10</c:f>
              <c:strCache>
                <c:ptCount val="8"/>
                <c:pt idx="0">
                  <c:v>CCA showcase</c:v>
                </c:pt>
                <c:pt idx="1">
                  <c:v>School event</c:v>
                </c:pt>
                <c:pt idx="2">
                  <c:v>Referral</c:v>
                </c:pt>
                <c:pt idx="3">
                  <c:v>Walk-in</c:v>
                </c:pt>
                <c:pt idx="4">
                  <c:v>Social</c:v>
                </c:pt>
                <c:pt idx="5">
                  <c:v>EKA</c:v>
                </c:pt>
                <c:pt idx="6">
                  <c:v>Partner</c:v>
                </c:pt>
                <c:pt idx="7">
                  <c:v>Birthday WS</c:v>
                </c:pt>
              </c:strCache>
            </c:strRef>
          </c:cat>
          <c:val>
            <c:numRef>
              <c:f>Channel_Pivot!$B$3:$B$10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0e9c6c5-68b4-4fd9-b0fd-c8504367b9a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revenue (paid)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Channel_Pivot!$B$12</c:f>
              <c:strCache>
                <c:ptCount val="1"/>
                <c:pt idx="0">
                  <c:v>Revenue (paid)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Channel_Pivot!$A$13:$A$24</c:f>
              <c:strCache>
                <c:ptCount val="12"/>
                <c:pt idx="0">
                  <c:v>2026-10</c:v>
                </c:pt>
                <c:pt idx="1">
                  <c:v>2026-11</c:v>
                </c:pt>
                <c:pt idx="2">
                  <c:v>2026-12</c:v>
                </c:pt>
                <c:pt idx="3">
                  <c:v>2027-01</c:v>
                </c:pt>
                <c:pt idx="4">
                  <c:v>2027-02</c:v>
                </c:pt>
                <c:pt idx="5">
                  <c:v>2027-03</c:v>
                </c:pt>
                <c:pt idx="6">
                  <c:v>2027-04</c:v>
                </c:pt>
                <c:pt idx="7">
                  <c:v>2027-05</c:v>
                </c:pt>
                <c:pt idx="8">
                  <c:v>2027-06</c:v>
                </c:pt>
                <c:pt idx="9">
                  <c:v>2027-07</c:v>
                </c:pt>
                <c:pt idx="10">
                  <c:v>2027-08</c:v>
                </c:pt>
                <c:pt idx="11">
                  <c:v>2027-09</c:v>
                </c:pt>
              </c:strCache>
            </c:strRef>
          </c:cat>
          <c:val>
            <c:numRef>
              <c:f>Channel_Pivot!$B$13:$B$24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b19e82-9a39-4bd3-8486-b4bf28b3cbd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838200</xdr:colOff>
      <xdr:row>0</xdr:row>
      <xdr:rowOff>100330</xdr:rowOff>
    </xdr:from>
    <xdr:to>
      <xdr:col>3</xdr:col>
      <xdr:colOff>1165860</xdr:colOff>
      <xdr:row>1</xdr:row>
      <xdr:rowOff>37465</xdr:rowOff>
    </xdr:to>
    <xdr:pic>
      <xdr:nvPicPr>
        <xdr:cNvPr id="2" name="图片 1" descr="浅色Logo"/>
        <xdr:cNvPicPr>
          <a:picLocks noChangeAspect="1"/>
        </xdr:cNvPicPr>
      </xdr:nvPicPr>
      <xdr:blipFill>
        <a:blip r:embed="rId1"/>
        <a:srcRect r="1111" b="50101"/>
        <a:stretch>
          <a:fillRect/>
        </a:stretch>
      </xdr:blipFill>
      <xdr:spPr>
        <a:xfrm>
          <a:off x="3307080" y="100330"/>
          <a:ext cx="1356360" cy="2673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1097280</xdr:colOff>
      <xdr:row>0</xdr:row>
      <xdr:rowOff>121920</xdr:rowOff>
    </xdr:from>
    <xdr:to>
      <xdr:col>5</xdr:col>
      <xdr:colOff>552450</xdr:colOff>
      <xdr:row>1</xdr:row>
      <xdr:rowOff>75565</xdr:rowOff>
    </xdr:to>
    <xdr:pic>
      <xdr:nvPicPr>
        <xdr:cNvPr id="5" name="图片 4" descr="浅色Logo"/>
        <xdr:cNvPicPr>
          <a:picLocks noChangeAspect="1"/>
        </xdr:cNvPicPr>
      </xdr:nvPicPr>
      <xdr:blipFill>
        <a:blip r:embed="rId1"/>
        <a:srcRect t="50759" r="-518"/>
        <a:stretch>
          <a:fillRect/>
        </a:stretch>
      </xdr:blipFill>
      <xdr:spPr>
        <a:xfrm>
          <a:off x="4594860" y="121920"/>
          <a:ext cx="1276350" cy="2838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243840</xdr:colOff>
      <xdr:row>7</xdr:row>
      <xdr:rowOff>60960</xdr:rowOff>
    </xdr:to>
    <xdr:pic>
      <xdr:nvPicPr>
        <xdr:cNvPr id="8" name="图片 7" descr="image.png"/>
        <xdr:cNvPicPr>
          <a:picLocks noChangeAspect="1"/>
        </xdr:cNvPicPr>
      </xdr:nvPicPr>
      <xdr:blipFill>
        <a:stretch>
          <a:fillRect/>
        </a:stretch>
      </xdr:blipFill>
      <xdr:spPr>
        <a:xfrm>
          <a:off x="7170420" y="124460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7620</xdr:colOff>
      <xdr:row>1</xdr:row>
      <xdr:rowOff>96520</xdr:rowOff>
    </xdr:from>
    <xdr:to>
      <xdr:col>5</xdr:col>
      <xdr:colOff>609600</xdr:colOff>
      <xdr:row>1</xdr:row>
      <xdr:rowOff>173355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flipV="1">
          <a:off x="7620" y="426720"/>
          <a:ext cx="5920740" cy="76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50</xdr:row>
      <xdr:rowOff>116840</xdr:rowOff>
    </xdr:from>
    <xdr:to>
      <xdr:col>5</xdr:col>
      <xdr:colOff>609600</xdr:colOff>
      <xdr:row>51</xdr:row>
      <xdr:rowOff>8890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flipV="1">
          <a:off x="7620" y="9408160"/>
          <a:ext cx="5920740" cy="76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0</xdr:colOff>
      <xdr:row>1</xdr:row>
      <xdr:rowOff>0</xdr:rowOff>
    </xdr:from>
    <xdr:ext cx="5400000" cy="2700000"/>
    <xdr:graphicFrame>
      <xdr:nvGraphicFramePr>
        <xdr:cNvPr id="2" name="Chart 1"/>
        <xdr:cNvGraphicFramePr/>
      </xdr:nvGraphicFramePr>
      <xdr:xfrm>
        <a:off x="9052560" y="3810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1</xdr:row>
      <xdr:rowOff>0</xdr:rowOff>
    </xdr:from>
    <xdr:ext cx="5400000" cy="2700000"/>
    <xdr:graphicFrame>
      <xdr:nvGraphicFramePr>
        <xdr:cNvPr id="2" name="Chart 1"/>
        <xdr:cNvGraphicFramePr/>
      </xdr:nvGraphicFramePr>
      <xdr:xfrm>
        <a:off x="6172200" y="38100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17</xdr:row>
      <xdr:rowOff>0</xdr:rowOff>
    </xdr:from>
    <xdr:ext cx="5400000" cy="2700000"/>
    <xdr:graphicFrame>
      <xdr:nvGraphicFramePr>
        <xdr:cNvPr id="3" name="Chart 2"/>
        <xdr:cNvGraphicFramePr/>
      </xdr:nvGraphicFramePr>
      <xdr:xfrm>
        <a:off x="6172200" y="3649980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33</xdr:row>
      <xdr:rowOff>0</xdr:rowOff>
    </xdr:from>
    <xdr:ext cx="5400000" cy="2700000"/>
    <xdr:graphicFrame>
      <xdr:nvGraphicFramePr>
        <xdr:cNvPr id="4" name="Chart 3"/>
        <xdr:cNvGraphicFramePr/>
      </xdr:nvGraphicFramePr>
      <xdr:xfrm>
        <a:off x="6172200" y="6463665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144780</xdr:colOff>
      <xdr:row>1</xdr:row>
      <xdr:rowOff>15240</xdr:rowOff>
    </xdr:from>
    <xdr:ext cx="6118860" cy="8336280"/>
    <xdr:pic>
      <xdr:nvPicPr>
        <xdr:cNvPr id="2" name="Image 1" descr="Picture"/>
        <xdr:cNvPicPr/>
      </xdr:nvPicPr>
      <xdr:blipFill>
        <a:blip r:embed="rId1" cstate="print"/>
        <a:srcRect l="9494" t="7888" r="9977" b="11463"/>
        <a:stretch>
          <a:fillRect/>
        </a:stretch>
      </xdr:blipFill>
      <xdr:spPr>
        <a:xfrm>
          <a:off x="144780" y="213360"/>
          <a:ext cx="6118860" cy="833628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1</xdr:row>
      <xdr:rowOff>159385</xdr:rowOff>
    </xdr:from>
    <xdr:ext cx="6675755" cy="10293350"/>
    <xdr:pic>
      <xdr:nvPicPr>
        <xdr:cNvPr id="2" name="Image 1" descr="Picture"/>
        <xdr:cNvPicPr/>
      </xdr:nvPicPr>
      <xdr:blipFill>
        <a:blip r:embed="rId1" cstate="print"/>
        <a:srcRect t="3681"/>
        <a:stretch>
          <a:fillRect/>
        </a:stretch>
      </xdr:blipFill>
      <xdr:spPr>
        <a:xfrm>
          <a:off x="635" y="357505"/>
          <a:ext cx="6675755" cy="102933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60960</xdr:colOff>
      <xdr:row>1</xdr:row>
      <xdr:rowOff>91440</xdr:rowOff>
    </xdr:from>
    <xdr:ext cx="6449060" cy="1013841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60960" y="289560"/>
          <a:ext cx="6449060" cy="1013841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0</xdr:rowOff>
    </xdr:from>
    <xdr:ext cx="4953000" cy="672655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198120"/>
          <a:ext cx="4953000" cy="6726555"/>
        </a:xfrm>
        <a:prstGeom prst="rect">
          <a:avLst/>
        </a:prstGeom>
        <a:ln>
          <a:solidFill>
            <a:schemeClr val="accent1"/>
          </a:solidFill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22860</xdr:colOff>
      <xdr:row>1</xdr:row>
      <xdr:rowOff>83820</xdr:rowOff>
    </xdr:from>
    <xdr:ext cx="6723380" cy="1010031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2860" y="281940"/>
          <a:ext cx="6723380" cy="1010031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22860</xdr:colOff>
      <xdr:row>1</xdr:row>
      <xdr:rowOff>38100</xdr:rowOff>
    </xdr:from>
    <xdr:ext cx="6616700" cy="1019175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2860" y="236220"/>
          <a:ext cx="6616700" cy="101917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38100</xdr:colOff>
      <xdr:row>1</xdr:row>
      <xdr:rowOff>90805</xdr:rowOff>
    </xdr:from>
    <xdr:ext cx="6677025" cy="1014666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38100" y="288925"/>
          <a:ext cx="6677025" cy="1014666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0</xdr:rowOff>
    </xdr:from>
    <xdr:ext cx="7239000" cy="46386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198120"/>
          <a:ext cx="7239000" cy="46386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3.xml"/><Relationship Id="rId1" Type="http://schemas.openxmlformats.org/officeDocument/2006/relationships/comments" Target="../comments1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2A4A"/>
  </sheetPr>
  <dimension ref="A1:I52"/>
  <sheetViews>
    <sheetView showGridLines="0" tabSelected="1" workbookViewId="0">
      <selection activeCell="N31" sqref="N31"/>
    </sheetView>
  </sheetViews>
  <sheetFormatPr defaultColWidth="9" defaultRowHeight="14.4"/>
  <cols>
    <col min="1" max="1" width="10" style="371" customWidth="1"/>
    <col min="2" max="2" width="26" style="371" customWidth="1"/>
    <col min="3" max="3" width="15" style="371" customWidth="1"/>
    <col min="4" max="4" width="17.5555555555556" style="371" customWidth="1"/>
    <col min="5" max="6" width="9" style="371" customWidth="1"/>
    <col min="7" max="16379" width="9" style="111" customWidth="1"/>
    <col min="16380" max="16384" width="9" style="111"/>
  </cols>
  <sheetData>
    <row r="1" ht="26" customHeight="1" spans="1:9">
      <c r="A1" s="372"/>
      <c r="B1" s="373"/>
      <c r="C1" s="373"/>
      <c r="D1" s="373"/>
      <c r="E1" s="373"/>
      <c r="F1" s="374"/>
    </row>
    <row r="2" spans="1:9">
      <c r="A2" s="375"/>
      <c r="B2" s="376"/>
      <c r="C2" s="376"/>
      <c r="D2" s="376"/>
      <c r="E2" s="376"/>
      <c r="F2" s="377"/>
    </row>
    <row r="3" spans="1:9">
      <c r="A3" s="378" t="s">
        <v>0</v>
      </c>
      <c r="B3" s="379"/>
      <c r="C3" s="379"/>
      <c r="D3" s="379"/>
      <c r="E3" s="379"/>
      <c r="F3" s="380"/>
    </row>
    <row r="4" spans="1:9">
      <c r="A4" s="381">
        <v>1</v>
      </c>
      <c r="B4" s="382" t="str">
        <f>HYPERLINK("#'Dashboard'!A1","Dashboard")</f>
        <v>Dashboard</v>
      </c>
      <c r="C4" s="383" t="s">
        <v>1</v>
      </c>
      <c r="D4" s="384"/>
      <c r="E4" s="384"/>
      <c r="F4" s="385"/>
    </row>
    <row r="5" spans="1:9">
      <c r="A5" s="386">
        <v>2</v>
      </c>
      <c r="B5" s="387" t="str">
        <f>HYPERLINK("#'Channel_Pivot'!A1","Channel_Pivot")</f>
        <v>Channel_Pivot</v>
      </c>
      <c r="C5" s="388" t="s">
        <v>2</v>
      </c>
      <c r="D5" s="389"/>
      <c r="E5" s="389"/>
      <c r="F5" s="390"/>
    </row>
    <row r="6" spans="1:9">
      <c r="A6" s="381">
        <v>3</v>
      </c>
      <c r="B6" s="382" t="str">
        <f>HYPERLINK("#'First30'!A1","First30")</f>
        <v>First30</v>
      </c>
      <c r="C6" s="383" t="s">
        <v>3</v>
      </c>
      <c r="D6" s="384"/>
      <c r="E6" s="384"/>
      <c r="F6" s="385"/>
    </row>
    <row r="7" spans="1:9">
      <c r="A7" s="386">
        <v>4</v>
      </c>
      <c r="B7" s="387" t="str">
        <f>HYPERLINK("#'Gantt'!A1","Gantt")</f>
        <v>Gantt</v>
      </c>
      <c r="C7" s="388" t="s">
        <v>4</v>
      </c>
      <c r="D7" s="389"/>
      <c r="E7" s="389"/>
      <c r="F7" s="390"/>
      <c r="I7"/>
    </row>
    <row r="8" spans="1:9">
      <c r="A8" s="381">
        <v>5</v>
      </c>
      <c r="B8" s="382" t="str">
        <f>HYPERLINK("#'Sales2027'!A1","Sales2027")</f>
        <v>Sales2027</v>
      </c>
      <c r="C8" s="383" t="s">
        <v>5</v>
      </c>
      <c r="D8" s="384"/>
      <c r="E8" s="384"/>
      <c r="F8" s="385"/>
    </row>
    <row r="9" spans="1:9">
      <c r="A9" s="386">
        <v>6</v>
      </c>
      <c r="B9" s="387" t="str">
        <f>HYPERLINK("#'PnL2027'!A1","PnL2027")</f>
        <v>PnL2027</v>
      </c>
      <c r="C9" s="388" t="s">
        <v>6</v>
      </c>
      <c r="D9" s="389"/>
      <c r="E9" s="389"/>
      <c r="F9" s="390"/>
    </row>
    <row r="10" spans="1:9">
      <c r="A10" s="378" t="s">
        <v>7</v>
      </c>
      <c r="B10" s="391"/>
      <c r="C10" s="391"/>
      <c r="D10" s="391"/>
      <c r="E10" s="391"/>
      <c r="F10" s="392"/>
    </row>
    <row r="11" spans="1:9">
      <c r="A11" s="381">
        <v>7</v>
      </c>
      <c r="B11" s="382" t="str">
        <f>HYPERLINK("#'Leads'!A1","Leads")</f>
        <v>Leads</v>
      </c>
      <c r="C11" s="383" t="s">
        <v>8</v>
      </c>
      <c r="D11" s="384"/>
      <c r="E11" s="384"/>
      <c r="F11" s="385"/>
    </row>
    <row r="12" spans="1:9">
      <c r="A12" s="386">
        <v>8</v>
      </c>
      <c r="B12" s="387" t="str">
        <f>HYPERLINK("#'Trials'!A1","Trials")</f>
        <v>Trials</v>
      </c>
      <c r="C12" s="388" t="s">
        <v>9</v>
      </c>
      <c r="D12" s="389"/>
      <c r="E12" s="389"/>
      <c r="F12" s="390"/>
    </row>
    <row r="13" spans="1:9">
      <c r="A13" s="381">
        <v>9</v>
      </c>
      <c r="B13" s="382" t="str">
        <f>HYPERLINK("#'Invoices'!A1","Invoices")</f>
        <v>Invoices</v>
      </c>
      <c r="C13" s="383" t="s">
        <v>10</v>
      </c>
      <c r="D13" s="384"/>
      <c r="E13" s="384"/>
      <c r="F13" s="385"/>
    </row>
    <row r="14" spans="1:9">
      <c r="A14" s="386">
        <v>10</v>
      </c>
      <c r="B14" s="387" t="str">
        <f>HYPERLINK("#'Students'!A1","Students")</f>
        <v>Students</v>
      </c>
      <c r="C14" s="388" t="s">
        <v>11</v>
      </c>
      <c r="D14" s="389"/>
      <c r="E14" s="389"/>
      <c r="F14" s="390"/>
    </row>
    <row r="15" spans="1:9">
      <c r="A15" s="381">
        <v>11</v>
      </c>
      <c r="B15" s="382" t="str">
        <f>HYPERLINK("#'Makeup_Churn'!A1","Makeup_Churn")</f>
        <v>Makeup_Churn</v>
      </c>
      <c r="C15" s="383" t="s">
        <v>12</v>
      </c>
      <c r="D15" s="384"/>
      <c r="E15" s="384"/>
      <c r="F15" s="385"/>
    </row>
    <row r="16" spans="1:9">
      <c r="A16" s="386">
        <v>12</v>
      </c>
      <c r="B16" s="387" t="str">
        <f>HYPERLINK("#'Expenses'!A1","Expenses")</f>
        <v>Expenses</v>
      </c>
      <c r="C16" s="388" t="s">
        <v>13</v>
      </c>
      <c r="D16" s="389"/>
      <c r="E16" s="389"/>
      <c r="F16" s="390"/>
    </row>
    <row r="17" spans="1:6">
      <c r="A17" s="381">
        <v>13</v>
      </c>
      <c r="B17" s="382" t="str">
        <f>HYPERLINK("#'WinterCamp'!A1","WinterCamp")</f>
        <v>WinterCamp</v>
      </c>
      <c r="C17" s="383" t="s">
        <v>14</v>
      </c>
      <c r="D17" s="384"/>
      <c r="E17" s="384"/>
      <c r="F17" s="385"/>
    </row>
    <row r="18" spans="1:6">
      <c r="A18" s="386">
        <v>14</v>
      </c>
      <c r="B18" s="387" t="str">
        <f>HYPERLINK("#'Camp_Plan'!A1","Camp_Plan")</f>
        <v>Camp_Plan</v>
      </c>
      <c r="C18" s="388" t="s">
        <v>15</v>
      </c>
      <c r="D18" s="389"/>
      <c r="E18" s="389"/>
      <c r="F18" s="390"/>
    </row>
    <row r="19" spans="1:6">
      <c r="A19" s="378" t="s">
        <v>16</v>
      </c>
      <c r="B19" s="379"/>
      <c r="C19" s="379"/>
      <c r="D19" s="379"/>
      <c r="E19" s="379"/>
      <c r="F19" s="380"/>
    </row>
    <row r="20" spans="1:6">
      <c r="A20" s="381">
        <v>15</v>
      </c>
      <c r="B20" s="382" t="str">
        <f>HYPERLINK("#'Scripts'!A1","Scripts")</f>
        <v>Scripts</v>
      </c>
      <c r="C20" s="383"/>
      <c r="D20" s="384"/>
      <c r="E20" s="384"/>
      <c r="F20" s="385"/>
    </row>
    <row r="21" spans="1:6">
      <c r="A21" s="386">
        <v>16</v>
      </c>
      <c r="B21" s="387" t="str">
        <f>HYPERLINK("#'Send_Kit'!A1","Send_Kit")</f>
        <v>Send_Kit</v>
      </c>
      <c r="C21" s="388" t="s">
        <v>17</v>
      </c>
      <c r="D21" s="389"/>
      <c r="E21" s="389"/>
      <c r="F21" s="390"/>
    </row>
    <row r="22" spans="1:6">
      <c r="A22" s="381">
        <v>17</v>
      </c>
      <c r="B22" s="382" t="str">
        <f>HYPERLINK("#'SOP'!A1","SOP")</f>
        <v>SOP</v>
      </c>
      <c r="C22" s="383" t="s">
        <v>18</v>
      </c>
      <c r="D22" s="384"/>
      <c r="E22" s="384"/>
      <c r="F22" s="385"/>
    </row>
    <row r="23" spans="1:6">
      <c r="A23" s="378" t="s">
        <v>19</v>
      </c>
      <c r="B23" s="379"/>
      <c r="C23" s="379"/>
      <c r="D23" s="379"/>
      <c r="E23" s="379"/>
      <c r="F23" s="380"/>
    </row>
    <row r="24" spans="1:6">
      <c r="A24" s="381">
        <v>18</v>
      </c>
      <c r="B24" s="382" t="str">
        <f>HYPERLINK("#'Programs'!A1","Programs")</f>
        <v>Programs</v>
      </c>
      <c r="C24" s="383" t="s">
        <v>20</v>
      </c>
      <c r="D24" s="384"/>
      <c r="E24" s="384"/>
      <c r="F24" s="385"/>
    </row>
    <row r="25" spans="1:6">
      <c r="A25" s="386">
        <v>19</v>
      </c>
      <c r="B25" s="387" t="str">
        <f>HYPERLINK("#'Exhibitions'!A1","Exhibitions")</f>
        <v>Exhibitions</v>
      </c>
      <c r="C25" s="388" t="s">
        <v>21</v>
      </c>
      <c r="D25" s="389"/>
      <c r="E25" s="389"/>
      <c r="F25" s="390"/>
    </row>
    <row r="26" spans="1:6">
      <c r="A26" s="381">
        <v>20</v>
      </c>
      <c r="B26" s="382" t="str">
        <f>HYPERLINK("#'Certificates'!A1","Certificates")</f>
        <v>Certificates</v>
      </c>
      <c r="C26" s="383" t="s">
        <v>22</v>
      </c>
      <c r="D26" s="384"/>
      <c r="E26" s="384"/>
      <c r="F26" s="385"/>
    </row>
    <row r="27" spans="1:6">
      <c r="A27" s="386">
        <v>21</v>
      </c>
      <c r="B27" s="387" t="str">
        <f>HYPERLINK("#'Certificate'!A1","Certificate")</f>
        <v>Certificate</v>
      </c>
      <c r="C27" s="388" t="s">
        <v>23</v>
      </c>
      <c r="D27" s="389"/>
      <c r="E27" s="389"/>
      <c r="F27" s="390"/>
    </row>
    <row r="28" spans="1:6">
      <c r="A28" s="381">
        <v>22</v>
      </c>
      <c r="B28" s="382" t="str">
        <f>HYPERLINK("#'Calendar'!A1","Calendar")</f>
        <v>Calendar</v>
      </c>
      <c r="C28" s="383" t="s">
        <v>24</v>
      </c>
      <c r="D28" s="384"/>
      <c r="E28" s="384"/>
      <c r="F28" s="385"/>
    </row>
    <row r="29" spans="1:6">
      <c r="A29" s="386">
        <v>23</v>
      </c>
      <c r="B29" s="387" t="str">
        <f>HYPERLINK("#'Showcase'!A1","Showcase")</f>
        <v>Showcase</v>
      </c>
      <c r="C29" s="388" t="s">
        <v>25</v>
      </c>
      <c r="D29" s="389"/>
      <c r="E29" s="389"/>
      <c r="F29" s="390"/>
    </row>
    <row r="30" spans="1:6">
      <c r="A30" s="381">
        <v>24</v>
      </c>
      <c r="B30" s="382" t="str">
        <f>HYPERLINK("#'BirthdayWS'!A1","BirthdayWS")</f>
        <v>BirthdayWS</v>
      </c>
      <c r="C30" s="383" t="s">
        <v>26</v>
      </c>
      <c r="D30" s="384"/>
      <c r="E30" s="384"/>
      <c r="F30" s="385"/>
    </row>
    <row r="31" spans="1:6">
      <c r="A31" s="386">
        <v>25</v>
      </c>
      <c r="B31" s="387" t="str">
        <f>HYPERLINK("#'HalloweenPlan'!A1","HalloweenPlan")</f>
        <v>HalloweenPlan</v>
      </c>
      <c r="C31" s="388" t="s">
        <v>27</v>
      </c>
      <c r="D31" s="389"/>
      <c r="E31" s="389"/>
      <c r="F31" s="390"/>
    </row>
    <row r="32" spans="1:6">
      <c r="A32" s="378" t="s">
        <v>28</v>
      </c>
      <c r="B32" s="379"/>
      <c r="C32" s="379"/>
      <c r="D32" s="379"/>
      <c r="E32" s="379"/>
      <c r="F32" s="380"/>
    </row>
    <row r="33" spans="1:6">
      <c r="A33" s="381">
        <v>26</v>
      </c>
      <c r="B33" s="382" t="str">
        <f>HYPERLINK("#'Assets'!A1","Assets")</f>
        <v>Assets</v>
      </c>
      <c r="C33" s="383" t="s">
        <v>29</v>
      </c>
      <c r="D33" s="384"/>
      <c r="E33" s="384"/>
      <c r="F33" s="385"/>
    </row>
    <row r="34" spans="1:6">
      <c r="A34" s="386">
        <v>27</v>
      </c>
      <c r="B34" s="387" t="str">
        <f>HYPERLINK("#'PDF_List'!A1","PDF_List")</f>
        <v>PDF_List</v>
      </c>
      <c r="C34" s="388" t="s">
        <v>30</v>
      </c>
      <c r="D34" s="389"/>
      <c r="E34" s="389"/>
      <c r="F34" s="390"/>
    </row>
    <row r="35" spans="1:6">
      <c r="A35" s="381">
        <v>28</v>
      </c>
      <c r="B35" s="382" t="str">
        <f>HYPERLINK("#'Flyer'!A1","Flyer")</f>
        <v>Flyer</v>
      </c>
      <c r="C35" s="383" t="s">
        <v>31</v>
      </c>
      <c r="D35" s="384"/>
      <c r="E35" s="384"/>
      <c r="F35" s="385"/>
    </row>
    <row r="36" spans="1:6">
      <c r="A36" s="386">
        <v>29</v>
      </c>
      <c r="B36" s="387" t="str">
        <f>HYPERLINK("#'Halloween'!A1","Halloween")</f>
        <v>Halloween</v>
      </c>
      <c r="C36" s="388" t="s">
        <v>32</v>
      </c>
      <c r="D36" s="389"/>
      <c r="E36" s="389"/>
      <c r="F36" s="390"/>
    </row>
    <row r="37" spans="1:6">
      <c r="A37" s="381">
        <v>30</v>
      </c>
      <c r="B37" s="382" t="str">
        <f>HYPERLINK("#'ForFun_EN'!A1","ForFun_EN")</f>
        <v>ForFun_EN</v>
      </c>
      <c r="C37" s="383" t="s">
        <v>33</v>
      </c>
      <c r="D37" s="384"/>
      <c r="E37" s="384"/>
      <c r="F37" s="385"/>
    </row>
    <row r="38" spans="1:6">
      <c r="A38" s="386">
        <v>31</v>
      </c>
      <c r="B38" s="387" t="str">
        <f>HYPERLINK("#'Events'!A1","Events")</f>
        <v>Events</v>
      </c>
      <c r="C38" s="388" t="s">
        <v>34</v>
      </c>
      <c r="D38" s="389"/>
      <c r="E38" s="389"/>
      <c r="F38" s="390"/>
    </row>
    <row r="39" spans="1:6">
      <c r="A39" s="381">
        <v>32</v>
      </c>
      <c r="B39" s="382" t="str">
        <f>HYPERLINK("#'Brand'!A1","Brand")</f>
        <v>Brand</v>
      </c>
      <c r="C39" s="383" t="s">
        <v>35</v>
      </c>
      <c r="D39" s="384"/>
      <c r="E39" s="384"/>
      <c r="F39" s="385"/>
    </row>
    <row r="40" spans="1:6">
      <c r="A40" s="386">
        <v>33</v>
      </c>
      <c r="B40" s="387" t="str">
        <f>HYPERLINK("#'Invoice_Poster'!A1","Invoice_Poster")</f>
        <v>Invoice_Poster</v>
      </c>
      <c r="C40" s="388" t="s">
        <v>36</v>
      </c>
      <c r="D40" s="389"/>
      <c r="E40" s="389"/>
      <c r="F40" s="390"/>
    </row>
    <row r="41" spans="1:6">
      <c r="A41" s="381">
        <v>34</v>
      </c>
      <c r="B41" s="382" t="str">
        <f>HYPERLINK("#'Consent_Poster'!A1","Consent_Poster")</f>
        <v>Consent_Poster</v>
      </c>
      <c r="C41" s="383" t="s">
        <v>37</v>
      </c>
      <c r="D41" s="384"/>
      <c r="E41" s="384"/>
      <c r="F41" s="385"/>
    </row>
    <row r="42" spans="1:6">
      <c r="A42" s="386">
        <v>35</v>
      </c>
      <c r="B42" s="387" t="str">
        <f>HYPERLINK("#'Survey_Poster'!A1","Survey_Poster")</f>
        <v>Survey_Poster</v>
      </c>
      <c r="C42" s="388" t="s">
        <v>38</v>
      </c>
      <c r="D42" s="389"/>
      <c r="E42" s="389"/>
      <c r="F42" s="390"/>
    </row>
    <row r="43" spans="1:6">
      <c r="A43" s="378" t="s">
        <v>39</v>
      </c>
      <c r="B43" s="379"/>
      <c r="C43" s="379"/>
      <c r="D43" s="379"/>
      <c r="E43" s="379"/>
      <c r="F43" s="380"/>
    </row>
    <row r="44" spans="1:6">
      <c r="A44" s="381">
        <v>36</v>
      </c>
      <c r="B44" s="382" t="str">
        <f>HYPERLINK("#'Access'!A1","Access")</f>
        <v>Access</v>
      </c>
      <c r="C44" s="383" t="s">
        <v>40</v>
      </c>
      <c r="D44" s="384"/>
      <c r="E44" s="384"/>
      <c r="F44" s="385"/>
    </row>
    <row r="45" spans="1:6">
      <c r="A45" s="386">
        <v>37</v>
      </c>
      <c r="B45" s="387" t="str">
        <f>HYPERLINK("#'Consents'!A1","Consents")</f>
        <v>Consents</v>
      </c>
      <c r="C45" s="388" t="s">
        <v>41</v>
      </c>
      <c r="D45" s="389"/>
      <c r="E45" s="389"/>
      <c r="F45" s="390"/>
    </row>
    <row r="46" spans="1:6">
      <c r="A46" s="381">
        <v>38</v>
      </c>
      <c r="B46" s="382" t="str">
        <f>HYPERLINK("#'Approvals'!A1","Approvals")</f>
        <v>Approvals</v>
      </c>
      <c r="C46" s="383" t="s">
        <v>42</v>
      </c>
      <c r="D46" s="384"/>
      <c r="E46" s="384"/>
      <c r="F46" s="385"/>
    </row>
    <row r="47" spans="1:6">
      <c r="A47" s="386">
        <v>39</v>
      </c>
      <c r="B47" s="387" t="str">
        <f>HYPERLINK("#'Offboarding'!A1","Offboarding")</f>
        <v>Offboarding</v>
      </c>
      <c r="C47" s="388" t="s">
        <v>43</v>
      </c>
      <c r="D47" s="389"/>
      <c r="E47" s="389"/>
      <c r="F47" s="390"/>
    </row>
    <row r="48" spans="1:6">
      <c r="A48" s="381">
        <v>40</v>
      </c>
      <c r="B48" s="382" t="str">
        <f>HYPERLINK("#'AntiFraud'!A1","AntiFraud")</f>
        <v>AntiFraud</v>
      </c>
      <c r="C48" s="383" t="s">
        <v>44</v>
      </c>
      <c r="D48" s="384"/>
      <c r="E48" s="384"/>
      <c r="F48" s="385"/>
    </row>
    <row r="49" spans="1:6">
      <c r="A49" s="386">
        <v>41</v>
      </c>
      <c r="B49" s="387" t="str">
        <f>HYPERLINK("#'Tasklist'!A1","Tasklist")</f>
        <v>Tasklist</v>
      </c>
      <c r="C49" s="388" t="s">
        <v>45</v>
      </c>
      <c r="D49" s="389"/>
      <c r="E49" s="389"/>
      <c r="F49" s="390"/>
    </row>
    <row r="50" spans="1:6">
      <c r="A50" s="381">
        <v>42</v>
      </c>
      <c r="B50" s="382" t="str">
        <f>HYPERLINK("#'Compliance'!A1","Compliance")</f>
        <v>Compliance</v>
      </c>
      <c r="C50" s="383" t="s">
        <v>46</v>
      </c>
      <c r="D50" s="384"/>
      <c r="E50" s="384"/>
      <c r="F50" s="385"/>
    </row>
    <row r="51" ht="14.55" spans="1:6">
      <c r="A51" s="393"/>
      <c r="B51" s="394"/>
      <c r="C51" s="394"/>
      <c r="D51" s="394"/>
      <c r="E51" s="394"/>
      <c r="F51" s="395"/>
    </row>
    <row r="52" spans="1:6">
      <c r="A52" s="396"/>
      <c r="B52" s="397"/>
      <c r="C52" s="398"/>
      <c r="D52" s="399"/>
    </row>
  </sheetData>
  <mergeCells count="50">
    <mergeCell ref="B3:F3"/>
    <mergeCell ref="C4:F4"/>
    <mergeCell ref="C5:F5"/>
    <mergeCell ref="C6:F6"/>
    <mergeCell ref="C7:F7"/>
    <mergeCell ref="C8:F8"/>
    <mergeCell ref="C9:F9"/>
    <mergeCell ref="B10:F10"/>
    <mergeCell ref="C11:F11"/>
    <mergeCell ref="C12:F12"/>
    <mergeCell ref="C13:F13"/>
    <mergeCell ref="C14:F14"/>
    <mergeCell ref="C15:F15"/>
    <mergeCell ref="C16:F16"/>
    <mergeCell ref="C17:F17"/>
    <mergeCell ref="C18:F18"/>
    <mergeCell ref="B19:F19"/>
    <mergeCell ref="C20:F20"/>
    <mergeCell ref="C21:F21"/>
    <mergeCell ref="C22:F22"/>
    <mergeCell ref="B23:F23"/>
    <mergeCell ref="C24:F24"/>
    <mergeCell ref="C25:F25"/>
    <mergeCell ref="C26:F26"/>
    <mergeCell ref="C27:F27"/>
    <mergeCell ref="C28:F28"/>
    <mergeCell ref="C29:F29"/>
    <mergeCell ref="C30:F30"/>
    <mergeCell ref="C31:F31"/>
    <mergeCell ref="B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B43:F43"/>
    <mergeCell ref="C44:F44"/>
    <mergeCell ref="C45:F45"/>
    <mergeCell ref="C46:F46"/>
    <mergeCell ref="C47:F47"/>
    <mergeCell ref="C48:F48"/>
    <mergeCell ref="C49:F49"/>
    <mergeCell ref="C50:F50"/>
    <mergeCell ref="A51:F51"/>
    <mergeCell ref="A1:F2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A3A3"/>
    <pageSetUpPr fitToPage="1"/>
  </sheetPr>
  <dimension ref="A1:D32"/>
  <sheetViews>
    <sheetView showGridLines="0" workbookViewId="0">
      <pane ySplit="2" topLeftCell="A9" activePane="bottomLeft" state="frozen"/>
      <selection/>
      <selection pane="bottomLeft" activeCell="G16" sqref="G16"/>
    </sheetView>
  </sheetViews>
  <sheetFormatPr defaultColWidth="9" defaultRowHeight="13.8" outlineLevelCol="3"/>
  <cols>
    <col min="1" max="1" width="38.2222222222222" style="67" customWidth="1"/>
    <col min="2" max="2" width="18.2222222222222" style="67" customWidth="1"/>
    <col min="3" max="3" width="36.6666666666667" style="67" customWidth="1"/>
    <col min="4" max="16384" width="9" style="67" customWidth="1"/>
  </cols>
  <sheetData>
    <row r="1" ht="30" customHeight="1" spans="1:4">
      <c r="A1" s="129" t="s">
        <v>47</v>
      </c>
      <c r="B1" s="130"/>
      <c r="C1" s="131"/>
      <c r="D1" s="46" t="str">
        <f>HYPERLINK("#'Cover'!A1","←")</f>
        <v>←</v>
      </c>
    </row>
    <row r="2" ht="30" customHeight="1" spans="1:4">
      <c r="A2" s="132" t="s">
        <v>48</v>
      </c>
      <c r="B2" s="7" t="s">
        <v>49</v>
      </c>
      <c r="C2" s="115" t="s">
        <v>50</v>
      </c>
    </row>
    <row r="3" spans="1:4">
      <c r="A3" s="349" t="s">
        <v>51</v>
      </c>
      <c r="B3" s="1">
        <f>SUMIF(Invoices!I3:I34,"Paid",Invoices!H3:H34)</f>
        <v>8000</v>
      </c>
    </row>
    <row r="4" spans="1:4">
      <c r="A4" s="350" t="s">
        <v>52</v>
      </c>
      <c r="B4" s="351">
        <f>SUMIF(Invoices!I3:I34,"Unpaid",Invoices!H3:H34)</f>
        <v>0</v>
      </c>
      <c r="C4" s="138" t="s">
        <v>53</v>
      </c>
    </row>
    <row r="5" spans="1:4">
      <c r="A5" s="349" t="s">
        <v>54</v>
      </c>
      <c r="B5" s="352">
        <f>SUM(Expenses!D3:D100)</f>
        <v>0</v>
      </c>
      <c r="C5" s="135" t="s">
        <v>55</v>
      </c>
    </row>
    <row r="6" spans="1:4">
      <c r="A6" s="350" t="s">
        <v>56</v>
      </c>
      <c r="B6" s="351">
        <f>B3*0.1</f>
        <v>800</v>
      </c>
      <c r="C6" s="138" t="s">
        <v>57</v>
      </c>
    </row>
    <row r="7" spans="1:4">
      <c r="A7" s="349" t="s">
        <v>58</v>
      </c>
      <c r="B7" s="352">
        <f>B3*0.03</f>
        <v>240</v>
      </c>
      <c r="C7" s="135" t="s">
        <v>57</v>
      </c>
    </row>
    <row r="8" spans="1:4">
      <c r="A8" s="350" t="s">
        <v>59</v>
      </c>
      <c r="B8" s="353">
        <f>B3-B4-B5-B6-B7</f>
        <v>6960</v>
      </c>
      <c r="C8" s="138" t="s">
        <v>60</v>
      </c>
    </row>
    <row r="9" spans="1:4">
      <c r="A9" s="349" t="s">
        <v>61</v>
      </c>
      <c r="B9" s="354">
        <f>COUNTA(Students!A3:A100)</f>
        <v>5</v>
      </c>
      <c r="C9" s="135" t="s">
        <v>62</v>
      </c>
    </row>
    <row r="10" spans="1:4">
      <c r="A10" s="350" t="s">
        <v>63</v>
      </c>
      <c r="B10" s="355">
        <f>COUNTIF(Leads!G3:G100,"Contacting")+COUNTIF(Leads!G3:G100,"Trial booked")</f>
        <v>1</v>
      </c>
      <c r="C10" s="138" t="s">
        <v>64</v>
      </c>
    </row>
    <row r="11" spans="1:4">
      <c r="A11" s="349" t="s">
        <v>65</v>
      </c>
      <c r="B11" s="190">
        <f>IFERROR(COUNTIF(Trials!F3:F100,"Enrolled")/COUNTA(Trials!A3:A100),0)</f>
        <v>0.5</v>
      </c>
      <c r="C11" s="135" t="s">
        <v>66</v>
      </c>
    </row>
    <row r="12" spans="1:4">
      <c r="A12" s="350" t="s">
        <v>67</v>
      </c>
      <c r="B12" s="355">
        <f>COUNTIF(Students!J3:J100,"Renew now")</f>
        <v>0</v>
      </c>
      <c r="C12" s="138" t="s">
        <v>68</v>
      </c>
    </row>
    <row r="13" spans="1:4">
      <c r="A13" s="356" t="s">
        <v>69</v>
      </c>
      <c r="B13" s="357">
        <f>COUNTIF(Students!J3:J100,"Renew soon")</f>
        <v>0</v>
      </c>
      <c r="C13" s="358" t="s">
        <v>70</v>
      </c>
      <c r="D13" s="1"/>
    </row>
    <row r="14" spans="1:4">
      <c r="A14" s="349" t="s">
        <v>71</v>
      </c>
      <c r="B14" s="354">
        <f>COUNTIF(Makeup_Churn!F3:F100,"At risk — talk now")</f>
        <v>0</v>
      </c>
      <c r="C14" s="135" t="s">
        <v>64</v>
      </c>
    </row>
    <row r="15" spans="1:4">
      <c r="A15" s="350" t="s">
        <v>72</v>
      </c>
      <c r="B15" s="355">
        <f>COUNTIF(WinterCamp!G3:G100,"Full")</f>
        <v>0</v>
      </c>
      <c r="C15" s="138" t="s">
        <v>73</v>
      </c>
    </row>
    <row r="16" spans="1:4">
      <c r="A16" s="349" t="s">
        <v>74</v>
      </c>
      <c r="B16" s="151" t="str">
        <f>IF(COUNTIF(Students!J3:J100,"Renew now")=0,"--",INDEX(Students!B3:B100,MATCH("Renew now",Students!J3:J100,0))&amp;" +"&amp;COUNTIF(Students!J3:J100,"Renew now")&amp;" kids")</f>
        <v>--</v>
      </c>
      <c r="C16" s="135" t="s">
        <v>75</v>
      </c>
    </row>
    <row r="17" spans="1:4">
      <c r="A17" s="350" t="s">
        <v>76</v>
      </c>
      <c r="B17" s="147" t="str">
        <f>IF(COUNTIF(Makeup_Churn!F3:F100,"At risk — talk now")=0,"--",INDEX(Makeup_Churn!A3:A100,MATCH("At risk — talk now",Makeup_Churn!F3:F100,0))&amp;" +"&amp;COUNTIF(Makeup_Churn!F3:F100,"At risk — talk now")&amp;" families")</f>
        <v>--</v>
      </c>
      <c r="C17" s="138" t="s">
        <v>75</v>
      </c>
    </row>
    <row r="18" spans="1:4">
      <c r="A18" s="349" t="s">
        <v>77</v>
      </c>
      <c r="B18" s="151" t="str">
        <f>IF(COUNTIF(Invoices!I3:I34,"Unpaid")=0,"--",INDEX(Invoices!C3:C34,MATCH("Unpaid",Invoices!I3:I34,0))&amp;" +"&amp;COUNTIF(Invoices!I3:I34,"Unpaid")&amp;" invoices")</f>
        <v>--</v>
      </c>
      <c r="C18" s="135" t="s">
        <v>78</v>
      </c>
    </row>
    <row r="19" spans="1:4">
      <c r="A19" s="359" t="s">
        <v>79</v>
      </c>
      <c r="B19" s="148"/>
      <c r="C19" s="145"/>
      <c r="D19" s="360" t="s">
        <v>80</v>
      </c>
    </row>
    <row r="20" spans="1:4">
      <c r="A20" s="349" t="s">
        <v>81</v>
      </c>
      <c r="B20" s="361" t="str">
        <f>COUNTIF(Students!J3:J100,"Renew now")&amp;" kids"</f>
        <v>0 kids</v>
      </c>
      <c r="C20" s="144"/>
      <c r="D20" s="96" t="s">
        <v>82</v>
      </c>
    </row>
    <row r="21" spans="1:4">
      <c r="A21" s="146" t="s">
        <v>83</v>
      </c>
      <c r="B21" s="362" t="str">
        <f>COUNTIF(Makeup_Churn!F3:F100,"At risk — talk now")&amp;" families"</f>
        <v>0 families</v>
      </c>
      <c r="C21" s="145"/>
      <c r="D21" s="96" t="s">
        <v>82</v>
      </c>
    </row>
    <row r="22" ht="14.55" spans="1:4">
      <c r="A22" s="363" t="s">
        <v>84</v>
      </c>
      <c r="B22" s="364" t="str">
        <f>COUNTIF(Invoices!I3:I34,"Unpaid")&amp;" invoices"</f>
        <v>0 invoices</v>
      </c>
      <c r="C22" s="157"/>
      <c r="D22" s="96" t="s">
        <v>82</v>
      </c>
    </row>
    <row r="24" ht="14.55" spans="1:4">
      <c r="A24" s="365" t="s">
        <v>85</v>
      </c>
    </row>
    <row r="25" spans="1:4">
      <c r="A25" s="366" t="s">
        <v>86</v>
      </c>
      <c r="B25" s="367" t="s">
        <v>87</v>
      </c>
      <c r="C25" s="367" t="s">
        <v>88</v>
      </c>
      <c r="D25" s="368" t="s">
        <v>89</v>
      </c>
    </row>
    <row r="26" spans="1:4">
      <c r="A26" s="18" t="s">
        <v>90</v>
      </c>
      <c r="B26" s="26">
        <v>15</v>
      </c>
      <c r="C26" s="26">
        <f>COUNTA(Students!A3:A100)</f>
        <v>5</v>
      </c>
      <c r="D26" s="27" t="e">
        <f t="shared" ref="D26:D31" si="0">C25-B25</f>
        <v>#VALUE!</v>
      </c>
    </row>
    <row r="27" spans="1:4">
      <c r="A27" s="18" t="s">
        <v>91</v>
      </c>
      <c r="B27" s="98">
        <v>0.5</v>
      </c>
      <c r="C27" s="98">
        <f>IFERROR(COUNTIF(Trials!F3:F100,"Enrolled")/MAX(1,COUNTA(Trials!A3:A100)),0)</f>
        <v>0.5</v>
      </c>
      <c r="D27" s="369">
        <f t="shared" si="0"/>
        <v>-10</v>
      </c>
    </row>
    <row r="28" spans="1:4">
      <c r="A28" s="18" t="s">
        <v>72</v>
      </c>
      <c r="B28" s="26">
        <v>2</v>
      </c>
      <c r="C28" s="26">
        <f>COUNTIF(WinterCamp!G3:G100,"Full")</f>
        <v>0</v>
      </c>
      <c r="D28" s="27">
        <f t="shared" si="0"/>
        <v>0</v>
      </c>
    </row>
    <row r="29" spans="1:4">
      <c r="A29" s="18" t="s">
        <v>92</v>
      </c>
      <c r="B29" s="26">
        <v>0</v>
      </c>
      <c r="C29" s="26">
        <f>COUNTIF(Students!J3:J100,"Renew now")</f>
        <v>0</v>
      </c>
      <c r="D29" s="27">
        <f t="shared" si="0"/>
        <v>-2</v>
      </c>
    </row>
    <row r="30" spans="1:4">
      <c r="A30" s="18" t="s">
        <v>93</v>
      </c>
      <c r="B30" s="26">
        <v>0</v>
      </c>
      <c r="C30" s="26">
        <f>COUNTIF(Makeup_Churn!F3:F100,"At risk — talk now")</f>
        <v>0</v>
      </c>
      <c r="D30" s="27">
        <f t="shared" si="0"/>
        <v>0</v>
      </c>
    </row>
    <row r="31" spans="1:4">
      <c r="A31" s="18" t="s">
        <v>94</v>
      </c>
      <c r="B31" s="26">
        <v>0</v>
      </c>
      <c r="C31" s="26">
        <f>COUNTIF(Invoices!I3:I34,"Unpaid")</f>
        <v>0</v>
      </c>
      <c r="D31" s="27">
        <f t="shared" si="0"/>
        <v>0</v>
      </c>
    </row>
    <row r="32" ht="14.55" spans="1:4">
      <c r="A32" s="23" t="s">
        <v>95</v>
      </c>
      <c r="B32" s="370" t="s">
        <v>96</v>
      </c>
      <c r="C32" s="370" t="s">
        <v>97</v>
      </c>
      <c r="D32" s="31"/>
    </row>
  </sheetData>
  <mergeCells count="1">
    <mergeCell ref="A1:C1"/>
  </mergeCells>
  <conditionalFormatting sqref="D25:D30">
    <cfRule type="cellIs" dxfId="0" priority="1" operator="greaterThan">
      <formula>0</formula>
    </cfRule>
  </conditionalFormatting>
  <dataValidations count="1">
    <dataValidation type="list" allowBlank="1" sqref="D19:D21">
      <formula1>"Done,Skip"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D84D"/>
    <pageSetUpPr fitToPage="1"/>
  </sheetPr>
  <dimension ref="A1:M100"/>
  <sheetViews>
    <sheetView showGridLines="0" workbookViewId="0">
      <pane ySplit="2" topLeftCell="A3" activePane="bottomLeft" state="frozen"/>
      <selection/>
      <selection pane="bottomLeft" activeCell="M1" sqref="M1"/>
    </sheetView>
  </sheetViews>
  <sheetFormatPr defaultColWidth="9" defaultRowHeight="13.8"/>
  <cols>
    <col min="1" max="1" width="10" style="1" customWidth="1"/>
    <col min="2" max="2" width="13" style="1" customWidth="1"/>
    <col min="3" max="3" width="8" style="1" customWidth="1"/>
    <col min="4" max="4" width="11" style="1" customWidth="1"/>
    <col min="5" max="5" width="13" style="1" customWidth="1"/>
    <col min="6" max="6" width="12" style="1" customWidth="1"/>
    <col min="7" max="9" width="9" style="1" customWidth="1"/>
    <col min="10" max="11" width="12" style="1" customWidth="1"/>
    <col min="12" max="12" width="10" style="1" customWidth="1"/>
    <col min="13" max="13" width="4" style="1" customWidth="1"/>
    <col min="14" max="16384" width="9" style="1" customWidth="1"/>
  </cols>
  <sheetData>
    <row r="1" ht="30" customHeight="1" spans="1:13">
      <c r="A1" s="129" t="s">
        <v>98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1"/>
      <c r="M1" s="46" t="str">
        <f>HYPERLINK("#'Cover'!A1","←")</f>
        <v>←</v>
      </c>
    </row>
    <row r="2" spans="1:13">
      <c r="A2" s="132" t="s">
        <v>99</v>
      </c>
      <c r="B2" s="7" t="s">
        <v>100</v>
      </c>
      <c r="C2" s="7" t="s">
        <v>101</v>
      </c>
      <c r="D2" s="7" t="s">
        <v>102</v>
      </c>
      <c r="E2" s="7" t="s">
        <v>103</v>
      </c>
      <c r="F2" s="7" t="s">
        <v>104</v>
      </c>
      <c r="G2" s="7" t="s">
        <v>105</v>
      </c>
      <c r="H2" s="7" t="s">
        <v>106</v>
      </c>
      <c r="I2" s="7" t="s">
        <v>107</v>
      </c>
      <c r="J2" s="7" t="s">
        <v>108</v>
      </c>
      <c r="K2" s="7" t="s">
        <v>109</v>
      </c>
      <c r="L2" s="115" t="s">
        <v>110</v>
      </c>
    </row>
    <row r="3" spans="1:13">
      <c r="A3" s="133" t="s">
        <v>111</v>
      </c>
      <c r="B3" s="261" t="s">
        <v>112</v>
      </c>
      <c r="C3" s="1">
        <v>7</v>
      </c>
      <c r="D3" s="261" t="s">
        <v>113</v>
      </c>
      <c r="F3" s="261" t="s">
        <v>114</v>
      </c>
      <c r="G3" s="1">
        <v>20</v>
      </c>
      <c r="H3" s="1">
        <v>6</v>
      </c>
      <c r="I3" s="1">
        <f t="shared" ref="I3:I66" si="0">IF(G3="","",G3-H3)</f>
        <v>14</v>
      </c>
      <c r="J3" s="261" t="str">
        <f t="shared" ref="J3:J32" si="1">IF(I3="","",IF(I3&lt;=2,"Renew now",IF(I3&lt;=4,"Renew soon","OK")))</f>
        <v>OK</v>
      </c>
      <c r="K3" s="261" t="str">
        <f>IF(B3="","",IFERROR(INDEX(Trials!A$3:A$50,MATCH("*"&amp;B3&amp;"*",Trials!C$3:C$50,0)),""))</f>
        <v>TR-01</v>
      </c>
    </row>
    <row r="4" spans="1:13">
      <c r="A4" s="136" t="s">
        <v>115</v>
      </c>
      <c r="B4" s="137" t="s">
        <v>116</v>
      </c>
      <c r="C4" s="143">
        <v>6</v>
      </c>
      <c r="D4" s="137" t="s">
        <v>113</v>
      </c>
      <c r="E4" s="137" t="s">
        <v>82</v>
      </c>
      <c r="F4" s="137" t="s">
        <v>117</v>
      </c>
      <c r="G4" s="143">
        <v>12</v>
      </c>
      <c r="H4" s="143">
        <v>0</v>
      </c>
      <c r="I4" s="143">
        <f t="shared" si="0"/>
        <v>12</v>
      </c>
      <c r="J4" s="137" t="str">
        <f t="shared" si="1"/>
        <v>OK</v>
      </c>
      <c r="K4" s="147" t="str">
        <f>IF(B4="","",IFERROR(INDEX(Trials!A$3:A$50,MATCH("*"&amp;B4&amp;"*",Trials!C$3:C$50,0)),""))</f>
        <v/>
      </c>
      <c r="L4" s="199">
        <f>IF(B4="","",SUMIF(Makeup_Churn!A$3:A$100,B4,Makeup_Churn!C$3:C$100))</f>
        <v>0</v>
      </c>
    </row>
    <row r="5" spans="1:13">
      <c r="A5" s="133" t="s">
        <v>118</v>
      </c>
      <c r="B5" s="134" t="s">
        <v>119</v>
      </c>
      <c r="C5" s="142">
        <v>5</v>
      </c>
      <c r="D5" s="134" t="s">
        <v>113</v>
      </c>
      <c r="E5" s="134" t="s">
        <v>82</v>
      </c>
      <c r="F5" s="134" t="s">
        <v>117</v>
      </c>
      <c r="G5" s="142">
        <v>12</v>
      </c>
      <c r="H5" s="142">
        <v>0</v>
      </c>
      <c r="I5" s="142">
        <f t="shared" si="0"/>
        <v>12</v>
      </c>
      <c r="J5" s="134" t="str">
        <f t="shared" si="1"/>
        <v>OK</v>
      </c>
      <c r="K5" s="151" t="str">
        <f>IF(B5="","",IFERROR(INDEX(Trials!A$3:A$50,MATCH("*"&amp;B5&amp;"*",Trials!C$3:C$50,0)),""))</f>
        <v/>
      </c>
      <c r="L5" s="153">
        <f>IF(B5="","",SUMIF(Makeup_Churn!A$3:A$100,B5,Makeup_Churn!C$3:C$100))</f>
        <v>0</v>
      </c>
    </row>
    <row r="6" spans="1:13">
      <c r="A6" s="136" t="s">
        <v>120</v>
      </c>
      <c r="B6" s="137" t="s">
        <v>121</v>
      </c>
      <c r="C6" s="143">
        <v>7</v>
      </c>
      <c r="D6" s="137" t="s">
        <v>113</v>
      </c>
      <c r="E6" s="137" t="s">
        <v>82</v>
      </c>
      <c r="F6" s="137" t="s">
        <v>117</v>
      </c>
      <c r="G6" s="143">
        <v>12</v>
      </c>
      <c r="H6" s="143">
        <v>0</v>
      </c>
      <c r="I6" s="143">
        <f t="shared" si="0"/>
        <v>12</v>
      </c>
      <c r="J6" s="137" t="str">
        <f t="shared" si="1"/>
        <v>OK</v>
      </c>
      <c r="K6" s="147" t="str">
        <f>IF(B6="","",IFERROR(INDEX(Trials!A$3:A$50,MATCH("*"&amp;B6&amp;"*",Trials!C$3:C$50,0)),""))</f>
        <v/>
      </c>
      <c r="L6" s="199">
        <f>IF(B6="","",SUMIF(Makeup_Churn!A$3:A$100,B6,Makeup_Churn!C$3:C$100))</f>
        <v>0</v>
      </c>
    </row>
    <row r="7" spans="1:13">
      <c r="A7" s="133" t="s">
        <v>122</v>
      </c>
      <c r="B7" s="134" t="s">
        <v>123</v>
      </c>
      <c r="C7" s="142">
        <v>9</v>
      </c>
      <c r="D7" s="134" t="s">
        <v>124</v>
      </c>
      <c r="E7" s="134" t="s">
        <v>82</v>
      </c>
      <c r="F7" s="134" t="s">
        <v>125</v>
      </c>
      <c r="G7" s="142">
        <v>18</v>
      </c>
      <c r="H7" s="142">
        <v>4</v>
      </c>
      <c r="I7" s="142">
        <f t="shared" si="0"/>
        <v>14</v>
      </c>
      <c r="J7" s="134" t="str">
        <f t="shared" si="1"/>
        <v>OK</v>
      </c>
      <c r="K7" s="151" t="str">
        <f>IF(B7="","",IFERROR(INDEX(Trials!A$3:A$50,MATCH("*"&amp;B7&amp;"*",Trials!C$3:C$50,0)),""))</f>
        <v/>
      </c>
      <c r="L7" s="153">
        <f>IF(B7="","",SUMIF(Makeup_Churn!A$3:A$100,B7,Makeup_Churn!C$3:C$100))</f>
        <v>0</v>
      </c>
    </row>
    <row r="8" spans="1:13">
      <c r="A8" s="345"/>
      <c r="B8" s="143"/>
      <c r="C8" s="143"/>
      <c r="D8" s="143"/>
      <c r="E8" s="143"/>
      <c r="F8" s="143"/>
      <c r="G8" s="143"/>
      <c r="H8" s="143"/>
      <c r="I8" s="137" t="str">
        <f t="shared" si="0"/>
        <v/>
      </c>
      <c r="J8" s="137" t="str">
        <f t="shared" si="1"/>
        <v/>
      </c>
      <c r="K8" s="147" t="str">
        <f>IF(B8="","",IFERROR(INDEX(Trials!A$3:A$50,MATCH("*"&amp;B8&amp;"*",Trials!C$3:C$50,0)),""))</f>
        <v/>
      </c>
      <c r="L8" s="149" t="str">
        <f>IF(B8="","",SUMIF(Makeup_Churn!A$3:A$100,B8,Makeup_Churn!C$3:C$100))</f>
        <v/>
      </c>
    </row>
    <row r="9" spans="1:13">
      <c r="A9" s="346"/>
      <c r="B9" s="142"/>
      <c r="C9" s="142"/>
      <c r="D9" s="142"/>
      <c r="E9" s="142"/>
      <c r="F9" s="142"/>
      <c r="G9" s="142"/>
      <c r="H9" s="142"/>
      <c r="I9" s="134" t="str">
        <f t="shared" si="0"/>
        <v/>
      </c>
      <c r="J9" s="134" t="str">
        <f t="shared" si="1"/>
        <v/>
      </c>
      <c r="K9" s="151" t="str">
        <f>IF(B9="","",IFERROR(INDEX(Trials!A$3:A$50,MATCH("*"&amp;B9&amp;"*",Trials!C$3:C$50,0)),""))</f>
        <v/>
      </c>
      <c r="L9" s="347" t="str">
        <f>IF(B9="","",SUMIF(Makeup_Churn!A$3:A$100,B9,Makeup_Churn!C$3:C$100))</f>
        <v/>
      </c>
    </row>
    <row r="10" spans="1:13">
      <c r="A10" s="345"/>
      <c r="B10" s="143"/>
      <c r="C10" s="143"/>
      <c r="D10" s="143"/>
      <c r="E10" s="143"/>
      <c r="F10" s="143"/>
      <c r="G10" s="143"/>
      <c r="H10" s="143"/>
      <c r="I10" s="137" t="str">
        <f t="shared" si="0"/>
        <v/>
      </c>
      <c r="J10" s="137" t="str">
        <f t="shared" si="1"/>
        <v/>
      </c>
      <c r="K10" s="147" t="str">
        <f>IF(B10="","",IFERROR(INDEX(Trials!A$3:A$50,MATCH("*"&amp;B10&amp;"*",Trials!C$3:C$50,0)),""))</f>
        <v/>
      </c>
      <c r="L10" s="149" t="str">
        <f>IF(B10="","",SUMIF(Makeup_Churn!A$3:A$100,B10,Makeup_Churn!C$3:C$100))</f>
        <v/>
      </c>
    </row>
    <row r="11" spans="1:13">
      <c r="A11" s="346"/>
      <c r="B11" s="142"/>
      <c r="C11" s="142"/>
      <c r="D11" s="142"/>
      <c r="E11" s="142"/>
      <c r="F11" s="142"/>
      <c r="G11" s="142"/>
      <c r="H11" s="142"/>
      <c r="I11" s="134" t="str">
        <f t="shared" si="0"/>
        <v/>
      </c>
      <c r="J11" s="134" t="str">
        <f t="shared" si="1"/>
        <v/>
      </c>
      <c r="K11" s="151" t="str">
        <f>IF(B11="","",IFERROR(INDEX(Trials!A$3:A$50,MATCH("*"&amp;B11&amp;"*",Trials!C$3:C$50,0)),""))</f>
        <v/>
      </c>
      <c r="L11" s="347" t="str">
        <f>IF(B11="","",SUMIF(Makeup_Churn!A$3:A$100,B11,Makeup_Churn!C$3:C$100))</f>
        <v/>
      </c>
    </row>
    <row r="12" spans="1:13">
      <c r="A12" s="345"/>
      <c r="B12" s="143"/>
      <c r="C12" s="143"/>
      <c r="D12" s="143"/>
      <c r="E12" s="143"/>
      <c r="F12" s="143"/>
      <c r="G12" s="143"/>
      <c r="H12" s="143"/>
      <c r="I12" s="137" t="str">
        <f t="shared" si="0"/>
        <v/>
      </c>
      <c r="J12" s="137" t="str">
        <f t="shared" si="1"/>
        <v/>
      </c>
      <c r="K12" s="147" t="str">
        <f>IF(B12="","",IFERROR(INDEX(Trials!A$3:A$50,MATCH("*"&amp;B12&amp;"*",Trials!C$3:C$50,0)),""))</f>
        <v/>
      </c>
      <c r="L12" s="149" t="str">
        <f>IF(B12="","",SUMIF(Makeup_Churn!A$3:A$100,B12,Makeup_Churn!C$3:C$100))</f>
        <v/>
      </c>
    </row>
    <row r="13" spans="1:13">
      <c r="A13" s="346"/>
      <c r="B13" s="142"/>
      <c r="C13" s="142"/>
      <c r="D13" s="142"/>
      <c r="E13" s="142"/>
      <c r="F13" s="142"/>
      <c r="G13" s="142"/>
      <c r="H13" s="142"/>
      <c r="I13" s="134" t="str">
        <f t="shared" si="0"/>
        <v/>
      </c>
      <c r="J13" s="134" t="str">
        <f t="shared" si="1"/>
        <v/>
      </c>
      <c r="K13" s="151" t="str">
        <f>IF(B13="","",IFERROR(INDEX(Trials!A$3:A$50,MATCH("*"&amp;B13&amp;"*",Trials!C$3:C$50,0)),""))</f>
        <v/>
      </c>
      <c r="L13" s="347" t="str">
        <f>IF(B13="","",SUMIF(Makeup_Churn!A$3:A$100,B13,Makeup_Churn!C$3:C$100))</f>
        <v/>
      </c>
    </row>
    <row r="14" spans="1:13">
      <c r="A14" s="345"/>
      <c r="B14" s="143"/>
      <c r="C14" s="143"/>
      <c r="D14" s="143"/>
      <c r="E14" s="143"/>
      <c r="F14" s="143"/>
      <c r="G14" s="143"/>
      <c r="H14" s="143"/>
      <c r="I14" s="137" t="str">
        <f t="shared" si="0"/>
        <v/>
      </c>
      <c r="J14" s="137" t="str">
        <f t="shared" si="1"/>
        <v/>
      </c>
      <c r="K14" s="147" t="str">
        <f>IF(B14="","",IFERROR(INDEX(Trials!A$3:A$50,MATCH("*"&amp;B14&amp;"*",Trials!C$3:C$50,0)),""))</f>
        <v/>
      </c>
      <c r="L14" s="149" t="str">
        <f>IF(B14="","",SUMIF(Makeup_Churn!A$3:A$100,B14,Makeup_Churn!C$3:C$100))</f>
        <v/>
      </c>
    </row>
    <row r="15" spans="1:13">
      <c r="A15" s="346"/>
      <c r="B15" s="142"/>
      <c r="C15" s="142"/>
      <c r="D15" s="142"/>
      <c r="E15" s="142"/>
      <c r="F15" s="142"/>
      <c r="G15" s="142"/>
      <c r="H15" s="142"/>
      <c r="I15" s="134" t="str">
        <f t="shared" si="0"/>
        <v/>
      </c>
      <c r="J15" s="134" t="str">
        <f t="shared" si="1"/>
        <v/>
      </c>
      <c r="K15" s="151" t="str">
        <f>IF(B15="","",IFERROR(INDEX(Trials!A$3:A$50,MATCH("*"&amp;B15&amp;"*",Trials!C$3:C$50,0)),""))</f>
        <v/>
      </c>
      <c r="L15" s="347" t="str">
        <f>IF(B15="","",SUMIF(Makeup_Churn!A$3:A$100,B15,Makeup_Churn!C$3:C$100))</f>
        <v/>
      </c>
    </row>
    <row r="16" spans="1:13">
      <c r="A16" s="345"/>
      <c r="B16" s="143"/>
      <c r="C16" s="143"/>
      <c r="D16" s="143"/>
      <c r="E16" s="143"/>
      <c r="F16" s="143"/>
      <c r="G16" s="143"/>
      <c r="H16" s="143"/>
      <c r="I16" s="137" t="str">
        <f t="shared" si="0"/>
        <v/>
      </c>
      <c r="J16" s="137" t="str">
        <f t="shared" si="1"/>
        <v/>
      </c>
      <c r="K16" s="147" t="str">
        <f>IF(B16="","",IFERROR(INDEX(Trials!A$3:A$50,MATCH("*"&amp;B16&amp;"*",Trials!C$3:C$50,0)),""))</f>
        <v/>
      </c>
      <c r="L16" s="149" t="str">
        <f>IF(B16="","",SUMIF(Makeup_Churn!A$3:A$100,B16,Makeup_Churn!C$3:C$100))</f>
        <v/>
      </c>
    </row>
    <row r="17" spans="1:12">
      <c r="A17" s="346"/>
      <c r="B17" s="142"/>
      <c r="C17" s="142"/>
      <c r="D17" s="142"/>
      <c r="E17" s="142"/>
      <c r="F17" s="142"/>
      <c r="G17" s="142"/>
      <c r="H17" s="142"/>
      <c r="I17" s="134" t="str">
        <f t="shared" si="0"/>
        <v/>
      </c>
      <c r="J17" s="134" t="str">
        <f t="shared" si="1"/>
        <v/>
      </c>
      <c r="K17" s="151" t="str">
        <f>IF(B17="","",IFERROR(INDEX(Trials!A$3:A$50,MATCH("*"&amp;B17&amp;"*",Trials!C$3:C$50,0)),""))</f>
        <v/>
      </c>
      <c r="L17" s="347" t="str">
        <f>IF(B17="","",SUMIF(Makeup_Churn!A$3:A$100,B17,Makeup_Churn!C$3:C$100))</f>
        <v/>
      </c>
    </row>
    <row r="18" spans="1:12">
      <c r="A18" s="345"/>
      <c r="B18" s="143"/>
      <c r="C18" s="143"/>
      <c r="D18" s="143"/>
      <c r="E18" s="143"/>
      <c r="F18" s="143"/>
      <c r="G18" s="143"/>
      <c r="H18" s="143"/>
      <c r="I18" s="137" t="str">
        <f t="shared" si="0"/>
        <v/>
      </c>
      <c r="J18" s="137" t="str">
        <f t="shared" si="1"/>
        <v/>
      </c>
      <c r="K18" s="147" t="str">
        <f>IF(B18="","",IFERROR(INDEX(Trials!A$3:A$50,MATCH("*"&amp;B18&amp;"*",Trials!C$3:C$50,0)),""))</f>
        <v/>
      </c>
      <c r="L18" s="149" t="str">
        <f>IF(B18="","",SUMIF(Makeup_Churn!A$3:A$100,B18,Makeup_Churn!C$3:C$100))</f>
        <v/>
      </c>
    </row>
    <row r="19" spans="1:12">
      <c r="A19" s="346"/>
      <c r="B19" s="142"/>
      <c r="C19" s="142"/>
      <c r="D19" s="142"/>
      <c r="E19" s="142"/>
      <c r="F19" s="142"/>
      <c r="G19" s="142"/>
      <c r="H19" s="142"/>
      <c r="I19" s="134" t="str">
        <f t="shared" si="0"/>
        <v/>
      </c>
      <c r="J19" s="134" t="str">
        <f t="shared" si="1"/>
        <v/>
      </c>
      <c r="K19" s="151" t="str">
        <f>IF(B19="","",IFERROR(INDEX(Trials!A$3:A$50,MATCH("*"&amp;B19&amp;"*",Trials!C$3:C$50,0)),""))</f>
        <v/>
      </c>
      <c r="L19" s="347" t="str">
        <f>IF(B19="","",SUMIF(Makeup_Churn!A$3:A$100,B19,Makeup_Churn!C$3:C$100))</f>
        <v/>
      </c>
    </row>
    <row r="20" spans="1:12">
      <c r="A20" s="345"/>
      <c r="B20" s="143"/>
      <c r="C20" s="143"/>
      <c r="D20" s="143"/>
      <c r="E20" s="143"/>
      <c r="F20" s="143"/>
      <c r="G20" s="143"/>
      <c r="H20" s="143"/>
      <c r="I20" s="137" t="str">
        <f t="shared" si="0"/>
        <v/>
      </c>
      <c r="J20" s="137" t="str">
        <f t="shared" si="1"/>
        <v/>
      </c>
      <c r="K20" s="147" t="str">
        <f>IF(B20="","",IFERROR(INDEX(Trials!A$3:A$50,MATCH("*"&amp;B20&amp;"*",Trials!C$3:C$50,0)),""))</f>
        <v/>
      </c>
      <c r="L20" s="149" t="str">
        <f>IF(B20="","",SUMIF(Makeup_Churn!A$3:A$100,B20,Makeup_Churn!C$3:C$100))</f>
        <v/>
      </c>
    </row>
    <row r="21" spans="1:12">
      <c r="A21" s="346"/>
      <c r="B21" s="142"/>
      <c r="C21" s="142"/>
      <c r="D21" s="142"/>
      <c r="E21" s="142"/>
      <c r="F21" s="142"/>
      <c r="G21" s="142"/>
      <c r="H21" s="142"/>
      <c r="I21" s="134" t="str">
        <f t="shared" si="0"/>
        <v/>
      </c>
      <c r="J21" s="134" t="str">
        <f t="shared" si="1"/>
        <v/>
      </c>
      <c r="K21" s="151" t="str">
        <f>IF(B21="","",IFERROR(INDEX(Trials!A$3:A$50,MATCH("*"&amp;B21&amp;"*",Trials!C$3:C$50,0)),""))</f>
        <v/>
      </c>
      <c r="L21" s="347" t="str">
        <f>IF(B21="","",SUMIF(Makeup_Churn!A$3:A$100,B21,Makeup_Churn!C$3:C$100))</f>
        <v/>
      </c>
    </row>
    <row r="22" spans="1:12">
      <c r="A22" s="345"/>
      <c r="B22" s="143"/>
      <c r="C22" s="143"/>
      <c r="D22" s="143"/>
      <c r="E22" s="143"/>
      <c r="F22" s="143"/>
      <c r="G22" s="143"/>
      <c r="H22" s="143"/>
      <c r="I22" s="137" t="str">
        <f t="shared" si="0"/>
        <v/>
      </c>
      <c r="J22" s="137" t="str">
        <f t="shared" si="1"/>
        <v/>
      </c>
      <c r="K22" s="147" t="str">
        <f>IF(B22="","",IFERROR(INDEX(Trials!A$3:A$50,MATCH("*"&amp;B22&amp;"*",Trials!C$3:C$50,0)),""))</f>
        <v/>
      </c>
      <c r="L22" s="149" t="str">
        <f>IF(B22="","",SUMIF(Makeup_Churn!A$3:A$100,B22,Makeup_Churn!C$3:C$100))</f>
        <v/>
      </c>
    </row>
    <row r="23" spans="1:12">
      <c r="A23" s="346"/>
      <c r="B23" s="142"/>
      <c r="C23" s="142"/>
      <c r="D23" s="142"/>
      <c r="E23" s="142"/>
      <c r="F23" s="142"/>
      <c r="G23" s="142"/>
      <c r="H23" s="142"/>
      <c r="I23" s="134" t="str">
        <f t="shared" si="0"/>
        <v/>
      </c>
      <c r="J23" s="134" t="str">
        <f t="shared" si="1"/>
        <v/>
      </c>
      <c r="K23" s="151" t="str">
        <f>IF(B23="","",IFERROR(INDEX(Trials!A$3:A$50,MATCH("*"&amp;B23&amp;"*",Trials!C$3:C$50,0)),""))</f>
        <v/>
      </c>
      <c r="L23" s="347" t="str">
        <f>IF(B23="","",SUMIF(Makeup_Churn!A$3:A$100,B23,Makeup_Churn!C$3:C$100))</f>
        <v/>
      </c>
    </row>
    <row r="24" spans="1:12">
      <c r="A24" s="345"/>
      <c r="B24" s="143"/>
      <c r="C24" s="143"/>
      <c r="D24" s="143"/>
      <c r="E24" s="143"/>
      <c r="F24" s="143"/>
      <c r="G24" s="143"/>
      <c r="H24" s="143"/>
      <c r="I24" s="137" t="str">
        <f t="shared" si="0"/>
        <v/>
      </c>
      <c r="J24" s="137" t="str">
        <f t="shared" si="1"/>
        <v/>
      </c>
      <c r="K24" s="147" t="str">
        <f>IF(B24="","",IFERROR(INDEX(Trials!A$3:A$50,MATCH("*"&amp;B24&amp;"*",Trials!C$3:C$50,0)),""))</f>
        <v/>
      </c>
      <c r="L24" s="149" t="str">
        <f>IF(B24="","",SUMIF(Makeup_Churn!A$3:A$100,B24,Makeup_Churn!C$3:C$100))</f>
        <v/>
      </c>
    </row>
    <row r="25" spans="1:12">
      <c r="A25" s="346"/>
      <c r="B25" s="142"/>
      <c r="C25" s="142"/>
      <c r="D25" s="142"/>
      <c r="E25" s="142"/>
      <c r="F25" s="142"/>
      <c r="G25" s="142"/>
      <c r="H25" s="142"/>
      <c r="I25" s="134" t="str">
        <f t="shared" si="0"/>
        <v/>
      </c>
      <c r="J25" s="134" t="str">
        <f t="shared" si="1"/>
        <v/>
      </c>
      <c r="K25" s="151" t="str">
        <f>IF(B25="","",IFERROR(INDEX(Trials!A$3:A$50,MATCH("*"&amp;B25&amp;"*",Trials!C$3:C$50,0)),""))</f>
        <v/>
      </c>
      <c r="L25" s="347" t="str">
        <f>IF(B25="","",SUMIF(Makeup_Churn!A$3:A$100,B25,Makeup_Churn!C$3:C$100))</f>
        <v/>
      </c>
    </row>
    <row r="26" spans="1:12">
      <c r="A26" s="345"/>
      <c r="B26" s="143"/>
      <c r="C26" s="143"/>
      <c r="D26" s="143"/>
      <c r="E26" s="143"/>
      <c r="F26" s="143"/>
      <c r="G26" s="143"/>
      <c r="H26" s="143"/>
      <c r="I26" s="137" t="str">
        <f t="shared" si="0"/>
        <v/>
      </c>
      <c r="J26" s="137" t="str">
        <f t="shared" si="1"/>
        <v/>
      </c>
      <c r="K26" s="147" t="str">
        <f>IF(B26="","",IFERROR(INDEX(Trials!A$3:A$50,MATCH("*"&amp;B26&amp;"*",Trials!C$3:C$50,0)),""))</f>
        <v/>
      </c>
      <c r="L26" s="149" t="str">
        <f>IF(B26="","",SUMIF(Makeup_Churn!A$3:A$100,B26,Makeup_Churn!C$3:C$100))</f>
        <v/>
      </c>
    </row>
    <row r="27" spans="1:12">
      <c r="A27" s="346"/>
      <c r="B27" s="142"/>
      <c r="C27" s="142"/>
      <c r="D27" s="142"/>
      <c r="E27" s="142"/>
      <c r="F27" s="142"/>
      <c r="G27" s="142"/>
      <c r="H27" s="142"/>
      <c r="I27" s="134" t="str">
        <f t="shared" si="0"/>
        <v/>
      </c>
      <c r="J27" s="134" t="str">
        <f t="shared" si="1"/>
        <v/>
      </c>
      <c r="K27" s="151" t="str">
        <f>IF(B27="","",IFERROR(INDEX(Trials!A$3:A$50,MATCH("*"&amp;B27&amp;"*",Trials!C$3:C$50,0)),""))</f>
        <v/>
      </c>
      <c r="L27" s="347" t="str">
        <f>IF(B27="","",SUMIF(Makeup_Churn!A$3:A$100,B27,Makeup_Churn!C$3:C$100))</f>
        <v/>
      </c>
    </row>
    <row r="28" spans="1:12">
      <c r="A28" s="345"/>
      <c r="B28" s="143"/>
      <c r="C28" s="143"/>
      <c r="D28" s="143"/>
      <c r="E28" s="143"/>
      <c r="F28" s="143"/>
      <c r="G28" s="143"/>
      <c r="H28" s="143"/>
      <c r="I28" s="137" t="str">
        <f t="shared" si="0"/>
        <v/>
      </c>
      <c r="J28" s="137" t="str">
        <f t="shared" si="1"/>
        <v/>
      </c>
      <c r="K28" s="147" t="str">
        <f>IF(B28="","",IFERROR(INDEX(Trials!A$3:A$50,MATCH("*"&amp;B28&amp;"*",Trials!C$3:C$50,0)),""))</f>
        <v/>
      </c>
      <c r="L28" s="149" t="str">
        <f>IF(B28="","",SUMIF(Makeup_Churn!A$3:A$100,B28,Makeup_Churn!C$3:C$100))</f>
        <v/>
      </c>
    </row>
    <row r="29" spans="1:12">
      <c r="A29" s="346"/>
      <c r="B29" s="142"/>
      <c r="C29" s="142"/>
      <c r="D29" s="142"/>
      <c r="E29" s="142"/>
      <c r="F29" s="142"/>
      <c r="G29" s="142"/>
      <c r="H29" s="142"/>
      <c r="I29" s="134" t="str">
        <f t="shared" si="0"/>
        <v/>
      </c>
      <c r="J29" s="134" t="str">
        <f t="shared" si="1"/>
        <v/>
      </c>
      <c r="K29" s="151" t="str">
        <f>IF(B29="","",IFERROR(INDEX(Trials!A$3:A$50,MATCH("*"&amp;B29&amp;"*",Trials!C$3:C$50,0)),""))</f>
        <v/>
      </c>
      <c r="L29" s="347" t="str">
        <f>IF(B29="","",SUMIF(Makeup_Churn!A$3:A$100,B29,Makeup_Churn!C$3:C$100))</f>
        <v/>
      </c>
    </row>
    <row r="30" spans="1:12">
      <c r="A30" s="345"/>
      <c r="B30" s="143"/>
      <c r="C30" s="143"/>
      <c r="D30" s="143"/>
      <c r="E30" s="143"/>
      <c r="F30" s="143"/>
      <c r="G30" s="143"/>
      <c r="H30" s="143"/>
      <c r="I30" s="137" t="str">
        <f t="shared" si="0"/>
        <v/>
      </c>
      <c r="J30" s="137" t="str">
        <f t="shared" si="1"/>
        <v/>
      </c>
      <c r="K30" s="147" t="str">
        <f>IF(B30="","",IFERROR(INDEX(Trials!A$3:A$50,MATCH("*"&amp;B30&amp;"*",Trials!C$3:C$50,0)),""))</f>
        <v/>
      </c>
      <c r="L30" s="149" t="str">
        <f>IF(B30="","",SUMIF(Makeup_Churn!A$3:A$100,B30,Makeup_Churn!C$3:C$100))</f>
        <v/>
      </c>
    </row>
    <row r="31" spans="1:12">
      <c r="A31" s="346"/>
      <c r="B31" s="142"/>
      <c r="C31" s="142"/>
      <c r="D31" s="142"/>
      <c r="E31" s="142"/>
      <c r="F31" s="142"/>
      <c r="G31" s="142"/>
      <c r="H31" s="142"/>
      <c r="I31" s="134" t="str">
        <f t="shared" si="0"/>
        <v/>
      </c>
      <c r="J31" s="134" t="str">
        <f t="shared" si="1"/>
        <v/>
      </c>
      <c r="K31" s="151" t="str">
        <f>IF(B31="","",IFERROR(INDEX(Trials!A$3:A$50,MATCH("*"&amp;B31&amp;"*",Trials!C$3:C$50,0)),""))</f>
        <v/>
      </c>
      <c r="L31" s="347" t="str">
        <f>IF(B31="","",SUMIF(Makeup_Churn!A$3:A$100,B31,Makeup_Churn!C$3:C$100))</f>
        <v/>
      </c>
    </row>
    <row r="32" spans="1:12">
      <c r="A32" s="345"/>
      <c r="B32" s="143"/>
      <c r="C32" s="143"/>
      <c r="D32" s="143"/>
      <c r="E32" s="143"/>
      <c r="F32" s="143"/>
      <c r="G32" s="143"/>
      <c r="H32" s="143"/>
      <c r="I32" s="137" t="str">
        <f t="shared" si="0"/>
        <v/>
      </c>
      <c r="J32" s="137" t="str">
        <f t="shared" si="1"/>
        <v/>
      </c>
      <c r="K32" s="147" t="str">
        <f>IF(B32="","",IFERROR(INDEX(Trials!A$3:A$50,MATCH("*"&amp;B32&amp;"*",Trials!C$3:C$50,0)),""))</f>
        <v/>
      </c>
      <c r="L32" s="149" t="str">
        <f>IF(B32="","",SUMIF(Makeup_Churn!A$3:A$100,B32,Makeup_Churn!C$3:C$100))</f>
        <v/>
      </c>
    </row>
    <row r="33" spans="1:12">
      <c r="A33" s="195"/>
      <c r="B33" s="152"/>
      <c r="C33" s="152"/>
      <c r="D33" s="152"/>
      <c r="E33" s="152"/>
      <c r="F33" s="152"/>
      <c r="G33" s="152"/>
      <c r="H33" s="152"/>
      <c r="I33" s="151" t="str">
        <f t="shared" si="0"/>
        <v/>
      </c>
      <c r="J33" s="152"/>
      <c r="K33" s="151" t="str">
        <f>IF(B33="","",IFERROR(INDEX(Trials!A$3:A$50,MATCH("*"&amp;B33&amp;"*",Trials!C$3:C$50,0)),""))</f>
        <v/>
      </c>
      <c r="L33" s="153"/>
    </row>
    <row r="34" spans="1:12">
      <c r="A34" s="197"/>
      <c r="B34" s="148"/>
      <c r="C34" s="148"/>
      <c r="D34" s="148"/>
      <c r="E34" s="148"/>
      <c r="F34" s="148"/>
      <c r="G34" s="148"/>
      <c r="H34" s="148"/>
      <c r="I34" s="147" t="str">
        <f t="shared" si="0"/>
        <v/>
      </c>
      <c r="J34" s="148"/>
      <c r="K34" s="147" t="str">
        <f>IF(B34="","",IFERROR(INDEX(Trials!A$3:A$50,MATCH("*"&amp;B34&amp;"*",Trials!C$3:C$50,0)),""))</f>
        <v/>
      </c>
      <c r="L34" s="199"/>
    </row>
    <row r="35" spans="1:12">
      <c r="A35" s="195"/>
      <c r="B35" s="152"/>
      <c r="C35" s="152"/>
      <c r="D35" s="152"/>
      <c r="E35" s="152"/>
      <c r="F35" s="152"/>
      <c r="G35" s="152"/>
      <c r="H35" s="152"/>
      <c r="I35" s="151" t="str">
        <f t="shared" si="0"/>
        <v/>
      </c>
      <c r="J35" s="152"/>
      <c r="K35" s="151" t="str">
        <f>IF(B35="","",IFERROR(INDEX(Trials!A$3:A$50,MATCH("*"&amp;B35&amp;"*",Trials!C$3:C$50,0)),""))</f>
        <v/>
      </c>
      <c r="L35" s="153"/>
    </row>
    <row r="36" spans="1:12">
      <c r="A36" s="197"/>
      <c r="B36" s="148"/>
      <c r="C36" s="148"/>
      <c r="D36" s="148"/>
      <c r="E36" s="148"/>
      <c r="F36" s="148"/>
      <c r="G36" s="148"/>
      <c r="H36" s="148"/>
      <c r="I36" s="147" t="str">
        <f t="shared" si="0"/>
        <v/>
      </c>
      <c r="J36" s="148"/>
      <c r="K36" s="147" t="str">
        <f>IF(B36="","",IFERROR(INDEX(Trials!A$3:A$50,MATCH("*"&amp;B36&amp;"*",Trials!C$3:C$50,0)),""))</f>
        <v/>
      </c>
      <c r="L36" s="199"/>
    </row>
    <row r="37" spans="1:12">
      <c r="A37" s="195"/>
      <c r="B37" s="152"/>
      <c r="C37" s="152"/>
      <c r="D37" s="152"/>
      <c r="E37" s="152"/>
      <c r="F37" s="152"/>
      <c r="G37" s="152"/>
      <c r="H37" s="152"/>
      <c r="I37" s="151" t="str">
        <f t="shared" si="0"/>
        <v/>
      </c>
      <c r="J37" s="152"/>
      <c r="K37" s="151" t="str">
        <f>IF(B37="","",IFERROR(INDEX(Trials!A$3:A$50,MATCH("*"&amp;B37&amp;"*",Trials!C$3:C$50,0)),""))</f>
        <v/>
      </c>
      <c r="L37" s="153"/>
    </row>
    <row r="38" spans="1:12">
      <c r="A38" s="197"/>
      <c r="B38" s="148"/>
      <c r="C38" s="148"/>
      <c r="D38" s="148"/>
      <c r="E38" s="148"/>
      <c r="F38" s="148"/>
      <c r="G38" s="148"/>
      <c r="H38" s="148"/>
      <c r="I38" s="147" t="str">
        <f t="shared" si="0"/>
        <v/>
      </c>
      <c r="J38" s="148"/>
      <c r="K38" s="147" t="str">
        <f>IF(B38="","",IFERROR(INDEX(Trials!A$3:A$50,MATCH("*"&amp;B38&amp;"*",Trials!C$3:C$50,0)),""))</f>
        <v/>
      </c>
      <c r="L38" s="199"/>
    </row>
    <row r="39" spans="1:12">
      <c r="A39" s="195"/>
      <c r="B39" s="152"/>
      <c r="C39" s="152"/>
      <c r="D39" s="152"/>
      <c r="E39" s="152"/>
      <c r="F39" s="152"/>
      <c r="G39" s="152"/>
      <c r="H39" s="152"/>
      <c r="I39" s="151" t="str">
        <f t="shared" si="0"/>
        <v/>
      </c>
      <c r="J39" s="152"/>
      <c r="K39" s="151" t="str">
        <f>IF(B39="","",IFERROR(INDEX(Trials!A$3:A$50,MATCH("*"&amp;B39&amp;"*",Trials!C$3:C$50,0)),""))</f>
        <v/>
      </c>
      <c r="L39" s="153"/>
    </row>
    <row r="40" spans="1:12">
      <c r="A40" s="197"/>
      <c r="B40" s="148"/>
      <c r="C40" s="148"/>
      <c r="D40" s="148"/>
      <c r="E40" s="148"/>
      <c r="F40" s="148"/>
      <c r="G40" s="148"/>
      <c r="H40" s="148"/>
      <c r="I40" s="147" t="str">
        <f t="shared" si="0"/>
        <v/>
      </c>
      <c r="J40" s="148"/>
      <c r="K40" s="147" t="str">
        <f>IF(B40="","",IFERROR(INDEX(Trials!A$3:A$50,MATCH("*"&amp;B40&amp;"*",Trials!C$3:C$50,0)),""))</f>
        <v/>
      </c>
      <c r="L40" s="199"/>
    </row>
    <row r="41" spans="1:12">
      <c r="A41" s="195"/>
      <c r="B41" s="152"/>
      <c r="C41" s="152"/>
      <c r="D41" s="152"/>
      <c r="E41" s="152"/>
      <c r="F41" s="152"/>
      <c r="G41" s="152"/>
      <c r="H41" s="152"/>
      <c r="I41" s="151" t="str">
        <f t="shared" si="0"/>
        <v/>
      </c>
      <c r="J41" s="152"/>
      <c r="K41" s="151" t="str">
        <f>IF(B41="","",IFERROR(INDEX(Trials!A$3:A$50,MATCH("*"&amp;B41&amp;"*",Trials!C$3:C$50,0)),""))</f>
        <v/>
      </c>
      <c r="L41" s="153"/>
    </row>
    <row r="42" spans="1:12">
      <c r="A42" s="197"/>
      <c r="B42" s="148"/>
      <c r="C42" s="148"/>
      <c r="D42" s="148"/>
      <c r="E42" s="148"/>
      <c r="F42" s="148"/>
      <c r="G42" s="148"/>
      <c r="H42" s="148"/>
      <c r="I42" s="147" t="str">
        <f t="shared" si="0"/>
        <v/>
      </c>
      <c r="J42" s="148"/>
      <c r="K42" s="147" t="str">
        <f>IF(B42="","",IFERROR(INDEX(Trials!A$3:A$50,MATCH("*"&amp;B42&amp;"*",Trials!C$3:C$50,0)),""))</f>
        <v/>
      </c>
      <c r="L42" s="199"/>
    </row>
    <row r="43" spans="1:12">
      <c r="A43" s="195"/>
      <c r="B43" s="152"/>
      <c r="C43" s="152"/>
      <c r="D43" s="152"/>
      <c r="E43" s="152"/>
      <c r="F43" s="152"/>
      <c r="G43" s="152"/>
      <c r="H43" s="152"/>
      <c r="I43" s="151" t="str">
        <f t="shared" si="0"/>
        <v/>
      </c>
      <c r="J43" s="152"/>
      <c r="K43" s="151" t="str">
        <f>IF(B43="","",IFERROR(INDEX(Trials!A$3:A$50,MATCH("*"&amp;B43&amp;"*",Trials!C$3:C$50,0)),""))</f>
        <v/>
      </c>
      <c r="L43" s="153"/>
    </row>
    <row r="44" spans="1:12">
      <c r="A44" s="197"/>
      <c r="B44" s="148"/>
      <c r="C44" s="148"/>
      <c r="D44" s="148"/>
      <c r="E44" s="148"/>
      <c r="F44" s="148"/>
      <c r="G44" s="148"/>
      <c r="H44" s="148"/>
      <c r="I44" s="147" t="str">
        <f t="shared" si="0"/>
        <v/>
      </c>
      <c r="J44" s="148"/>
      <c r="K44" s="147" t="str">
        <f>IF(B44="","",IFERROR(INDEX(Trials!A$3:A$50,MATCH("*"&amp;B44&amp;"*",Trials!C$3:C$50,0)),""))</f>
        <v/>
      </c>
      <c r="L44" s="199"/>
    </row>
    <row r="45" spans="1:12">
      <c r="A45" s="195"/>
      <c r="B45" s="152"/>
      <c r="C45" s="152"/>
      <c r="D45" s="152"/>
      <c r="E45" s="152"/>
      <c r="F45" s="152"/>
      <c r="G45" s="152"/>
      <c r="H45" s="152"/>
      <c r="I45" s="151" t="str">
        <f t="shared" si="0"/>
        <v/>
      </c>
      <c r="J45" s="152"/>
      <c r="K45" s="151" t="str">
        <f>IF(B45="","",IFERROR(INDEX(Trials!A$3:A$50,MATCH("*"&amp;B45&amp;"*",Trials!C$3:C$50,0)),""))</f>
        <v/>
      </c>
      <c r="L45" s="153"/>
    </row>
    <row r="46" spans="1:12">
      <c r="A46" s="197"/>
      <c r="B46" s="148"/>
      <c r="C46" s="148"/>
      <c r="D46" s="148"/>
      <c r="E46" s="148"/>
      <c r="F46" s="148"/>
      <c r="G46" s="148"/>
      <c r="H46" s="148"/>
      <c r="I46" s="147" t="str">
        <f t="shared" si="0"/>
        <v/>
      </c>
      <c r="J46" s="148"/>
      <c r="K46" s="147" t="str">
        <f>IF(B46="","",IFERROR(INDEX(Trials!A$3:A$50,MATCH("*"&amp;B46&amp;"*",Trials!C$3:C$50,0)),""))</f>
        <v/>
      </c>
      <c r="L46" s="199"/>
    </row>
    <row r="47" spans="1:12">
      <c r="A47" s="195"/>
      <c r="B47" s="152"/>
      <c r="C47" s="152"/>
      <c r="D47" s="152"/>
      <c r="E47" s="152"/>
      <c r="F47" s="152"/>
      <c r="G47" s="152"/>
      <c r="H47" s="152"/>
      <c r="I47" s="151" t="str">
        <f t="shared" si="0"/>
        <v/>
      </c>
      <c r="J47" s="152"/>
      <c r="K47" s="151" t="str">
        <f>IF(B47="","",IFERROR(INDEX(Trials!A$3:A$50,MATCH("*"&amp;B47&amp;"*",Trials!C$3:C$50,0)),""))</f>
        <v/>
      </c>
      <c r="L47" s="153"/>
    </row>
    <row r="48" spans="1:12">
      <c r="A48" s="197"/>
      <c r="B48" s="148"/>
      <c r="C48" s="148"/>
      <c r="D48" s="148"/>
      <c r="E48" s="148"/>
      <c r="F48" s="148"/>
      <c r="G48" s="148"/>
      <c r="H48" s="148"/>
      <c r="I48" s="147" t="str">
        <f t="shared" si="0"/>
        <v/>
      </c>
      <c r="J48" s="148"/>
      <c r="K48" s="147" t="str">
        <f>IF(B48="","",IFERROR(INDEX(Trials!A$3:A$50,MATCH("*"&amp;B48&amp;"*",Trials!C$3:C$50,0)),""))</f>
        <v/>
      </c>
      <c r="L48" s="199"/>
    </row>
    <row r="49" spans="1:12">
      <c r="A49" s="195"/>
      <c r="B49" s="152"/>
      <c r="C49" s="152"/>
      <c r="D49" s="152"/>
      <c r="E49" s="152"/>
      <c r="F49" s="152"/>
      <c r="G49" s="152"/>
      <c r="H49" s="152"/>
      <c r="I49" s="151" t="str">
        <f t="shared" si="0"/>
        <v/>
      </c>
      <c r="J49" s="152"/>
      <c r="K49" s="151" t="str">
        <f>IF(B49="","",IFERROR(INDEX(Trials!A$3:A$50,MATCH("*"&amp;B49&amp;"*",Trials!C$3:C$50,0)),""))</f>
        <v/>
      </c>
      <c r="L49" s="153"/>
    </row>
    <row r="50" spans="1:12">
      <c r="A50" s="197"/>
      <c r="B50" s="148"/>
      <c r="C50" s="148"/>
      <c r="D50" s="148"/>
      <c r="E50" s="148"/>
      <c r="F50" s="148"/>
      <c r="G50" s="148"/>
      <c r="H50" s="148"/>
      <c r="I50" s="147" t="str">
        <f t="shared" si="0"/>
        <v/>
      </c>
      <c r="J50" s="148"/>
      <c r="K50" s="147" t="str">
        <f>IF(B50="","",IFERROR(INDEX(Trials!A$3:A$50,MATCH("*"&amp;B50&amp;"*",Trials!C$3:C$50,0)),""))</f>
        <v/>
      </c>
      <c r="L50" s="199"/>
    </row>
    <row r="51" spans="1:12">
      <c r="A51" s="195"/>
      <c r="B51" s="152"/>
      <c r="C51" s="152"/>
      <c r="D51" s="152"/>
      <c r="E51" s="152"/>
      <c r="F51" s="152"/>
      <c r="G51" s="152"/>
      <c r="H51" s="152"/>
      <c r="I51" s="151" t="str">
        <f t="shared" si="0"/>
        <v/>
      </c>
      <c r="J51" s="152"/>
      <c r="K51" s="151" t="str">
        <f>IF(B51="","",IFERROR(INDEX(Trials!A$3:A$50,MATCH("*"&amp;B51&amp;"*",Trials!C$3:C$50,0)),""))</f>
        <v/>
      </c>
      <c r="L51" s="153"/>
    </row>
    <row r="52" spans="1:12">
      <c r="A52" s="197"/>
      <c r="B52" s="148"/>
      <c r="C52" s="148"/>
      <c r="D52" s="148"/>
      <c r="E52" s="148"/>
      <c r="F52" s="148"/>
      <c r="G52" s="148"/>
      <c r="H52" s="148"/>
      <c r="I52" s="147" t="str">
        <f t="shared" si="0"/>
        <v/>
      </c>
      <c r="J52" s="148"/>
      <c r="K52" s="147" t="str">
        <f>IF(B52="","",IFERROR(INDEX(Trials!A$3:A$50,MATCH("*"&amp;B52&amp;"*",Trials!C$3:C$50,0)),""))</f>
        <v/>
      </c>
      <c r="L52" s="199"/>
    </row>
    <row r="53" spans="1:12">
      <c r="A53" s="195"/>
      <c r="B53" s="152"/>
      <c r="C53" s="152"/>
      <c r="D53" s="152"/>
      <c r="E53" s="152"/>
      <c r="F53" s="152"/>
      <c r="G53" s="152"/>
      <c r="H53" s="152"/>
      <c r="I53" s="151" t="str">
        <f t="shared" si="0"/>
        <v/>
      </c>
      <c r="J53" s="152"/>
      <c r="K53" s="151" t="str">
        <f>IF(B53="","",IFERROR(INDEX(Trials!A$3:A$50,MATCH("*"&amp;B53&amp;"*",Trials!C$3:C$50,0)),""))</f>
        <v/>
      </c>
      <c r="L53" s="153"/>
    </row>
    <row r="54" spans="1:12">
      <c r="A54" s="197"/>
      <c r="B54" s="148"/>
      <c r="C54" s="148"/>
      <c r="D54" s="148"/>
      <c r="E54" s="148"/>
      <c r="F54" s="148"/>
      <c r="G54" s="148"/>
      <c r="H54" s="148"/>
      <c r="I54" s="147" t="str">
        <f t="shared" si="0"/>
        <v/>
      </c>
      <c r="J54" s="148"/>
      <c r="K54" s="147" t="str">
        <f>IF(B54="","",IFERROR(INDEX(Trials!A$3:A$50,MATCH("*"&amp;B54&amp;"*",Trials!C$3:C$50,0)),""))</f>
        <v/>
      </c>
      <c r="L54" s="199"/>
    </row>
    <row r="55" spans="1:12">
      <c r="A55" s="195"/>
      <c r="B55" s="152"/>
      <c r="C55" s="152"/>
      <c r="D55" s="152"/>
      <c r="E55" s="152"/>
      <c r="F55" s="152"/>
      <c r="G55" s="152"/>
      <c r="H55" s="152"/>
      <c r="I55" s="151" t="str">
        <f t="shared" si="0"/>
        <v/>
      </c>
      <c r="J55" s="152"/>
      <c r="K55" s="151" t="str">
        <f>IF(B55="","",IFERROR(INDEX(Trials!A$3:A$50,MATCH("*"&amp;B55&amp;"*",Trials!C$3:C$50,0)),""))</f>
        <v/>
      </c>
      <c r="L55" s="153"/>
    </row>
    <row r="56" spans="1:12">
      <c r="A56" s="197"/>
      <c r="B56" s="148"/>
      <c r="C56" s="148"/>
      <c r="D56" s="148"/>
      <c r="E56" s="148"/>
      <c r="F56" s="148"/>
      <c r="G56" s="148"/>
      <c r="H56" s="148"/>
      <c r="I56" s="147" t="str">
        <f t="shared" si="0"/>
        <v/>
      </c>
      <c r="J56" s="148"/>
      <c r="K56" s="147" t="str">
        <f>IF(B56="","",IFERROR(INDEX(Trials!A$3:A$50,MATCH("*"&amp;B56&amp;"*",Trials!C$3:C$50,0)),""))</f>
        <v/>
      </c>
      <c r="L56" s="199"/>
    </row>
    <row r="57" spans="1:12">
      <c r="A57" s="195"/>
      <c r="B57" s="152"/>
      <c r="C57" s="152"/>
      <c r="D57" s="152"/>
      <c r="E57" s="152"/>
      <c r="F57" s="152"/>
      <c r="G57" s="152"/>
      <c r="H57" s="152"/>
      <c r="I57" s="151" t="str">
        <f t="shared" si="0"/>
        <v/>
      </c>
      <c r="J57" s="152"/>
      <c r="K57" s="151" t="str">
        <f>IF(B57="","",IFERROR(INDEX(Trials!A$3:A$50,MATCH("*"&amp;B57&amp;"*",Trials!C$3:C$50,0)),""))</f>
        <v/>
      </c>
      <c r="L57" s="153"/>
    </row>
    <row r="58" spans="1:12">
      <c r="A58" s="197"/>
      <c r="B58" s="148"/>
      <c r="C58" s="148"/>
      <c r="D58" s="148"/>
      <c r="E58" s="148"/>
      <c r="F58" s="148"/>
      <c r="G58" s="148"/>
      <c r="H58" s="148"/>
      <c r="I58" s="147" t="str">
        <f t="shared" si="0"/>
        <v/>
      </c>
      <c r="J58" s="148"/>
      <c r="K58" s="147" t="str">
        <f>IF(B58="","",IFERROR(INDEX(Trials!A$3:A$50,MATCH("*"&amp;B58&amp;"*",Trials!C$3:C$50,0)),""))</f>
        <v/>
      </c>
      <c r="L58" s="199"/>
    </row>
    <row r="59" spans="1:12">
      <c r="A59" s="195"/>
      <c r="B59" s="152"/>
      <c r="C59" s="152"/>
      <c r="D59" s="152"/>
      <c r="E59" s="152"/>
      <c r="F59" s="152"/>
      <c r="G59" s="152"/>
      <c r="H59" s="152"/>
      <c r="I59" s="151" t="str">
        <f t="shared" si="0"/>
        <v/>
      </c>
      <c r="J59" s="152"/>
      <c r="K59" s="151" t="str">
        <f>IF(B59="","",IFERROR(INDEX(Trials!A$3:A$50,MATCH("*"&amp;B59&amp;"*",Trials!C$3:C$50,0)),""))</f>
        <v/>
      </c>
      <c r="L59" s="153"/>
    </row>
    <row r="60" spans="1:12">
      <c r="A60" s="197"/>
      <c r="B60" s="148"/>
      <c r="C60" s="148"/>
      <c r="D60" s="148"/>
      <c r="E60" s="148"/>
      <c r="F60" s="148"/>
      <c r="G60" s="148"/>
      <c r="H60" s="148"/>
      <c r="I60" s="147" t="str">
        <f t="shared" si="0"/>
        <v/>
      </c>
      <c r="J60" s="148"/>
      <c r="K60" s="147" t="str">
        <f>IF(B60="","",IFERROR(INDEX(Trials!A$3:A$50,MATCH("*"&amp;B60&amp;"*",Trials!C$3:C$50,0)),""))</f>
        <v/>
      </c>
      <c r="L60" s="199"/>
    </row>
    <row r="61" spans="1:12">
      <c r="A61" s="195"/>
      <c r="B61" s="152"/>
      <c r="C61" s="152"/>
      <c r="D61" s="152"/>
      <c r="E61" s="152"/>
      <c r="F61" s="152"/>
      <c r="G61" s="152"/>
      <c r="H61" s="152"/>
      <c r="I61" s="151" t="str">
        <f t="shared" si="0"/>
        <v/>
      </c>
      <c r="J61" s="152"/>
      <c r="K61" s="151" t="str">
        <f>IF(B61="","",IFERROR(INDEX(Trials!A$3:A$50,MATCH("*"&amp;B61&amp;"*",Trials!C$3:C$50,0)),""))</f>
        <v/>
      </c>
      <c r="L61" s="153"/>
    </row>
    <row r="62" spans="1:12">
      <c r="A62" s="197"/>
      <c r="B62" s="148"/>
      <c r="C62" s="148"/>
      <c r="D62" s="148"/>
      <c r="E62" s="148"/>
      <c r="F62" s="148"/>
      <c r="G62" s="148"/>
      <c r="H62" s="148"/>
      <c r="I62" s="147" t="str">
        <f t="shared" si="0"/>
        <v/>
      </c>
      <c r="J62" s="148"/>
      <c r="K62" s="147" t="str">
        <f>IF(B62="","",IFERROR(INDEX(Trials!A$3:A$50,MATCH("*"&amp;B62&amp;"*",Trials!C$3:C$50,0)),""))</f>
        <v/>
      </c>
      <c r="L62" s="199"/>
    </row>
    <row r="63" spans="1:12">
      <c r="A63" s="195"/>
      <c r="B63" s="152"/>
      <c r="C63" s="152"/>
      <c r="D63" s="152"/>
      <c r="E63" s="152"/>
      <c r="F63" s="152"/>
      <c r="G63" s="152"/>
      <c r="H63" s="152"/>
      <c r="I63" s="151" t="str">
        <f t="shared" si="0"/>
        <v/>
      </c>
      <c r="J63" s="152"/>
      <c r="K63" s="151" t="str">
        <f>IF(B63="","",IFERROR(INDEX(Trials!A$3:A$50,MATCH("*"&amp;B63&amp;"*",Trials!C$3:C$50,0)),""))</f>
        <v/>
      </c>
      <c r="L63" s="153"/>
    </row>
    <row r="64" spans="1:12">
      <c r="A64" s="197"/>
      <c r="B64" s="148"/>
      <c r="C64" s="148"/>
      <c r="D64" s="148"/>
      <c r="E64" s="148"/>
      <c r="F64" s="148"/>
      <c r="G64" s="148"/>
      <c r="H64" s="148"/>
      <c r="I64" s="147" t="str">
        <f t="shared" si="0"/>
        <v/>
      </c>
      <c r="J64" s="148"/>
      <c r="K64" s="147" t="str">
        <f>IF(B64="","",IFERROR(INDEX(Trials!A$3:A$50,MATCH("*"&amp;B64&amp;"*",Trials!C$3:C$50,0)),""))</f>
        <v/>
      </c>
      <c r="L64" s="199"/>
    </row>
    <row r="65" spans="1:12">
      <c r="A65" s="195"/>
      <c r="B65" s="152"/>
      <c r="C65" s="152"/>
      <c r="D65" s="152"/>
      <c r="E65" s="152"/>
      <c r="F65" s="152"/>
      <c r="G65" s="152"/>
      <c r="H65" s="152"/>
      <c r="I65" s="151" t="str">
        <f t="shared" si="0"/>
        <v/>
      </c>
      <c r="J65" s="152"/>
      <c r="K65" s="151" t="str">
        <f>IF(B65="","",IFERROR(INDEX(Trials!A$3:A$50,MATCH("*"&amp;B65&amp;"*",Trials!C$3:C$50,0)),""))</f>
        <v/>
      </c>
      <c r="L65" s="153"/>
    </row>
    <row r="66" spans="1:12">
      <c r="A66" s="197"/>
      <c r="B66" s="148"/>
      <c r="C66" s="148"/>
      <c r="D66" s="148"/>
      <c r="E66" s="148"/>
      <c r="F66" s="148"/>
      <c r="G66" s="148"/>
      <c r="H66" s="148"/>
      <c r="I66" s="147" t="str">
        <f t="shared" si="0"/>
        <v/>
      </c>
      <c r="J66" s="148"/>
      <c r="K66" s="147" t="str">
        <f>IF(B66="","",IFERROR(INDEX(Trials!A$3:A$50,MATCH("*"&amp;B66&amp;"*",Trials!C$3:C$50,0)),""))</f>
        <v/>
      </c>
      <c r="L66" s="199"/>
    </row>
    <row r="67" spans="1:12">
      <c r="A67" s="195"/>
      <c r="B67" s="152"/>
      <c r="C67" s="152"/>
      <c r="D67" s="152"/>
      <c r="E67" s="152"/>
      <c r="F67" s="152"/>
      <c r="G67" s="152"/>
      <c r="H67" s="152"/>
      <c r="I67" s="151" t="str">
        <f t="shared" ref="I67:I100" si="2">IF(G67="","",G67-H67)</f>
        <v/>
      </c>
      <c r="J67" s="152"/>
      <c r="K67" s="151" t="str">
        <f>IF(B67="","",IFERROR(INDEX(Trials!A$3:A$50,MATCH("*"&amp;B67&amp;"*",Trials!C$3:C$50,0)),""))</f>
        <v/>
      </c>
      <c r="L67" s="153"/>
    </row>
    <row r="68" spans="1:12">
      <c r="A68" s="197"/>
      <c r="B68" s="148"/>
      <c r="C68" s="148"/>
      <c r="D68" s="148"/>
      <c r="E68" s="148"/>
      <c r="F68" s="148"/>
      <c r="G68" s="148"/>
      <c r="H68" s="148"/>
      <c r="I68" s="147" t="str">
        <f t="shared" si="2"/>
        <v/>
      </c>
      <c r="J68" s="148"/>
      <c r="K68" s="147" t="str">
        <f>IF(B68="","",IFERROR(INDEX(Trials!A$3:A$50,MATCH("*"&amp;B68&amp;"*",Trials!C$3:C$50,0)),""))</f>
        <v/>
      </c>
      <c r="L68" s="199"/>
    </row>
    <row r="69" spans="1:12">
      <c r="A69" s="195"/>
      <c r="B69" s="152"/>
      <c r="C69" s="152"/>
      <c r="D69" s="152"/>
      <c r="E69" s="152"/>
      <c r="F69" s="152"/>
      <c r="G69" s="152"/>
      <c r="H69" s="152"/>
      <c r="I69" s="151" t="str">
        <f t="shared" si="2"/>
        <v/>
      </c>
      <c r="J69" s="152"/>
      <c r="K69" s="151" t="str">
        <f>IF(B69="","",IFERROR(INDEX(Trials!A$3:A$50,MATCH("*"&amp;B69&amp;"*",Trials!C$3:C$50,0)),""))</f>
        <v/>
      </c>
      <c r="L69" s="153"/>
    </row>
    <row r="70" spans="1:12">
      <c r="A70" s="197"/>
      <c r="B70" s="148"/>
      <c r="C70" s="148"/>
      <c r="D70" s="148"/>
      <c r="E70" s="148"/>
      <c r="F70" s="148"/>
      <c r="G70" s="148"/>
      <c r="H70" s="148"/>
      <c r="I70" s="147" t="str">
        <f t="shared" si="2"/>
        <v/>
      </c>
      <c r="J70" s="148"/>
      <c r="K70" s="147" t="str">
        <f>IF(B70="","",IFERROR(INDEX(Trials!A$3:A$50,MATCH("*"&amp;B70&amp;"*",Trials!C$3:C$50,0)),""))</f>
        <v/>
      </c>
      <c r="L70" s="199"/>
    </row>
    <row r="71" spans="1:12">
      <c r="A71" s="195"/>
      <c r="B71" s="152"/>
      <c r="C71" s="152"/>
      <c r="D71" s="152"/>
      <c r="E71" s="152"/>
      <c r="F71" s="152"/>
      <c r="G71" s="152"/>
      <c r="H71" s="152"/>
      <c r="I71" s="151" t="str">
        <f t="shared" si="2"/>
        <v/>
      </c>
      <c r="J71" s="152"/>
      <c r="K71" s="151" t="str">
        <f>IF(B71="","",IFERROR(INDEX(Trials!A$3:A$50,MATCH("*"&amp;B71&amp;"*",Trials!C$3:C$50,0)),""))</f>
        <v/>
      </c>
      <c r="L71" s="153"/>
    </row>
    <row r="72" spans="1:12">
      <c r="A72" s="197"/>
      <c r="B72" s="148"/>
      <c r="C72" s="148"/>
      <c r="D72" s="148"/>
      <c r="E72" s="148"/>
      <c r="F72" s="148"/>
      <c r="G72" s="148"/>
      <c r="H72" s="148"/>
      <c r="I72" s="147" t="str">
        <f t="shared" si="2"/>
        <v/>
      </c>
      <c r="J72" s="148"/>
      <c r="K72" s="147" t="str">
        <f>IF(B72="","",IFERROR(INDEX(Trials!A$3:A$50,MATCH("*"&amp;B72&amp;"*",Trials!C$3:C$50,0)),""))</f>
        <v/>
      </c>
      <c r="L72" s="199"/>
    </row>
    <row r="73" spans="1:12">
      <c r="A73" s="195"/>
      <c r="B73" s="152"/>
      <c r="C73" s="152"/>
      <c r="D73" s="152"/>
      <c r="E73" s="152"/>
      <c r="F73" s="152"/>
      <c r="G73" s="152"/>
      <c r="H73" s="152"/>
      <c r="I73" s="151" t="str">
        <f t="shared" si="2"/>
        <v/>
      </c>
      <c r="J73" s="152"/>
      <c r="K73" s="151" t="str">
        <f>IF(B73="","",IFERROR(INDEX(Trials!A$3:A$50,MATCH("*"&amp;B73&amp;"*",Trials!C$3:C$50,0)),""))</f>
        <v/>
      </c>
      <c r="L73" s="153"/>
    </row>
    <row r="74" spans="1:12">
      <c r="A74" s="197"/>
      <c r="B74" s="148"/>
      <c r="C74" s="148"/>
      <c r="D74" s="148"/>
      <c r="E74" s="148"/>
      <c r="F74" s="148"/>
      <c r="G74" s="148"/>
      <c r="H74" s="148"/>
      <c r="I74" s="147" t="str">
        <f t="shared" si="2"/>
        <v/>
      </c>
      <c r="J74" s="148"/>
      <c r="K74" s="147" t="str">
        <f>IF(B74="","",IFERROR(INDEX(Trials!A$3:A$50,MATCH("*"&amp;B74&amp;"*",Trials!C$3:C$50,0)),""))</f>
        <v/>
      </c>
      <c r="L74" s="199"/>
    </row>
    <row r="75" spans="1:12">
      <c r="A75" s="195"/>
      <c r="B75" s="152"/>
      <c r="C75" s="152"/>
      <c r="D75" s="152"/>
      <c r="E75" s="152"/>
      <c r="F75" s="152"/>
      <c r="G75" s="152"/>
      <c r="H75" s="152"/>
      <c r="I75" s="151" t="str">
        <f t="shared" si="2"/>
        <v/>
      </c>
      <c r="J75" s="152"/>
      <c r="K75" s="151" t="str">
        <f>IF(B75="","",IFERROR(INDEX(Trials!A$3:A$50,MATCH("*"&amp;B75&amp;"*",Trials!C$3:C$50,0)),""))</f>
        <v/>
      </c>
      <c r="L75" s="153"/>
    </row>
    <row r="76" spans="1:12">
      <c r="A76" s="197"/>
      <c r="B76" s="148"/>
      <c r="C76" s="148"/>
      <c r="D76" s="148"/>
      <c r="E76" s="148"/>
      <c r="F76" s="148"/>
      <c r="G76" s="148"/>
      <c r="H76" s="148"/>
      <c r="I76" s="147" t="str">
        <f t="shared" si="2"/>
        <v/>
      </c>
      <c r="J76" s="148"/>
      <c r="K76" s="147" t="str">
        <f>IF(B76="","",IFERROR(INDEX(Trials!A$3:A$50,MATCH("*"&amp;B76&amp;"*",Trials!C$3:C$50,0)),""))</f>
        <v/>
      </c>
      <c r="L76" s="199"/>
    </row>
    <row r="77" spans="1:12">
      <c r="A77" s="195"/>
      <c r="B77" s="152"/>
      <c r="C77" s="152"/>
      <c r="D77" s="152"/>
      <c r="E77" s="152"/>
      <c r="F77" s="152"/>
      <c r="G77" s="152"/>
      <c r="H77" s="152"/>
      <c r="I77" s="151" t="str">
        <f t="shared" si="2"/>
        <v/>
      </c>
      <c r="J77" s="152"/>
      <c r="K77" s="151" t="str">
        <f>IF(B77="","",IFERROR(INDEX(Trials!A$3:A$50,MATCH("*"&amp;B77&amp;"*",Trials!C$3:C$50,0)),""))</f>
        <v/>
      </c>
      <c r="L77" s="153"/>
    </row>
    <row r="78" spans="1:12">
      <c r="A78" s="197"/>
      <c r="B78" s="148"/>
      <c r="C78" s="148"/>
      <c r="D78" s="148"/>
      <c r="E78" s="148"/>
      <c r="F78" s="148"/>
      <c r="G78" s="148"/>
      <c r="H78" s="148"/>
      <c r="I78" s="147" t="str">
        <f t="shared" si="2"/>
        <v/>
      </c>
      <c r="J78" s="148"/>
      <c r="K78" s="147" t="str">
        <f>IF(B78="","",IFERROR(INDEX(Trials!A$3:A$50,MATCH("*"&amp;B78&amp;"*",Trials!C$3:C$50,0)),""))</f>
        <v/>
      </c>
      <c r="L78" s="199"/>
    </row>
    <row r="79" spans="1:12">
      <c r="A79" s="195"/>
      <c r="B79" s="152"/>
      <c r="C79" s="152"/>
      <c r="D79" s="152"/>
      <c r="E79" s="152"/>
      <c r="F79" s="152"/>
      <c r="G79" s="152"/>
      <c r="H79" s="152"/>
      <c r="I79" s="151" t="str">
        <f t="shared" si="2"/>
        <v/>
      </c>
      <c r="J79" s="152"/>
      <c r="K79" s="151" t="str">
        <f>IF(B79="","",IFERROR(INDEX(Trials!A$3:A$50,MATCH("*"&amp;B79&amp;"*",Trials!C$3:C$50,0)),""))</f>
        <v/>
      </c>
      <c r="L79" s="153"/>
    </row>
    <row r="80" spans="1:12">
      <c r="A80" s="197"/>
      <c r="B80" s="148"/>
      <c r="C80" s="148"/>
      <c r="D80" s="148"/>
      <c r="E80" s="148"/>
      <c r="F80" s="148"/>
      <c r="G80" s="148"/>
      <c r="H80" s="148"/>
      <c r="I80" s="147" t="str">
        <f t="shared" si="2"/>
        <v/>
      </c>
      <c r="J80" s="148"/>
      <c r="K80" s="147" t="str">
        <f>IF(B80="","",IFERROR(INDEX(Trials!A$3:A$50,MATCH("*"&amp;B80&amp;"*",Trials!C$3:C$50,0)),""))</f>
        <v/>
      </c>
      <c r="L80" s="199"/>
    </row>
    <row r="81" spans="1:12">
      <c r="A81" s="195"/>
      <c r="B81" s="152"/>
      <c r="C81" s="152"/>
      <c r="D81" s="152"/>
      <c r="E81" s="152"/>
      <c r="F81" s="152"/>
      <c r="G81" s="152"/>
      <c r="H81" s="152"/>
      <c r="I81" s="151" t="str">
        <f t="shared" si="2"/>
        <v/>
      </c>
      <c r="J81" s="152"/>
      <c r="K81" s="151" t="str">
        <f>IF(B81="","",IFERROR(INDEX(Trials!A$3:A$50,MATCH("*"&amp;B81&amp;"*",Trials!C$3:C$50,0)),""))</f>
        <v/>
      </c>
      <c r="L81" s="153"/>
    </row>
    <row r="82" spans="1:12">
      <c r="A82" s="197"/>
      <c r="B82" s="148"/>
      <c r="C82" s="148"/>
      <c r="D82" s="148"/>
      <c r="E82" s="148"/>
      <c r="F82" s="148"/>
      <c r="G82" s="148"/>
      <c r="H82" s="148"/>
      <c r="I82" s="147" t="str">
        <f t="shared" si="2"/>
        <v/>
      </c>
      <c r="J82" s="148"/>
      <c r="K82" s="147" t="str">
        <f>IF(B82="","",IFERROR(INDEX(Trials!A$3:A$50,MATCH("*"&amp;B82&amp;"*",Trials!C$3:C$50,0)),""))</f>
        <v/>
      </c>
      <c r="L82" s="199"/>
    </row>
    <row r="83" spans="1:12">
      <c r="A83" s="195"/>
      <c r="B83" s="152"/>
      <c r="C83" s="152"/>
      <c r="D83" s="152"/>
      <c r="E83" s="152"/>
      <c r="F83" s="152"/>
      <c r="G83" s="152"/>
      <c r="H83" s="152"/>
      <c r="I83" s="151" t="str">
        <f t="shared" si="2"/>
        <v/>
      </c>
      <c r="J83" s="152"/>
      <c r="K83" s="151" t="str">
        <f>IF(B83="","",IFERROR(INDEX(Trials!A$3:A$50,MATCH("*"&amp;B83&amp;"*",Trials!C$3:C$50,0)),""))</f>
        <v/>
      </c>
      <c r="L83" s="153"/>
    </row>
    <row r="84" spans="1:12">
      <c r="A84" s="197"/>
      <c r="B84" s="148"/>
      <c r="C84" s="148"/>
      <c r="D84" s="148"/>
      <c r="E84" s="148"/>
      <c r="F84" s="148"/>
      <c r="G84" s="148"/>
      <c r="H84" s="148"/>
      <c r="I84" s="147" t="str">
        <f t="shared" si="2"/>
        <v/>
      </c>
      <c r="J84" s="148"/>
      <c r="K84" s="147" t="str">
        <f>IF(B84="","",IFERROR(INDEX(Trials!A$3:A$50,MATCH("*"&amp;B84&amp;"*",Trials!C$3:C$50,0)),""))</f>
        <v/>
      </c>
      <c r="L84" s="199"/>
    </row>
    <row r="85" spans="1:12">
      <c r="A85" s="195"/>
      <c r="B85" s="152"/>
      <c r="C85" s="152"/>
      <c r="D85" s="152"/>
      <c r="E85" s="152"/>
      <c r="F85" s="152"/>
      <c r="G85" s="152"/>
      <c r="H85" s="152"/>
      <c r="I85" s="151" t="str">
        <f t="shared" si="2"/>
        <v/>
      </c>
      <c r="J85" s="152"/>
      <c r="K85" s="151" t="str">
        <f>IF(B85="","",IFERROR(INDEX(Trials!A$3:A$50,MATCH("*"&amp;B85&amp;"*",Trials!C$3:C$50,0)),""))</f>
        <v/>
      </c>
      <c r="L85" s="153"/>
    </row>
    <row r="86" spans="1:12">
      <c r="A86" s="197"/>
      <c r="B86" s="148"/>
      <c r="C86" s="148"/>
      <c r="D86" s="148"/>
      <c r="E86" s="148"/>
      <c r="F86" s="148"/>
      <c r="G86" s="148"/>
      <c r="H86" s="148"/>
      <c r="I86" s="147" t="str">
        <f t="shared" si="2"/>
        <v/>
      </c>
      <c r="J86" s="148"/>
      <c r="K86" s="147" t="str">
        <f>IF(B86="","",IFERROR(INDEX(Trials!A$3:A$50,MATCH("*"&amp;B86&amp;"*",Trials!C$3:C$50,0)),""))</f>
        <v/>
      </c>
      <c r="L86" s="199"/>
    </row>
    <row r="87" spans="1:12">
      <c r="A87" s="195"/>
      <c r="B87" s="152"/>
      <c r="C87" s="152"/>
      <c r="D87" s="152"/>
      <c r="E87" s="152"/>
      <c r="F87" s="152"/>
      <c r="G87" s="152"/>
      <c r="H87" s="152"/>
      <c r="I87" s="151" t="str">
        <f t="shared" si="2"/>
        <v/>
      </c>
      <c r="J87" s="152"/>
      <c r="K87" s="151" t="str">
        <f>IF(B87="","",IFERROR(INDEX(Trials!A$3:A$50,MATCH("*"&amp;B87&amp;"*",Trials!C$3:C$50,0)),""))</f>
        <v/>
      </c>
      <c r="L87" s="153"/>
    </row>
    <row r="88" spans="1:12">
      <c r="A88" s="197"/>
      <c r="B88" s="148"/>
      <c r="C88" s="148"/>
      <c r="D88" s="148"/>
      <c r="E88" s="148"/>
      <c r="F88" s="148"/>
      <c r="G88" s="148"/>
      <c r="H88" s="148"/>
      <c r="I88" s="147" t="str">
        <f t="shared" si="2"/>
        <v/>
      </c>
      <c r="J88" s="148"/>
      <c r="K88" s="147" t="str">
        <f>IF(B88="","",IFERROR(INDEX(Trials!A$3:A$50,MATCH("*"&amp;B88&amp;"*",Trials!C$3:C$50,0)),""))</f>
        <v/>
      </c>
      <c r="L88" s="199"/>
    </row>
    <row r="89" spans="1:12">
      <c r="A89" s="195"/>
      <c r="B89" s="152"/>
      <c r="C89" s="152"/>
      <c r="D89" s="152"/>
      <c r="E89" s="152"/>
      <c r="F89" s="152"/>
      <c r="G89" s="152"/>
      <c r="H89" s="152"/>
      <c r="I89" s="151" t="str">
        <f t="shared" si="2"/>
        <v/>
      </c>
      <c r="J89" s="152"/>
      <c r="K89" s="151" t="str">
        <f>IF(B89="","",IFERROR(INDEX(Trials!A$3:A$50,MATCH("*"&amp;B89&amp;"*",Trials!C$3:C$50,0)),""))</f>
        <v/>
      </c>
      <c r="L89" s="153"/>
    </row>
    <row r="90" spans="1:12">
      <c r="A90" s="197"/>
      <c r="B90" s="148"/>
      <c r="C90" s="148"/>
      <c r="D90" s="148"/>
      <c r="E90" s="148"/>
      <c r="F90" s="148"/>
      <c r="G90" s="148"/>
      <c r="H90" s="148"/>
      <c r="I90" s="147" t="str">
        <f t="shared" si="2"/>
        <v/>
      </c>
      <c r="J90" s="148"/>
      <c r="K90" s="147" t="str">
        <f>IF(B90="","",IFERROR(INDEX(Trials!A$3:A$50,MATCH("*"&amp;B90&amp;"*",Trials!C$3:C$50,0)),""))</f>
        <v/>
      </c>
      <c r="L90" s="199"/>
    </row>
    <row r="91" spans="1:12">
      <c r="A91" s="195"/>
      <c r="B91" s="152"/>
      <c r="C91" s="152"/>
      <c r="D91" s="152"/>
      <c r="E91" s="152"/>
      <c r="F91" s="152"/>
      <c r="G91" s="152"/>
      <c r="H91" s="152"/>
      <c r="I91" s="151" t="str">
        <f t="shared" si="2"/>
        <v/>
      </c>
      <c r="J91" s="152"/>
      <c r="K91" s="151" t="str">
        <f>IF(B91="","",IFERROR(INDEX(Trials!A$3:A$50,MATCH("*"&amp;B91&amp;"*",Trials!C$3:C$50,0)),""))</f>
        <v/>
      </c>
      <c r="L91" s="153"/>
    </row>
    <row r="92" spans="1:12">
      <c r="A92" s="197"/>
      <c r="B92" s="148"/>
      <c r="C92" s="148"/>
      <c r="D92" s="148"/>
      <c r="E92" s="148"/>
      <c r="F92" s="148"/>
      <c r="G92" s="148"/>
      <c r="H92" s="148"/>
      <c r="I92" s="147" t="str">
        <f t="shared" si="2"/>
        <v/>
      </c>
      <c r="J92" s="148"/>
      <c r="K92" s="147" t="str">
        <f>IF(B92="","",IFERROR(INDEX(Trials!A$3:A$50,MATCH("*"&amp;B92&amp;"*",Trials!C$3:C$50,0)),""))</f>
        <v/>
      </c>
      <c r="L92" s="199"/>
    </row>
    <row r="93" spans="1:12">
      <c r="A93" s="195"/>
      <c r="B93" s="152"/>
      <c r="C93" s="152"/>
      <c r="D93" s="152"/>
      <c r="E93" s="152"/>
      <c r="F93" s="152"/>
      <c r="G93" s="152"/>
      <c r="H93" s="152"/>
      <c r="I93" s="151" t="str">
        <f t="shared" si="2"/>
        <v/>
      </c>
      <c r="J93" s="152"/>
      <c r="K93" s="151" t="str">
        <f>IF(B93="","",IFERROR(INDEX(Trials!A$3:A$50,MATCH("*"&amp;B93&amp;"*",Trials!C$3:C$50,0)),""))</f>
        <v/>
      </c>
      <c r="L93" s="153"/>
    </row>
    <row r="94" spans="1:12">
      <c r="A94" s="197"/>
      <c r="B94" s="148"/>
      <c r="C94" s="148"/>
      <c r="D94" s="148"/>
      <c r="E94" s="148"/>
      <c r="F94" s="148"/>
      <c r="G94" s="148"/>
      <c r="H94" s="148"/>
      <c r="I94" s="147" t="str">
        <f t="shared" si="2"/>
        <v/>
      </c>
      <c r="J94" s="148"/>
      <c r="K94" s="147" t="str">
        <f>IF(B94="","",IFERROR(INDEX(Trials!A$3:A$50,MATCH("*"&amp;B94&amp;"*",Trials!C$3:C$50,0)),""))</f>
        <v/>
      </c>
      <c r="L94" s="199"/>
    </row>
    <row r="95" spans="1:12">
      <c r="A95" s="195"/>
      <c r="B95" s="152"/>
      <c r="C95" s="152"/>
      <c r="D95" s="152"/>
      <c r="E95" s="152"/>
      <c r="F95" s="152"/>
      <c r="G95" s="152"/>
      <c r="H95" s="152"/>
      <c r="I95" s="151" t="str">
        <f t="shared" si="2"/>
        <v/>
      </c>
      <c r="J95" s="152"/>
      <c r="K95" s="151" t="str">
        <f>IF(B95="","",IFERROR(INDEX(Trials!A$3:A$50,MATCH("*"&amp;B95&amp;"*",Trials!C$3:C$50,0)),""))</f>
        <v/>
      </c>
      <c r="L95" s="153"/>
    </row>
    <row r="96" spans="1:12">
      <c r="A96" s="197"/>
      <c r="B96" s="148"/>
      <c r="C96" s="148"/>
      <c r="D96" s="148"/>
      <c r="E96" s="148"/>
      <c r="F96" s="148"/>
      <c r="G96" s="148"/>
      <c r="H96" s="148"/>
      <c r="I96" s="147" t="str">
        <f t="shared" si="2"/>
        <v/>
      </c>
      <c r="J96" s="148"/>
      <c r="K96" s="147" t="str">
        <f>IF(B96="","",IFERROR(INDEX(Trials!A$3:A$50,MATCH("*"&amp;B96&amp;"*",Trials!C$3:C$50,0)),""))</f>
        <v/>
      </c>
      <c r="L96" s="199"/>
    </row>
    <row r="97" spans="1:12">
      <c r="A97" s="195"/>
      <c r="B97" s="152"/>
      <c r="C97" s="152"/>
      <c r="D97" s="152"/>
      <c r="E97" s="152"/>
      <c r="F97" s="152"/>
      <c r="G97" s="152"/>
      <c r="H97" s="152"/>
      <c r="I97" s="151" t="str">
        <f t="shared" si="2"/>
        <v/>
      </c>
      <c r="J97" s="152"/>
      <c r="K97" s="151" t="str">
        <f>IF(B97="","",IFERROR(INDEX(Trials!A$3:A$50,MATCH("*"&amp;B97&amp;"*",Trials!C$3:C$50,0)),""))</f>
        <v/>
      </c>
      <c r="L97" s="153"/>
    </row>
    <row r="98" spans="1:12">
      <c r="A98" s="197"/>
      <c r="B98" s="148"/>
      <c r="C98" s="148"/>
      <c r="D98" s="148"/>
      <c r="E98" s="148"/>
      <c r="F98" s="148"/>
      <c r="G98" s="148"/>
      <c r="H98" s="148"/>
      <c r="I98" s="147" t="str">
        <f t="shared" si="2"/>
        <v/>
      </c>
      <c r="J98" s="148"/>
      <c r="K98" s="147" t="str">
        <f>IF(B98="","",IFERROR(INDEX(Trials!A$3:A$50,MATCH("*"&amp;B98&amp;"*",Trials!C$3:C$50,0)),""))</f>
        <v/>
      </c>
      <c r="L98" s="199"/>
    </row>
    <row r="99" spans="1:12">
      <c r="A99" s="195"/>
      <c r="B99" s="152"/>
      <c r="C99" s="152"/>
      <c r="D99" s="152"/>
      <c r="E99" s="152"/>
      <c r="F99" s="152"/>
      <c r="G99" s="152"/>
      <c r="H99" s="152"/>
      <c r="I99" s="151" t="str">
        <f t="shared" si="2"/>
        <v/>
      </c>
      <c r="J99" s="152"/>
      <c r="K99" s="151" t="str">
        <f>IF(B99="","",IFERROR(INDEX(Trials!A$3:A$50,MATCH("*"&amp;B99&amp;"*",Trials!C$3:C$50,0)),""))</f>
        <v/>
      </c>
      <c r="L99" s="153"/>
    </row>
    <row r="100" ht="14.55" spans="1:12">
      <c r="A100" s="200"/>
      <c r="B100" s="202"/>
      <c r="C100" s="202"/>
      <c r="D100" s="202"/>
      <c r="E100" s="202"/>
      <c r="F100" s="202"/>
      <c r="G100" s="202"/>
      <c r="H100" s="202"/>
      <c r="I100" s="348" t="str">
        <f t="shared" si="2"/>
        <v/>
      </c>
      <c r="J100" s="202"/>
      <c r="K100" s="348" t="str">
        <f>IF(B100="","",IFERROR(INDEX(Trials!A$3:A$50,MATCH("*"&amp;B100&amp;"*",Trials!C$3:C$50,0)),""))</f>
        <v/>
      </c>
      <c r="L100" s="203"/>
    </row>
  </sheetData>
  <autoFilter xmlns:etc="http://www.wps.cn/officeDocument/2017/etCustomData" ref="A2:J100" etc:filterBottomFollowUsedRange="0">
    <extLst/>
  </autoFilter>
  <mergeCells count="1">
    <mergeCell ref="A1:L1"/>
  </mergeCells>
  <conditionalFormatting sqref="I3:I200">
    <cfRule type="cellIs" dxfId="1" priority="4" operator="equal">
      <formula>"0"</formula>
    </cfRule>
  </conditionalFormatting>
  <conditionalFormatting sqref="J3:J200">
    <cfRule type="cellIs" dxfId="1" priority="3" operator="equal">
      <formula>"该续费"</formula>
    </cfRule>
  </conditionalFormatting>
  <dataValidations count="2">
    <dataValidation type="list" allowBlank="1" sqref="A3:A100">
      <formula1>"STU-01,STU-02,STU-03,STU-04,STU-05,STU-06,STU-07,STU-08,STU-09,STU-10"</formula1>
    </dataValidation>
    <dataValidation type="whole" operator="between" allowBlank="1" showErrorMessage="1" errorTitle="Check" error="Used credits look off — please verify." sqref="H3:H100">
      <formula1>0</formula1>
      <formula2>100</formula2>
    </dataValidation>
  </dataValidations>
  <pageMargins left="0.75" right="0.75" top="1" bottom="1" header="0.5" footer="0.5"/>
  <pageSetup paperSize="1" scale="58" fitToHeight="0" orientation="landscape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A3D"/>
    <pageSetUpPr fitToPage="1"/>
  </sheetPr>
  <dimension ref="A1:M100"/>
  <sheetViews>
    <sheetView showGridLines="0" workbookViewId="0">
      <pane ySplit="2" topLeftCell="A3" activePane="bottomLeft" state="frozen"/>
      <selection/>
      <selection pane="bottomLeft" activeCell="M1" sqref="M1"/>
    </sheetView>
  </sheetViews>
  <sheetFormatPr defaultColWidth="9" defaultRowHeight="13.8"/>
  <cols>
    <col min="1" max="1" width="10" style="1" customWidth="1"/>
    <col min="2" max="3" width="13" style="1" customWidth="1"/>
    <col min="4" max="4" width="12" style="1" customWidth="1"/>
    <col min="5" max="5" width="14" style="1" customWidth="1"/>
    <col min="6" max="6" width="7" style="1" customWidth="1"/>
    <col min="7" max="7" width="13" style="1" customWidth="1"/>
    <col min="8" max="8" width="18" style="1" customWidth="1"/>
    <col min="9" max="9" width="12" style="1" customWidth="1"/>
    <col min="10" max="10" width="13" style="1" customWidth="1"/>
    <col min="11" max="11" width="14" style="1" customWidth="1"/>
    <col min="12" max="12" width="14" style="328" customWidth="1"/>
    <col min="13" max="16384" width="4" style="1" customWidth="1"/>
  </cols>
  <sheetData>
    <row r="1" ht="30" customHeight="1" spans="1:13">
      <c r="A1" s="181" t="s">
        <v>126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46" t="str">
        <f>HYPERLINK("#'Cover'!A1","←")</f>
        <v>←</v>
      </c>
    </row>
    <row r="2" ht="30" customHeight="1" spans="1:13">
      <c r="A2" s="6" t="s">
        <v>127</v>
      </c>
      <c r="B2" s="7" t="s">
        <v>128</v>
      </c>
      <c r="C2" s="7" t="s">
        <v>129</v>
      </c>
      <c r="D2" s="7" t="s">
        <v>102</v>
      </c>
      <c r="E2" s="7" t="s">
        <v>130</v>
      </c>
      <c r="F2" s="7" t="s">
        <v>131</v>
      </c>
      <c r="G2" s="7" t="s">
        <v>132</v>
      </c>
      <c r="H2" s="7" t="s">
        <v>133</v>
      </c>
      <c r="I2" s="7" t="s">
        <v>134</v>
      </c>
      <c r="J2" s="7" t="s">
        <v>135</v>
      </c>
      <c r="K2" s="7" t="s">
        <v>136</v>
      </c>
      <c r="L2" s="8" t="s">
        <v>137</v>
      </c>
    </row>
    <row r="3" spans="1:13">
      <c r="A3" s="119" t="s">
        <v>138</v>
      </c>
      <c r="B3" s="261" t="s">
        <v>139</v>
      </c>
      <c r="C3" s="261" t="s">
        <v>140</v>
      </c>
      <c r="D3" s="261" t="s">
        <v>113</v>
      </c>
      <c r="E3" s="261" t="s">
        <v>141</v>
      </c>
      <c r="F3" s="261" t="s">
        <v>142</v>
      </c>
      <c r="G3" s="261" t="s">
        <v>143</v>
      </c>
      <c r="H3" s="261" t="s">
        <v>144</v>
      </c>
      <c r="L3" s="329"/>
    </row>
    <row r="4" ht="234.6" spans="1:13">
      <c r="A4" s="116" t="s">
        <v>145</v>
      </c>
      <c r="B4" s="122" t="s">
        <v>146</v>
      </c>
      <c r="C4" s="122" t="s">
        <v>82</v>
      </c>
      <c r="D4" s="122" t="s">
        <v>82</v>
      </c>
      <c r="E4" s="122" t="s">
        <v>147</v>
      </c>
      <c r="F4" s="122" t="s">
        <v>148</v>
      </c>
      <c r="G4" s="122" t="s">
        <v>149</v>
      </c>
      <c r="H4" s="122" t="s">
        <v>150</v>
      </c>
      <c r="I4" s="330" t="s">
        <v>82</v>
      </c>
      <c r="J4" s="170"/>
      <c r="K4" s="122" t="s">
        <v>151</v>
      </c>
      <c r="L4" s="331" t="str">
        <f>IF(F4="Yes",IFERROR(VLOOKUP("C1",Scripts!A$3:D$60,3,FALSE),""),"")</f>
        <v>You're warmly invited: our end-of-term mini exhibition opens Saturday afternoon, and [child] has work in it. Come hear them talk it through for five minutes — grandparents very welcome too. Afterwards, come upstairs and see the studio.</v>
      </c>
    </row>
    <row r="5" spans="1:13">
      <c r="A5" s="172"/>
      <c r="B5" s="173"/>
      <c r="C5" s="173"/>
      <c r="D5" s="173"/>
      <c r="E5" s="173"/>
      <c r="F5" s="173"/>
      <c r="G5" s="173"/>
      <c r="H5" s="173"/>
      <c r="I5" s="332"/>
      <c r="J5" s="173"/>
      <c r="K5" s="173"/>
      <c r="L5" s="333" t="str">
        <f>IF(F5="Yes",IFERROR(VLOOKUP("C1",Scripts!A$3:D$60,3,FALSE),""),"")</f>
        <v/>
      </c>
    </row>
    <row r="6" spans="1:13">
      <c r="A6" s="169"/>
      <c r="B6" s="170"/>
      <c r="C6" s="170"/>
      <c r="D6" s="170"/>
      <c r="E6" s="170"/>
      <c r="F6" s="170"/>
      <c r="G6" s="170"/>
      <c r="H6" s="170"/>
      <c r="I6" s="334"/>
      <c r="J6" s="170"/>
      <c r="K6" s="170"/>
      <c r="L6" s="331" t="str">
        <f>IF(F6="Yes",IFERROR(VLOOKUP("C1",Scripts!A$3:D$60,3,FALSE),""),"")</f>
        <v/>
      </c>
    </row>
    <row r="7" spans="1:13">
      <c r="A7" s="172"/>
      <c r="B7" s="173"/>
      <c r="C7" s="173"/>
      <c r="D7" s="173"/>
      <c r="E7" s="173"/>
      <c r="F7" s="173"/>
      <c r="G7" s="173"/>
      <c r="H7" s="173"/>
      <c r="I7" s="332"/>
      <c r="J7" s="173"/>
      <c r="K7" s="173"/>
      <c r="L7" s="333" t="str">
        <f>IF(F7="Yes",IFERROR(VLOOKUP("C1",Scripts!A$3:D$60,3,FALSE),""),"")</f>
        <v/>
      </c>
    </row>
    <row r="8" spans="1:13">
      <c r="A8" s="169"/>
      <c r="B8" s="170"/>
      <c r="C8" s="170"/>
      <c r="D8" s="170"/>
      <c r="E8" s="170"/>
      <c r="F8" s="170"/>
      <c r="G8" s="170"/>
      <c r="H8" s="170"/>
      <c r="I8" s="334"/>
      <c r="J8" s="170"/>
      <c r="K8" s="170"/>
      <c r="L8" s="331" t="str">
        <f>IF(F8="Yes",IFERROR(VLOOKUP("C1",Scripts!A$3:D$60,3,FALSE),""),"")</f>
        <v/>
      </c>
    </row>
    <row r="9" spans="1:13">
      <c r="A9" s="172"/>
      <c r="B9" s="173"/>
      <c r="C9" s="173"/>
      <c r="D9" s="173"/>
      <c r="E9" s="173"/>
      <c r="F9" s="173"/>
      <c r="G9" s="173"/>
      <c r="H9" s="173"/>
      <c r="I9" s="332"/>
      <c r="J9" s="173"/>
      <c r="K9" s="173"/>
      <c r="L9" s="333" t="str">
        <f>IF(F9="Yes",IFERROR(VLOOKUP("C1",Scripts!A$3:D$60,3,FALSE),""),"")</f>
        <v/>
      </c>
    </row>
    <row r="10" spans="1:13">
      <c r="A10" s="169"/>
      <c r="B10" s="170"/>
      <c r="C10" s="170"/>
      <c r="D10" s="170"/>
      <c r="E10" s="170"/>
      <c r="F10" s="170"/>
      <c r="G10" s="170"/>
      <c r="H10" s="170"/>
      <c r="I10" s="334"/>
      <c r="J10" s="170"/>
      <c r="K10" s="170"/>
      <c r="L10" s="331" t="str">
        <f>IF(F10="Yes",IFERROR(VLOOKUP("C1",Scripts!A$3:D$60,3,FALSE),""),"")</f>
        <v/>
      </c>
    </row>
    <row r="11" spans="1:13">
      <c r="A11" s="172"/>
      <c r="B11" s="173"/>
      <c r="C11" s="173"/>
      <c r="D11" s="173"/>
      <c r="E11" s="173"/>
      <c r="F11" s="173"/>
      <c r="G11" s="173"/>
      <c r="H11" s="173"/>
      <c r="I11" s="332"/>
      <c r="J11" s="173"/>
      <c r="K11" s="173"/>
      <c r="L11" s="333" t="str">
        <f>IF(F11="Yes",IFERROR(VLOOKUP("C1",Scripts!A$3:D$60,3,FALSE),""),"")</f>
        <v/>
      </c>
    </row>
    <row r="12" spans="1:13">
      <c r="A12" s="169"/>
      <c r="B12" s="170"/>
      <c r="C12" s="170"/>
      <c r="D12" s="170"/>
      <c r="E12" s="170"/>
      <c r="F12" s="170"/>
      <c r="G12" s="170"/>
      <c r="H12" s="170"/>
      <c r="I12" s="334"/>
      <c r="J12" s="170"/>
      <c r="K12" s="170"/>
      <c r="L12" s="331" t="str">
        <f>IF(F12="Yes",IFERROR(VLOOKUP("C1",Scripts!A$3:D$60,3,FALSE),""),"")</f>
        <v/>
      </c>
    </row>
    <row r="13" spans="1:13">
      <c r="A13" s="172"/>
      <c r="B13" s="173"/>
      <c r="C13" s="173"/>
      <c r="D13" s="173"/>
      <c r="E13" s="173"/>
      <c r="F13" s="173"/>
      <c r="G13" s="173"/>
      <c r="H13" s="173"/>
      <c r="I13" s="332"/>
      <c r="J13" s="173"/>
      <c r="K13" s="173"/>
      <c r="L13" s="333" t="str">
        <f>IF(F13="Yes",IFERROR(VLOOKUP("C1",Scripts!A$3:D$60,3,FALSE),""),"")</f>
        <v/>
      </c>
    </row>
    <row r="14" spans="1:13">
      <c r="A14" s="169"/>
      <c r="B14" s="170"/>
      <c r="C14" s="170"/>
      <c r="D14" s="170"/>
      <c r="E14" s="170"/>
      <c r="F14" s="170"/>
      <c r="G14" s="170"/>
      <c r="H14" s="170"/>
      <c r="I14" s="334"/>
      <c r="J14" s="170"/>
      <c r="K14" s="170"/>
      <c r="L14" s="331" t="str">
        <f>IF(F14="Yes",IFERROR(VLOOKUP("C1",Scripts!A$3:D$60,3,FALSE),""),"")</f>
        <v/>
      </c>
    </row>
    <row r="15" spans="1:13">
      <c r="A15" s="172"/>
      <c r="B15" s="173"/>
      <c r="C15" s="173"/>
      <c r="D15" s="173"/>
      <c r="E15" s="173"/>
      <c r="F15" s="173"/>
      <c r="G15" s="173"/>
      <c r="H15" s="173"/>
      <c r="I15" s="332"/>
      <c r="J15" s="173"/>
      <c r="K15" s="173"/>
      <c r="L15" s="333" t="str">
        <f>IF(F15="Yes",IFERROR(VLOOKUP("C1",Scripts!A$3:D$60,3,FALSE),""),"")</f>
        <v/>
      </c>
    </row>
    <row r="16" spans="1:13">
      <c r="A16" s="169"/>
      <c r="B16" s="170"/>
      <c r="C16" s="170"/>
      <c r="D16" s="170"/>
      <c r="E16" s="170"/>
      <c r="F16" s="170"/>
      <c r="G16" s="170"/>
      <c r="H16" s="170"/>
      <c r="I16" s="334"/>
      <c r="J16" s="170"/>
      <c r="K16" s="170"/>
      <c r="L16" s="331" t="str">
        <f>IF(F16="Yes",IFERROR(VLOOKUP("C1",Scripts!A$3:D$60,3,FALSE),""),"")</f>
        <v/>
      </c>
    </row>
    <row r="17" spans="1:12">
      <c r="A17" s="172"/>
      <c r="B17" s="173"/>
      <c r="C17" s="173"/>
      <c r="D17" s="173"/>
      <c r="E17" s="173"/>
      <c r="F17" s="173"/>
      <c r="G17" s="173"/>
      <c r="H17" s="173"/>
      <c r="I17" s="332"/>
      <c r="J17" s="173"/>
      <c r="K17" s="173"/>
      <c r="L17" s="333" t="str">
        <f>IF(F17="Yes",IFERROR(VLOOKUP("C1",Scripts!A$3:D$60,3,FALSE),""),"")</f>
        <v/>
      </c>
    </row>
    <row r="18" spans="1:12">
      <c r="A18" s="169"/>
      <c r="B18" s="170"/>
      <c r="C18" s="170"/>
      <c r="D18" s="170"/>
      <c r="E18" s="170"/>
      <c r="F18" s="170"/>
      <c r="G18" s="170"/>
      <c r="H18" s="170"/>
      <c r="I18" s="334"/>
      <c r="J18" s="170"/>
      <c r="K18" s="170"/>
      <c r="L18" s="331" t="str">
        <f>IF(F18="Yes",IFERROR(VLOOKUP("C1",Scripts!A$3:D$60,3,FALSE),""),"")</f>
        <v/>
      </c>
    </row>
    <row r="19" spans="1:12">
      <c r="A19" s="172"/>
      <c r="B19" s="173"/>
      <c r="C19" s="173"/>
      <c r="D19" s="173"/>
      <c r="E19" s="173"/>
      <c r="F19" s="173"/>
      <c r="G19" s="173"/>
      <c r="H19" s="173"/>
      <c r="I19" s="332"/>
      <c r="J19" s="173"/>
      <c r="K19" s="173"/>
      <c r="L19" s="333" t="str">
        <f>IF(F19="Yes",IFERROR(VLOOKUP("C1",Scripts!A$3:D$60,3,FALSE),""),"")</f>
        <v/>
      </c>
    </row>
    <row r="20" spans="1:12">
      <c r="A20" s="169"/>
      <c r="B20" s="170"/>
      <c r="C20" s="170"/>
      <c r="D20" s="170"/>
      <c r="E20" s="170"/>
      <c r="F20" s="170"/>
      <c r="G20" s="170"/>
      <c r="H20" s="170"/>
      <c r="I20" s="334"/>
      <c r="J20" s="170"/>
      <c r="K20" s="170"/>
      <c r="L20" s="331" t="str">
        <f>IF(F20="Yes",IFERROR(VLOOKUP("C1",Scripts!A$3:D$60,3,FALSE),""),"")</f>
        <v/>
      </c>
    </row>
    <row r="21" spans="1:12">
      <c r="A21" s="172"/>
      <c r="B21" s="173"/>
      <c r="C21" s="173"/>
      <c r="D21" s="173"/>
      <c r="E21" s="173"/>
      <c r="F21" s="173"/>
      <c r="G21" s="173"/>
      <c r="H21" s="173"/>
      <c r="I21" s="332"/>
      <c r="J21" s="173"/>
      <c r="K21" s="173"/>
      <c r="L21" s="333" t="str">
        <f>IF(F21="Yes",IFERROR(VLOOKUP("C1",Scripts!A$3:D$60,3,FALSE),""),"")</f>
        <v/>
      </c>
    </row>
    <row r="22" spans="1:12">
      <c r="A22" s="169"/>
      <c r="B22" s="170"/>
      <c r="C22" s="170"/>
      <c r="D22" s="170"/>
      <c r="E22" s="170"/>
      <c r="F22" s="170"/>
      <c r="G22" s="170"/>
      <c r="H22" s="170"/>
      <c r="I22" s="334"/>
      <c r="J22" s="170"/>
      <c r="K22" s="170"/>
      <c r="L22" s="331" t="str">
        <f>IF(F22="Yes",IFERROR(VLOOKUP("C1",Scripts!A$3:D$60,3,FALSE),""),"")</f>
        <v/>
      </c>
    </row>
    <row r="23" spans="1:12">
      <c r="A23" s="172"/>
      <c r="B23" s="173"/>
      <c r="C23" s="173"/>
      <c r="D23" s="173"/>
      <c r="E23" s="173"/>
      <c r="F23" s="173"/>
      <c r="G23" s="173"/>
      <c r="H23" s="173"/>
      <c r="I23" s="332"/>
      <c r="J23" s="173"/>
      <c r="K23" s="173"/>
      <c r="L23" s="333" t="str">
        <f>IF(F23="Yes",IFERROR(VLOOKUP("C1",Scripts!A$3:D$60,3,FALSE),""),"")</f>
        <v/>
      </c>
    </row>
    <row r="24" spans="1:12">
      <c r="A24" s="169"/>
      <c r="B24" s="170"/>
      <c r="C24" s="170"/>
      <c r="D24" s="170"/>
      <c r="E24" s="170"/>
      <c r="F24" s="170"/>
      <c r="G24" s="170"/>
      <c r="H24" s="170"/>
      <c r="I24" s="334"/>
      <c r="J24" s="170"/>
      <c r="K24" s="170"/>
      <c r="L24" s="331" t="str">
        <f>IF(F24="Yes",IFERROR(VLOOKUP("C1",Scripts!A$3:D$60,3,FALSE),""),"")</f>
        <v/>
      </c>
    </row>
    <row r="25" spans="1:12">
      <c r="A25" s="172"/>
      <c r="B25" s="173"/>
      <c r="C25" s="173"/>
      <c r="D25" s="173"/>
      <c r="E25" s="173"/>
      <c r="F25" s="173"/>
      <c r="G25" s="173"/>
      <c r="H25" s="173"/>
      <c r="I25" s="332"/>
      <c r="J25" s="173"/>
      <c r="K25" s="173"/>
      <c r="L25" s="333" t="str">
        <f>IF(F25="Yes",IFERROR(VLOOKUP("C1",Scripts!A$3:D$60,3,FALSE),""),"")</f>
        <v/>
      </c>
    </row>
    <row r="26" spans="1:12">
      <c r="A26" s="169"/>
      <c r="B26" s="170"/>
      <c r="C26" s="170"/>
      <c r="D26" s="170"/>
      <c r="E26" s="170"/>
      <c r="F26" s="170"/>
      <c r="G26" s="170"/>
      <c r="H26" s="170"/>
      <c r="I26" s="334"/>
      <c r="J26" s="170"/>
      <c r="K26" s="170"/>
      <c r="L26" s="331" t="str">
        <f>IF(F26="Yes",IFERROR(VLOOKUP("C1",Scripts!A$3:D$60,3,FALSE),""),"")</f>
        <v/>
      </c>
    </row>
    <row r="27" spans="1:12">
      <c r="A27" s="172"/>
      <c r="B27" s="173"/>
      <c r="C27" s="173"/>
      <c r="D27" s="173"/>
      <c r="E27" s="173"/>
      <c r="F27" s="173"/>
      <c r="G27" s="173"/>
      <c r="H27" s="173"/>
      <c r="I27" s="332"/>
      <c r="J27" s="173"/>
      <c r="K27" s="173"/>
      <c r="L27" s="333" t="str">
        <f>IF(F27="Yes",IFERROR(VLOOKUP("C1",Scripts!A$3:D$60,3,FALSE),""),"")</f>
        <v/>
      </c>
    </row>
    <row r="28" spans="1:12">
      <c r="A28" s="169"/>
      <c r="B28" s="170"/>
      <c r="C28" s="170"/>
      <c r="D28" s="170"/>
      <c r="E28" s="170"/>
      <c r="F28" s="170"/>
      <c r="G28" s="170"/>
      <c r="H28" s="170"/>
      <c r="I28" s="334"/>
      <c r="J28" s="170"/>
      <c r="K28" s="170"/>
      <c r="L28" s="331" t="str">
        <f>IF(F28="Yes",IFERROR(VLOOKUP("C1",Scripts!A$3:D$60,3,FALSE),""),"")</f>
        <v/>
      </c>
    </row>
    <row r="29" spans="1:12">
      <c r="A29" s="172"/>
      <c r="B29" s="173"/>
      <c r="C29" s="173"/>
      <c r="D29" s="173"/>
      <c r="E29" s="173"/>
      <c r="F29" s="173"/>
      <c r="G29" s="173"/>
      <c r="H29" s="173"/>
      <c r="I29" s="332"/>
      <c r="J29" s="173"/>
      <c r="K29" s="173"/>
      <c r="L29" s="333" t="str">
        <f>IF(F29="Yes",IFERROR(VLOOKUP("C1",Scripts!A$3:D$60,3,FALSE),""),"")</f>
        <v/>
      </c>
    </row>
    <row r="30" spans="1:12">
      <c r="A30" s="169"/>
      <c r="B30" s="170"/>
      <c r="C30" s="170"/>
      <c r="D30" s="170"/>
      <c r="E30" s="170"/>
      <c r="F30" s="170"/>
      <c r="G30" s="170"/>
      <c r="H30" s="170"/>
      <c r="I30" s="334"/>
      <c r="J30" s="170"/>
      <c r="K30" s="170"/>
      <c r="L30" s="331" t="str">
        <f>IF(F30="Yes",IFERROR(VLOOKUP("C1",Scripts!A$3:D$60,3,FALSE),""),"")</f>
        <v/>
      </c>
    </row>
    <row r="31" spans="1:12">
      <c r="A31" s="172"/>
      <c r="B31" s="173"/>
      <c r="C31" s="173"/>
      <c r="D31" s="173"/>
      <c r="E31" s="173"/>
      <c r="F31" s="173"/>
      <c r="G31" s="173"/>
      <c r="H31" s="173"/>
      <c r="I31" s="332"/>
      <c r="J31" s="173"/>
      <c r="K31" s="173"/>
      <c r="L31" s="333" t="str">
        <f>IF(F31="Yes",IFERROR(VLOOKUP("C1",Scripts!A$3:D$60,3,FALSE),""),"")</f>
        <v/>
      </c>
    </row>
    <row r="32" spans="1:12">
      <c r="A32" s="169"/>
      <c r="B32" s="170"/>
      <c r="C32" s="170"/>
      <c r="D32" s="170"/>
      <c r="E32" s="170"/>
      <c r="F32" s="170"/>
      <c r="G32" s="170"/>
      <c r="H32" s="170"/>
      <c r="I32" s="334"/>
      <c r="J32" s="170"/>
      <c r="K32" s="170"/>
      <c r="L32" s="331" t="str">
        <f>IF(F32="Yes",IFERROR(VLOOKUP("C1",Scripts!A$3:D$60,3,FALSE),""),"")</f>
        <v/>
      </c>
    </row>
    <row r="33" spans="1:12">
      <c r="A33" s="335"/>
      <c r="B33" s="336"/>
      <c r="C33" s="336"/>
      <c r="D33" s="336"/>
      <c r="E33" s="336"/>
      <c r="F33" s="336"/>
      <c r="G33" s="336"/>
      <c r="H33" s="336"/>
      <c r="I33" s="337"/>
      <c r="J33" s="336"/>
      <c r="K33" s="336"/>
      <c r="L33" s="333" t="str">
        <f>IF(F33="Yes",IFERROR(VLOOKUP("C1",Scripts!A$3:D$60,3,FALSE),""),"")</f>
        <v/>
      </c>
    </row>
    <row r="34" spans="1:12">
      <c r="A34" s="338"/>
      <c r="B34" s="339"/>
      <c r="C34" s="339"/>
      <c r="D34" s="339"/>
      <c r="E34" s="339"/>
      <c r="F34" s="339"/>
      <c r="G34" s="339"/>
      <c r="H34" s="339"/>
      <c r="I34" s="340"/>
      <c r="J34" s="339"/>
      <c r="K34" s="339"/>
      <c r="L34" s="331" t="str">
        <f>IF(F34="Yes",IFERROR(VLOOKUP("C1",Scripts!A$3:D$60,3,FALSE),""),"")</f>
        <v/>
      </c>
    </row>
    <row r="35" spans="1:12">
      <c r="A35" s="335"/>
      <c r="B35" s="336"/>
      <c r="C35" s="336"/>
      <c r="D35" s="336"/>
      <c r="E35" s="336"/>
      <c r="F35" s="336"/>
      <c r="G35" s="336"/>
      <c r="H35" s="336"/>
      <c r="I35" s="337"/>
      <c r="J35" s="336"/>
      <c r="K35" s="336"/>
      <c r="L35" s="333" t="str">
        <f>IF(F35="Yes",IFERROR(VLOOKUP("C1",Scripts!A$3:D$60,3,FALSE),""),"")</f>
        <v/>
      </c>
    </row>
    <row r="36" spans="1:12">
      <c r="A36" s="338"/>
      <c r="B36" s="339"/>
      <c r="C36" s="339"/>
      <c r="D36" s="339"/>
      <c r="E36" s="339"/>
      <c r="F36" s="339"/>
      <c r="G36" s="339"/>
      <c r="H36" s="339"/>
      <c r="I36" s="340"/>
      <c r="J36" s="339"/>
      <c r="K36" s="339"/>
      <c r="L36" s="331" t="str">
        <f>IF(F36="Yes",IFERROR(VLOOKUP("C1",Scripts!A$3:D$60,3,FALSE),""),"")</f>
        <v/>
      </c>
    </row>
    <row r="37" spans="1:12">
      <c r="A37" s="335"/>
      <c r="B37" s="336"/>
      <c r="C37" s="336"/>
      <c r="D37" s="336"/>
      <c r="E37" s="336"/>
      <c r="F37" s="336"/>
      <c r="G37" s="336"/>
      <c r="H37" s="336"/>
      <c r="I37" s="337"/>
      <c r="J37" s="336"/>
      <c r="K37" s="336"/>
      <c r="L37" s="333" t="str">
        <f>IF(F37="Yes",IFERROR(VLOOKUP("C1",Scripts!A$3:D$60,3,FALSE),""),"")</f>
        <v/>
      </c>
    </row>
    <row r="38" spans="1:12">
      <c r="A38" s="338"/>
      <c r="B38" s="339"/>
      <c r="C38" s="339"/>
      <c r="D38" s="339"/>
      <c r="E38" s="339"/>
      <c r="F38" s="339"/>
      <c r="G38" s="339"/>
      <c r="H38" s="339"/>
      <c r="I38" s="340"/>
      <c r="J38" s="339"/>
      <c r="K38" s="339"/>
      <c r="L38" s="331" t="str">
        <f>IF(F38="Yes",IFERROR(VLOOKUP("C1",Scripts!A$3:D$60,3,FALSE),""),"")</f>
        <v/>
      </c>
    </row>
    <row r="39" spans="1:12">
      <c r="A39" s="335"/>
      <c r="B39" s="336"/>
      <c r="C39" s="336"/>
      <c r="D39" s="336"/>
      <c r="E39" s="336"/>
      <c r="F39" s="336"/>
      <c r="G39" s="336"/>
      <c r="H39" s="336"/>
      <c r="I39" s="337"/>
      <c r="J39" s="336"/>
      <c r="K39" s="336"/>
      <c r="L39" s="333" t="str">
        <f>IF(F39="Yes",IFERROR(VLOOKUP("C1",Scripts!A$3:D$60,3,FALSE),""),"")</f>
        <v/>
      </c>
    </row>
    <row r="40" spans="1:12">
      <c r="A40" s="338"/>
      <c r="B40" s="339"/>
      <c r="C40" s="339"/>
      <c r="D40" s="339"/>
      <c r="E40" s="339"/>
      <c r="F40" s="339"/>
      <c r="G40" s="339"/>
      <c r="H40" s="339"/>
      <c r="I40" s="340"/>
      <c r="J40" s="339"/>
      <c r="K40" s="339"/>
      <c r="L40" s="331" t="str">
        <f>IF(F40="Yes",IFERROR(VLOOKUP("C1",Scripts!A$3:D$60,3,FALSE),""),"")</f>
        <v/>
      </c>
    </row>
    <row r="41" spans="1:12">
      <c r="A41" s="335"/>
      <c r="B41" s="336"/>
      <c r="C41" s="336"/>
      <c r="D41" s="336"/>
      <c r="E41" s="336"/>
      <c r="F41" s="336"/>
      <c r="G41" s="336"/>
      <c r="H41" s="336"/>
      <c r="I41" s="337"/>
      <c r="J41" s="336"/>
      <c r="K41" s="336"/>
      <c r="L41" s="333" t="str">
        <f>IF(F41="Yes",IFERROR(VLOOKUP("C1",Scripts!A$3:D$60,3,FALSE),""),"")</f>
        <v/>
      </c>
    </row>
    <row r="42" spans="1:12">
      <c r="A42" s="338"/>
      <c r="B42" s="339"/>
      <c r="C42" s="339"/>
      <c r="D42" s="339"/>
      <c r="E42" s="339"/>
      <c r="F42" s="339"/>
      <c r="G42" s="339"/>
      <c r="H42" s="339"/>
      <c r="I42" s="340"/>
      <c r="J42" s="339"/>
      <c r="K42" s="339"/>
      <c r="L42" s="331" t="str">
        <f>IF(F42="Yes",IFERROR(VLOOKUP("C1",Scripts!A$3:D$60,3,FALSE),""),"")</f>
        <v/>
      </c>
    </row>
    <row r="43" spans="1:12">
      <c r="A43" s="335"/>
      <c r="B43" s="336"/>
      <c r="C43" s="336"/>
      <c r="D43" s="336"/>
      <c r="E43" s="336"/>
      <c r="F43" s="336"/>
      <c r="G43" s="336"/>
      <c r="H43" s="336"/>
      <c r="I43" s="337"/>
      <c r="J43" s="336"/>
      <c r="K43" s="336"/>
      <c r="L43" s="333" t="str">
        <f>IF(F43="Yes",IFERROR(VLOOKUP("C1",Scripts!A$3:D$60,3,FALSE),""),"")</f>
        <v/>
      </c>
    </row>
    <row r="44" spans="1:12">
      <c r="A44" s="338"/>
      <c r="B44" s="339"/>
      <c r="C44" s="339"/>
      <c r="D44" s="339"/>
      <c r="E44" s="339"/>
      <c r="F44" s="339"/>
      <c r="G44" s="339"/>
      <c r="H44" s="339"/>
      <c r="I44" s="340"/>
      <c r="J44" s="339"/>
      <c r="K44" s="339"/>
      <c r="L44" s="331" t="str">
        <f>IF(F44="Yes",IFERROR(VLOOKUP("C1",Scripts!A$3:D$60,3,FALSE),""),"")</f>
        <v/>
      </c>
    </row>
    <row r="45" spans="1:12">
      <c r="A45" s="335"/>
      <c r="B45" s="336"/>
      <c r="C45" s="336"/>
      <c r="D45" s="336"/>
      <c r="E45" s="336"/>
      <c r="F45" s="336"/>
      <c r="G45" s="336"/>
      <c r="H45" s="336"/>
      <c r="I45" s="337"/>
      <c r="J45" s="336"/>
      <c r="K45" s="336"/>
      <c r="L45" s="333" t="str">
        <f>IF(F45="Yes",IFERROR(VLOOKUP("C1",Scripts!A$3:D$60,3,FALSE),""),"")</f>
        <v/>
      </c>
    </row>
    <row r="46" spans="1:12">
      <c r="A46" s="338"/>
      <c r="B46" s="339"/>
      <c r="C46" s="339"/>
      <c r="D46" s="339"/>
      <c r="E46" s="339"/>
      <c r="F46" s="339"/>
      <c r="G46" s="339"/>
      <c r="H46" s="339"/>
      <c r="I46" s="340"/>
      <c r="J46" s="339"/>
      <c r="K46" s="339"/>
      <c r="L46" s="331" t="str">
        <f>IF(F46="Yes",IFERROR(VLOOKUP("C1",Scripts!A$3:D$60,3,FALSE),""),"")</f>
        <v/>
      </c>
    </row>
    <row r="47" spans="1:12">
      <c r="A47" s="335"/>
      <c r="B47" s="336"/>
      <c r="C47" s="336"/>
      <c r="D47" s="336"/>
      <c r="E47" s="336"/>
      <c r="F47" s="336"/>
      <c r="G47" s="336"/>
      <c r="H47" s="336"/>
      <c r="I47" s="337"/>
      <c r="J47" s="336"/>
      <c r="K47" s="336"/>
      <c r="L47" s="333" t="str">
        <f>IF(F47="Yes",IFERROR(VLOOKUP("C1",Scripts!A$3:D$60,3,FALSE),""),"")</f>
        <v/>
      </c>
    </row>
    <row r="48" spans="1:12">
      <c r="A48" s="338"/>
      <c r="B48" s="339"/>
      <c r="C48" s="339"/>
      <c r="D48" s="339"/>
      <c r="E48" s="339"/>
      <c r="F48" s="339"/>
      <c r="G48" s="339"/>
      <c r="H48" s="339"/>
      <c r="I48" s="340"/>
      <c r="J48" s="339"/>
      <c r="K48" s="339"/>
      <c r="L48" s="331" t="str">
        <f>IF(F48="Yes",IFERROR(VLOOKUP("C1",Scripts!A$3:D$60,3,FALSE),""),"")</f>
        <v/>
      </c>
    </row>
    <row r="49" spans="1:12">
      <c r="A49" s="335"/>
      <c r="B49" s="336"/>
      <c r="C49" s="336"/>
      <c r="D49" s="336"/>
      <c r="E49" s="336"/>
      <c r="F49" s="336"/>
      <c r="G49" s="336"/>
      <c r="H49" s="336"/>
      <c r="I49" s="337"/>
      <c r="J49" s="336"/>
      <c r="K49" s="336"/>
      <c r="L49" s="333" t="str">
        <f>IF(F49="Yes",IFERROR(VLOOKUP("C1",Scripts!A$3:D$60,3,FALSE),""),"")</f>
        <v/>
      </c>
    </row>
    <row r="50" spans="1:12">
      <c r="A50" s="338"/>
      <c r="B50" s="339"/>
      <c r="C50" s="339"/>
      <c r="D50" s="339"/>
      <c r="E50" s="339"/>
      <c r="F50" s="339"/>
      <c r="G50" s="339"/>
      <c r="H50" s="339"/>
      <c r="I50" s="340"/>
      <c r="J50" s="339"/>
      <c r="K50" s="339"/>
      <c r="L50" s="331" t="str">
        <f>IF(F50="Yes",IFERROR(VLOOKUP("C1",Scripts!A$3:D$60,3,FALSE),""),"")</f>
        <v/>
      </c>
    </row>
    <row r="51" spans="1:12">
      <c r="A51" s="335"/>
      <c r="B51" s="336"/>
      <c r="C51" s="336"/>
      <c r="D51" s="336"/>
      <c r="E51" s="336"/>
      <c r="F51" s="336"/>
      <c r="G51" s="336"/>
      <c r="H51" s="336"/>
      <c r="I51" s="337"/>
      <c r="J51" s="336"/>
      <c r="K51" s="336"/>
      <c r="L51" s="333" t="str">
        <f>IF(F51="Yes",IFERROR(VLOOKUP("C1",Scripts!A$3:D$60,3,FALSE),""),"")</f>
        <v/>
      </c>
    </row>
    <row r="52" spans="1:12">
      <c r="A52" s="338"/>
      <c r="B52" s="339"/>
      <c r="C52" s="339"/>
      <c r="D52" s="339"/>
      <c r="E52" s="339"/>
      <c r="F52" s="339"/>
      <c r="G52" s="339"/>
      <c r="H52" s="339"/>
      <c r="I52" s="340"/>
      <c r="J52" s="339"/>
      <c r="K52" s="339"/>
      <c r="L52" s="331" t="str">
        <f>IF(F52="Yes",IFERROR(VLOOKUP("C1",Scripts!A$3:D$60,3,FALSE),""),"")</f>
        <v/>
      </c>
    </row>
    <row r="53" spans="1:12">
      <c r="A53" s="335"/>
      <c r="B53" s="336"/>
      <c r="C53" s="336"/>
      <c r="D53" s="336"/>
      <c r="E53" s="336"/>
      <c r="F53" s="336"/>
      <c r="G53" s="336"/>
      <c r="H53" s="336"/>
      <c r="I53" s="337"/>
      <c r="J53" s="336"/>
      <c r="K53" s="336"/>
      <c r="L53" s="333" t="str">
        <f>IF(F53="Yes",IFERROR(VLOOKUP("C1",Scripts!A$3:D$60,3,FALSE),""),"")</f>
        <v/>
      </c>
    </row>
    <row r="54" spans="1:12">
      <c r="A54" s="338"/>
      <c r="B54" s="339"/>
      <c r="C54" s="339"/>
      <c r="D54" s="339"/>
      <c r="E54" s="339"/>
      <c r="F54" s="339"/>
      <c r="G54" s="339"/>
      <c r="H54" s="339"/>
      <c r="I54" s="340"/>
      <c r="J54" s="339"/>
      <c r="K54" s="339"/>
      <c r="L54" s="331" t="str">
        <f>IF(F54="Yes",IFERROR(VLOOKUP("C1",Scripts!A$3:D$60,3,FALSE),""),"")</f>
        <v/>
      </c>
    </row>
    <row r="55" spans="1:12">
      <c r="A55" s="335"/>
      <c r="B55" s="336"/>
      <c r="C55" s="336"/>
      <c r="D55" s="336"/>
      <c r="E55" s="336"/>
      <c r="F55" s="336"/>
      <c r="G55" s="336"/>
      <c r="H55" s="336"/>
      <c r="I55" s="337"/>
      <c r="J55" s="336"/>
      <c r="K55" s="336"/>
      <c r="L55" s="333" t="str">
        <f>IF(F55="Yes",IFERROR(VLOOKUP("C1",Scripts!A$3:D$60,3,FALSE),""),"")</f>
        <v/>
      </c>
    </row>
    <row r="56" spans="1:12">
      <c r="A56" s="338"/>
      <c r="B56" s="339"/>
      <c r="C56" s="339"/>
      <c r="D56" s="339"/>
      <c r="E56" s="339"/>
      <c r="F56" s="339"/>
      <c r="G56" s="339"/>
      <c r="H56" s="339"/>
      <c r="I56" s="340"/>
      <c r="J56" s="339"/>
      <c r="K56" s="339"/>
      <c r="L56" s="331" t="str">
        <f>IF(F56="Yes",IFERROR(VLOOKUP("C1",Scripts!A$3:D$60,3,FALSE),""),"")</f>
        <v/>
      </c>
    </row>
    <row r="57" spans="1:12">
      <c r="A57" s="335"/>
      <c r="B57" s="336"/>
      <c r="C57" s="336"/>
      <c r="D57" s="336"/>
      <c r="E57" s="336"/>
      <c r="F57" s="336"/>
      <c r="G57" s="336"/>
      <c r="H57" s="336"/>
      <c r="I57" s="337"/>
      <c r="J57" s="336"/>
      <c r="K57" s="336"/>
      <c r="L57" s="333" t="str">
        <f>IF(F57="Yes",IFERROR(VLOOKUP("C1",Scripts!A$3:D$60,3,FALSE),""),"")</f>
        <v/>
      </c>
    </row>
    <row r="58" spans="1:12">
      <c r="A58" s="338"/>
      <c r="B58" s="339"/>
      <c r="C58" s="339"/>
      <c r="D58" s="339"/>
      <c r="E58" s="339"/>
      <c r="F58" s="339"/>
      <c r="G58" s="339"/>
      <c r="H58" s="339"/>
      <c r="I58" s="340"/>
      <c r="J58" s="339"/>
      <c r="K58" s="339"/>
      <c r="L58" s="331" t="str">
        <f>IF(F58="Yes",IFERROR(VLOOKUP("C1",Scripts!A$3:D$60,3,FALSE),""),"")</f>
        <v/>
      </c>
    </row>
    <row r="59" spans="1:12">
      <c r="A59" s="335"/>
      <c r="B59" s="336"/>
      <c r="C59" s="336"/>
      <c r="D59" s="336"/>
      <c r="E59" s="336"/>
      <c r="F59" s="336"/>
      <c r="G59" s="336"/>
      <c r="H59" s="336"/>
      <c r="I59" s="337"/>
      <c r="J59" s="336"/>
      <c r="K59" s="336"/>
      <c r="L59" s="333" t="str">
        <f>IF(F59="Yes",IFERROR(VLOOKUP("C1",Scripts!A$3:D$60,3,FALSE),""),"")</f>
        <v/>
      </c>
    </row>
    <row r="60" spans="1:12">
      <c r="A60" s="338"/>
      <c r="B60" s="339"/>
      <c r="C60" s="339"/>
      <c r="D60" s="339"/>
      <c r="E60" s="339"/>
      <c r="F60" s="339"/>
      <c r="G60" s="339"/>
      <c r="H60" s="339"/>
      <c r="I60" s="340"/>
      <c r="J60" s="339"/>
      <c r="K60" s="339"/>
      <c r="L60" s="331" t="str">
        <f>IF(F60="Yes",IFERROR(VLOOKUP("C1",Scripts!A$3:D$60,3,FALSE),""),"")</f>
        <v/>
      </c>
    </row>
    <row r="61" spans="1:12">
      <c r="A61" s="335"/>
      <c r="B61" s="336"/>
      <c r="C61" s="336"/>
      <c r="D61" s="336"/>
      <c r="E61" s="336"/>
      <c r="F61" s="336"/>
      <c r="G61" s="336"/>
      <c r="H61" s="336"/>
      <c r="I61" s="337"/>
      <c r="J61" s="336"/>
      <c r="K61" s="336"/>
      <c r="L61" s="333" t="str">
        <f>IF(F61="Yes",IFERROR(VLOOKUP("C1",Scripts!A$3:D$60,3,FALSE),""),"")</f>
        <v/>
      </c>
    </row>
    <row r="62" spans="1:12">
      <c r="A62" s="338"/>
      <c r="B62" s="339"/>
      <c r="C62" s="339"/>
      <c r="D62" s="339"/>
      <c r="E62" s="339"/>
      <c r="F62" s="339"/>
      <c r="G62" s="339"/>
      <c r="H62" s="339"/>
      <c r="I62" s="340"/>
      <c r="J62" s="339"/>
      <c r="K62" s="339"/>
      <c r="L62" s="331" t="str">
        <f>IF(F62="Yes",IFERROR(VLOOKUP("C1",Scripts!A$3:D$60,3,FALSE),""),"")</f>
        <v/>
      </c>
    </row>
    <row r="63" spans="1:12">
      <c r="A63" s="335"/>
      <c r="B63" s="336"/>
      <c r="C63" s="336"/>
      <c r="D63" s="336"/>
      <c r="E63" s="336"/>
      <c r="F63" s="336"/>
      <c r="G63" s="336"/>
      <c r="H63" s="336"/>
      <c r="I63" s="337"/>
      <c r="J63" s="336"/>
      <c r="K63" s="336"/>
      <c r="L63" s="333" t="str">
        <f>IF(F63="Yes",IFERROR(VLOOKUP("C1",Scripts!A$3:D$60,3,FALSE),""),"")</f>
        <v/>
      </c>
    </row>
    <row r="64" spans="1:12">
      <c r="A64" s="338"/>
      <c r="B64" s="339"/>
      <c r="C64" s="339"/>
      <c r="D64" s="339"/>
      <c r="E64" s="339"/>
      <c r="F64" s="339"/>
      <c r="G64" s="339"/>
      <c r="H64" s="339"/>
      <c r="I64" s="340"/>
      <c r="J64" s="339"/>
      <c r="K64" s="339"/>
      <c r="L64" s="331" t="str">
        <f>IF(F64="Yes",IFERROR(VLOOKUP("C1",Scripts!A$3:D$60,3,FALSE),""),"")</f>
        <v/>
      </c>
    </row>
    <row r="65" spans="1:12">
      <c r="A65" s="335"/>
      <c r="B65" s="336"/>
      <c r="C65" s="336"/>
      <c r="D65" s="336"/>
      <c r="E65" s="336"/>
      <c r="F65" s="336"/>
      <c r="G65" s="336"/>
      <c r="H65" s="336"/>
      <c r="I65" s="337"/>
      <c r="J65" s="336"/>
      <c r="K65" s="336"/>
      <c r="L65" s="333" t="str">
        <f>IF(F65="Yes",IFERROR(VLOOKUP("C1",Scripts!A$3:D$60,3,FALSE),""),"")</f>
        <v/>
      </c>
    </row>
    <row r="66" spans="1:12">
      <c r="A66" s="338"/>
      <c r="B66" s="339"/>
      <c r="C66" s="339"/>
      <c r="D66" s="339"/>
      <c r="E66" s="339"/>
      <c r="F66" s="339"/>
      <c r="G66" s="339"/>
      <c r="H66" s="339"/>
      <c r="I66" s="340"/>
      <c r="J66" s="339"/>
      <c r="K66" s="339"/>
      <c r="L66" s="331" t="str">
        <f>IF(F66="Yes",IFERROR(VLOOKUP("C1",Scripts!A$3:D$60,3,FALSE),""),"")</f>
        <v/>
      </c>
    </row>
    <row r="67" spans="1:12">
      <c r="A67" s="335"/>
      <c r="B67" s="336"/>
      <c r="C67" s="336"/>
      <c r="D67" s="336"/>
      <c r="E67" s="336"/>
      <c r="F67" s="336"/>
      <c r="G67" s="336"/>
      <c r="H67" s="336"/>
      <c r="I67" s="337"/>
      <c r="J67" s="336"/>
      <c r="K67" s="336"/>
      <c r="L67" s="333" t="str">
        <f>IF(F67="Yes",IFERROR(VLOOKUP("C1",Scripts!A$3:D$60,3,FALSE),""),"")</f>
        <v/>
      </c>
    </row>
    <row r="68" spans="1:12">
      <c r="A68" s="338"/>
      <c r="B68" s="339"/>
      <c r="C68" s="339"/>
      <c r="D68" s="339"/>
      <c r="E68" s="339"/>
      <c r="F68" s="339"/>
      <c r="G68" s="339"/>
      <c r="H68" s="339"/>
      <c r="I68" s="340"/>
      <c r="J68" s="339"/>
      <c r="K68" s="339"/>
      <c r="L68" s="331" t="str">
        <f>IF(F68="Yes",IFERROR(VLOOKUP("C1",Scripts!A$3:D$60,3,FALSE),""),"")</f>
        <v/>
      </c>
    </row>
    <row r="69" spans="1:12">
      <c r="A69" s="335"/>
      <c r="B69" s="336"/>
      <c r="C69" s="336"/>
      <c r="D69" s="336"/>
      <c r="E69" s="336"/>
      <c r="F69" s="336"/>
      <c r="G69" s="336"/>
      <c r="H69" s="336"/>
      <c r="I69" s="337"/>
      <c r="J69" s="336"/>
      <c r="K69" s="336"/>
      <c r="L69" s="333" t="str">
        <f>IF(F69="Yes",IFERROR(VLOOKUP("C1",Scripts!A$3:D$60,3,FALSE),""),"")</f>
        <v/>
      </c>
    </row>
    <row r="70" spans="1:12">
      <c r="A70" s="338"/>
      <c r="B70" s="339"/>
      <c r="C70" s="339"/>
      <c r="D70" s="339"/>
      <c r="E70" s="339"/>
      <c r="F70" s="339"/>
      <c r="G70" s="339"/>
      <c r="H70" s="339"/>
      <c r="I70" s="340"/>
      <c r="J70" s="339"/>
      <c r="K70" s="339"/>
      <c r="L70" s="331" t="str">
        <f>IF(F70="Yes",IFERROR(VLOOKUP("C1",Scripts!A$3:D$60,3,FALSE),""),"")</f>
        <v/>
      </c>
    </row>
    <row r="71" spans="1:12">
      <c r="A71" s="335"/>
      <c r="B71" s="336"/>
      <c r="C71" s="336"/>
      <c r="D71" s="336"/>
      <c r="E71" s="336"/>
      <c r="F71" s="336"/>
      <c r="G71" s="336"/>
      <c r="H71" s="336"/>
      <c r="I71" s="337"/>
      <c r="J71" s="336"/>
      <c r="K71" s="336"/>
      <c r="L71" s="333" t="str">
        <f>IF(F71="Yes",IFERROR(VLOOKUP("C1",Scripts!A$3:D$60,3,FALSE),""),"")</f>
        <v/>
      </c>
    </row>
    <row r="72" spans="1:12">
      <c r="A72" s="338"/>
      <c r="B72" s="339"/>
      <c r="C72" s="339"/>
      <c r="D72" s="339"/>
      <c r="E72" s="339"/>
      <c r="F72" s="339"/>
      <c r="G72" s="339"/>
      <c r="H72" s="339"/>
      <c r="I72" s="340"/>
      <c r="J72" s="339"/>
      <c r="K72" s="339"/>
      <c r="L72" s="331" t="str">
        <f>IF(F72="Yes",IFERROR(VLOOKUP("C1",Scripts!A$3:D$60,3,FALSE),""),"")</f>
        <v/>
      </c>
    </row>
    <row r="73" spans="1:12">
      <c r="A73" s="335"/>
      <c r="B73" s="336"/>
      <c r="C73" s="336"/>
      <c r="D73" s="336"/>
      <c r="E73" s="336"/>
      <c r="F73" s="336"/>
      <c r="G73" s="336"/>
      <c r="H73" s="336"/>
      <c r="I73" s="337"/>
      <c r="J73" s="336"/>
      <c r="K73" s="336"/>
      <c r="L73" s="333" t="str">
        <f>IF(F73="Yes",IFERROR(VLOOKUP("C1",Scripts!A$3:D$60,3,FALSE),""),"")</f>
        <v/>
      </c>
    </row>
    <row r="74" spans="1:12">
      <c r="A74" s="338"/>
      <c r="B74" s="339"/>
      <c r="C74" s="339"/>
      <c r="D74" s="339"/>
      <c r="E74" s="339"/>
      <c r="F74" s="339"/>
      <c r="G74" s="339"/>
      <c r="H74" s="339"/>
      <c r="I74" s="340"/>
      <c r="J74" s="339"/>
      <c r="K74" s="339"/>
      <c r="L74" s="331" t="str">
        <f>IF(F74="Yes",IFERROR(VLOOKUP("C1",Scripts!A$3:D$60,3,FALSE),""),"")</f>
        <v/>
      </c>
    </row>
    <row r="75" spans="1:12">
      <c r="A75" s="335"/>
      <c r="B75" s="336"/>
      <c r="C75" s="336"/>
      <c r="D75" s="336"/>
      <c r="E75" s="336"/>
      <c r="F75" s="336"/>
      <c r="G75" s="336"/>
      <c r="H75" s="336"/>
      <c r="I75" s="337"/>
      <c r="J75" s="336"/>
      <c r="K75" s="336"/>
      <c r="L75" s="333" t="str">
        <f>IF(F75="Yes",IFERROR(VLOOKUP("C1",Scripts!A$3:D$60,3,FALSE),""),"")</f>
        <v/>
      </c>
    </row>
    <row r="76" spans="1:12">
      <c r="A76" s="338"/>
      <c r="B76" s="339"/>
      <c r="C76" s="339"/>
      <c r="D76" s="339"/>
      <c r="E76" s="339"/>
      <c r="F76" s="339"/>
      <c r="G76" s="339"/>
      <c r="H76" s="339"/>
      <c r="I76" s="340"/>
      <c r="J76" s="339"/>
      <c r="K76" s="339"/>
      <c r="L76" s="331" t="str">
        <f>IF(F76="Yes",IFERROR(VLOOKUP("C1",Scripts!A$3:D$60,3,FALSE),""),"")</f>
        <v/>
      </c>
    </row>
    <row r="77" spans="1:12">
      <c r="A77" s="335"/>
      <c r="B77" s="336"/>
      <c r="C77" s="336"/>
      <c r="D77" s="336"/>
      <c r="E77" s="336"/>
      <c r="F77" s="336"/>
      <c r="G77" s="336"/>
      <c r="H77" s="336"/>
      <c r="I77" s="337"/>
      <c r="J77" s="336"/>
      <c r="K77" s="336"/>
      <c r="L77" s="333" t="str">
        <f>IF(F77="Yes",IFERROR(VLOOKUP("C1",Scripts!A$3:D$60,3,FALSE),""),"")</f>
        <v/>
      </c>
    </row>
    <row r="78" spans="1:12">
      <c r="A78" s="338"/>
      <c r="B78" s="339"/>
      <c r="C78" s="339"/>
      <c r="D78" s="339"/>
      <c r="E78" s="339"/>
      <c r="F78" s="339"/>
      <c r="G78" s="339"/>
      <c r="H78" s="339"/>
      <c r="I78" s="340"/>
      <c r="J78" s="339"/>
      <c r="K78" s="339"/>
      <c r="L78" s="331" t="str">
        <f>IF(F78="Yes",IFERROR(VLOOKUP("C1",Scripts!A$3:D$60,3,FALSE),""),"")</f>
        <v/>
      </c>
    </row>
    <row r="79" spans="1:12">
      <c r="A79" s="335"/>
      <c r="B79" s="336"/>
      <c r="C79" s="336"/>
      <c r="D79" s="336"/>
      <c r="E79" s="336"/>
      <c r="F79" s="336"/>
      <c r="G79" s="336"/>
      <c r="H79" s="336"/>
      <c r="I79" s="337"/>
      <c r="J79" s="336"/>
      <c r="K79" s="336"/>
      <c r="L79" s="333" t="str">
        <f>IF(F79="Yes",IFERROR(VLOOKUP("C1",Scripts!A$3:D$60,3,FALSE),""),"")</f>
        <v/>
      </c>
    </row>
    <row r="80" spans="1:12">
      <c r="A80" s="338"/>
      <c r="B80" s="339"/>
      <c r="C80" s="339"/>
      <c r="D80" s="339"/>
      <c r="E80" s="339"/>
      <c r="F80" s="339"/>
      <c r="G80" s="339"/>
      <c r="H80" s="339"/>
      <c r="I80" s="340"/>
      <c r="J80" s="339"/>
      <c r="K80" s="339"/>
      <c r="L80" s="331" t="str">
        <f>IF(F80="Yes",IFERROR(VLOOKUP("C1",Scripts!A$3:D$60,3,FALSE),""),"")</f>
        <v/>
      </c>
    </row>
    <row r="81" spans="1:12">
      <c r="A81" s="335"/>
      <c r="B81" s="336"/>
      <c r="C81" s="336"/>
      <c r="D81" s="336"/>
      <c r="E81" s="336"/>
      <c r="F81" s="336"/>
      <c r="G81" s="336"/>
      <c r="H81" s="336"/>
      <c r="I81" s="337"/>
      <c r="J81" s="336"/>
      <c r="K81" s="336"/>
      <c r="L81" s="333" t="str">
        <f>IF(F81="Yes",IFERROR(VLOOKUP("C1",Scripts!A$3:D$60,3,FALSE),""),"")</f>
        <v/>
      </c>
    </row>
    <row r="82" spans="1:12">
      <c r="A82" s="338"/>
      <c r="B82" s="339"/>
      <c r="C82" s="339"/>
      <c r="D82" s="339"/>
      <c r="E82" s="339"/>
      <c r="F82" s="339"/>
      <c r="G82" s="339"/>
      <c r="H82" s="339"/>
      <c r="I82" s="340"/>
      <c r="J82" s="339"/>
      <c r="K82" s="339"/>
      <c r="L82" s="331" t="str">
        <f>IF(F82="Yes",IFERROR(VLOOKUP("C1",Scripts!A$3:D$60,3,FALSE),""),"")</f>
        <v/>
      </c>
    </row>
    <row r="83" spans="1:12">
      <c r="A83" s="335"/>
      <c r="B83" s="336"/>
      <c r="C83" s="336"/>
      <c r="D83" s="336"/>
      <c r="E83" s="336"/>
      <c r="F83" s="336"/>
      <c r="G83" s="336"/>
      <c r="H83" s="336"/>
      <c r="I83" s="337"/>
      <c r="J83" s="336"/>
      <c r="K83" s="336"/>
      <c r="L83" s="333" t="str">
        <f>IF(F83="Yes",IFERROR(VLOOKUP("C1",Scripts!A$3:D$60,3,FALSE),""),"")</f>
        <v/>
      </c>
    </row>
    <row r="84" spans="1:12">
      <c r="A84" s="338"/>
      <c r="B84" s="339"/>
      <c r="C84" s="339"/>
      <c r="D84" s="339"/>
      <c r="E84" s="339"/>
      <c r="F84" s="339"/>
      <c r="G84" s="339"/>
      <c r="H84" s="339"/>
      <c r="I84" s="340"/>
      <c r="J84" s="339"/>
      <c r="K84" s="339"/>
      <c r="L84" s="331" t="str">
        <f>IF(F84="Yes",IFERROR(VLOOKUP("C1",Scripts!A$3:D$60,3,FALSE),""),"")</f>
        <v/>
      </c>
    </row>
    <row r="85" spans="1:12">
      <c r="A85" s="335"/>
      <c r="B85" s="336"/>
      <c r="C85" s="336"/>
      <c r="D85" s="336"/>
      <c r="E85" s="336"/>
      <c r="F85" s="336"/>
      <c r="G85" s="336"/>
      <c r="H85" s="336"/>
      <c r="I85" s="337"/>
      <c r="J85" s="336"/>
      <c r="K85" s="336"/>
      <c r="L85" s="333" t="str">
        <f>IF(F85="Yes",IFERROR(VLOOKUP("C1",Scripts!A$3:D$60,3,FALSE),""),"")</f>
        <v/>
      </c>
    </row>
    <row r="86" spans="1:12">
      <c r="A86" s="338"/>
      <c r="B86" s="339"/>
      <c r="C86" s="339"/>
      <c r="D86" s="339"/>
      <c r="E86" s="339"/>
      <c r="F86" s="339"/>
      <c r="G86" s="339"/>
      <c r="H86" s="339"/>
      <c r="I86" s="340"/>
      <c r="J86" s="339"/>
      <c r="K86" s="339"/>
      <c r="L86" s="331" t="str">
        <f>IF(F86="Yes",IFERROR(VLOOKUP("C1",Scripts!A$3:D$60,3,FALSE),""),"")</f>
        <v/>
      </c>
    </row>
    <row r="87" spans="1:12">
      <c r="A87" s="335"/>
      <c r="B87" s="336"/>
      <c r="C87" s="336"/>
      <c r="D87" s="336"/>
      <c r="E87" s="336"/>
      <c r="F87" s="336"/>
      <c r="G87" s="336"/>
      <c r="H87" s="336"/>
      <c r="I87" s="337"/>
      <c r="J87" s="336"/>
      <c r="K87" s="336"/>
      <c r="L87" s="333" t="str">
        <f>IF(F87="Yes",IFERROR(VLOOKUP("C1",Scripts!A$3:D$60,3,FALSE),""),"")</f>
        <v/>
      </c>
    </row>
    <row r="88" spans="1:12">
      <c r="A88" s="338"/>
      <c r="B88" s="339"/>
      <c r="C88" s="339"/>
      <c r="D88" s="339"/>
      <c r="E88" s="339"/>
      <c r="F88" s="339"/>
      <c r="G88" s="339"/>
      <c r="H88" s="339"/>
      <c r="I88" s="340"/>
      <c r="J88" s="339"/>
      <c r="K88" s="339"/>
      <c r="L88" s="331" t="str">
        <f>IF(F88="Yes",IFERROR(VLOOKUP("C1",Scripts!A$3:D$60,3,FALSE),""),"")</f>
        <v/>
      </c>
    </row>
    <row r="89" spans="1:12">
      <c r="A89" s="335"/>
      <c r="B89" s="336"/>
      <c r="C89" s="336"/>
      <c r="D89" s="336"/>
      <c r="E89" s="336"/>
      <c r="F89" s="336"/>
      <c r="G89" s="336"/>
      <c r="H89" s="336"/>
      <c r="I89" s="337"/>
      <c r="J89" s="336"/>
      <c r="K89" s="336"/>
      <c r="L89" s="333" t="str">
        <f>IF(F89="Yes",IFERROR(VLOOKUP("C1",Scripts!A$3:D$60,3,FALSE),""),"")</f>
        <v/>
      </c>
    </row>
    <row r="90" spans="1:12">
      <c r="A90" s="338"/>
      <c r="B90" s="339"/>
      <c r="C90" s="339"/>
      <c r="D90" s="339"/>
      <c r="E90" s="339"/>
      <c r="F90" s="339"/>
      <c r="G90" s="339"/>
      <c r="H90" s="339"/>
      <c r="I90" s="340"/>
      <c r="J90" s="339"/>
      <c r="K90" s="339"/>
      <c r="L90" s="331" t="str">
        <f>IF(F90="Yes",IFERROR(VLOOKUP("C1",Scripts!A$3:D$60,3,FALSE),""),"")</f>
        <v/>
      </c>
    </row>
    <row r="91" spans="1:12">
      <c r="A91" s="335"/>
      <c r="B91" s="336"/>
      <c r="C91" s="336"/>
      <c r="D91" s="336"/>
      <c r="E91" s="336"/>
      <c r="F91" s="336"/>
      <c r="G91" s="336"/>
      <c r="H91" s="336"/>
      <c r="I91" s="337"/>
      <c r="J91" s="336"/>
      <c r="K91" s="336"/>
      <c r="L91" s="333" t="str">
        <f>IF(F91="Yes",IFERROR(VLOOKUP("C1",Scripts!A$3:D$60,3,FALSE),""),"")</f>
        <v/>
      </c>
    </row>
    <row r="92" spans="1:12">
      <c r="A92" s="338"/>
      <c r="B92" s="339"/>
      <c r="C92" s="339"/>
      <c r="D92" s="339"/>
      <c r="E92" s="339"/>
      <c r="F92" s="339"/>
      <c r="G92" s="339"/>
      <c r="H92" s="339"/>
      <c r="I92" s="340"/>
      <c r="J92" s="339"/>
      <c r="K92" s="339"/>
      <c r="L92" s="331" t="str">
        <f>IF(F92="Yes",IFERROR(VLOOKUP("C1",Scripts!A$3:D$60,3,FALSE),""),"")</f>
        <v/>
      </c>
    </row>
    <row r="93" spans="1:12">
      <c r="A93" s="335"/>
      <c r="B93" s="336"/>
      <c r="C93" s="336"/>
      <c r="D93" s="336"/>
      <c r="E93" s="336"/>
      <c r="F93" s="336"/>
      <c r="G93" s="336"/>
      <c r="H93" s="336"/>
      <c r="I93" s="337"/>
      <c r="J93" s="336"/>
      <c r="K93" s="336"/>
      <c r="L93" s="333" t="str">
        <f>IF(F93="Yes",IFERROR(VLOOKUP("C1",Scripts!A$3:D$60,3,FALSE),""),"")</f>
        <v/>
      </c>
    </row>
    <row r="94" spans="1:12">
      <c r="A94" s="338"/>
      <c r="B94" s="339"/>
      <c r="C94" s="339"/>
      <c r="D94" s="339"/>
      <c r="E94" s="339"/>
      <c r="F94" s="339"/>
      <c r="G94" s="339"/>
      <c r="H94" s="339"/>
      <c r="I94" s="340"/>
      <c r="J94" s="339"/>
      <c r="K94" s="339"/>
      <c r="L94" s="331" t="str">
        <f>IF(F94="Yes",IFERROR(VLOOKUP("C1",Scripts!A$3:D$60,3,FALSE),""),"")</f>
        <v/>
      </c>
    </row>
    <row r="95" spans="1:12">
      <c r="A95" s="335"/>
      <c r="B95" s="336"/>
      <c r="C95" s="336"/>
      <c r="D95" s="336"/>
      <c r="E95" s="336"/>
      <c r="F95" s="336"/>
      <c r="G95" s="336"/>
      <c r="H95" s="336"/>
      <c r="I95" s="337"/>
      <c r="J95" s="336"/>
      <c r="K95" s="336"/>
      <c r="L95" s="333" t="str">
        <f>IF(F95="Yes",IFERROR(VLOOKUP("C1",Scripts!A$3:D$60,3,FALSE),""),"")</f>
        <v/>
      </c>
    </row>
    <row r="96" spans="1:12">
      <c r="A96" s="338"/>
      <c r="B96" s="339"/>
      <c r="C96" s="339"/>
      <c r="D96" s="339"/>
      <c r="E96" s="339"/>
      <c r="F96" s="339"/>
      <c r="G96" s="339"/>
      <c r="H96" s="339"/>
      <c r="I96" s="340"/>
      <c r="J96" s="339"/>
      <c r="K96" s="339"/>
      <c r="L96" s="331" t="str">
        <f>IF(F96="Yes",IFERROR(VLOOKUP("C1",Scripts!A$3:D$60,3,FALSE),""),"")</f>
        <v/>
      </c>
    </row>
    <row r="97" spans="1:12">
      <c r="A97" s="335"/>
      <c r="B97" s="336"/>
      <c r="C97" s="336"/>
      <c r="D97" s="336"/>
      <c r="E97" s="336"/>
      <c r="F97" s="336"/>
      <c r="G97" s="336"/>
      <c r="H97" s="336"/>
      <c r="I97" s="337"/>
      <c r="J97" s="336"/>
      <c r="K97" s="336"/>
      <c r="L97" s="333" t="str">
        <f>IF(F97="Yes",IFERROR(VLOOKUP("C1",Scripts!A$3:D$60,3,FALSE),""),"")</f>
        <v/>
      </c>
    </row>
    <row r="98" spans="1:12">
      <c r="A98" s="338"/>
      <c r="B98" s="339"/>
      <c r="C98" s="339"/>
      <c r="D98" s="339"/>
      <c r="E98" s="339"/>
      <c r="F98" s="339"/>
      <c r="G98" s="339"/>
      <c r="H98" s="339"/>
      <c r="I98" s="340"/>
      <c r="J98" s="339"/>
      <c r="K98" s="339"/>
      <c r="L98" s="331" t="str">
        <f>IF(F98="Yes",IFERROR(VLOOKUP("C1",Scripts!A$3:D$60,3,FALSE),""),"")</f>
        <v/>
      </c>
    </row>
    <row r="99" spans="1:12">
      <c r="A99" s="335"/>
      <c r="B99" s="336"/>
      <c r="C99" s="336"/>
      <c r="D99" s="336"/>
      <c r="E99" s="336"/>
      <c r="F99" s="336"/>
      <c r="G99" s="336"/>
      <c r="H99" s="336"/>
      <c r="I99" s="337"/>
      <c r="J99" s="336"/>
      <c r="K99" s="336"/>
      <c r="L99" s="333" t="str">
        <f>IF(F99="Yes",IFERROR(VLOOKUP("C1",Scripts!A$3:D$60,3,FALSE),""),"")</f>
        <v/>
      </c>
    </row>
    <row r="100" ht="14.55" spans="1:12">
      <c r="A100" s="341"/>
      <c r="B100" s="342"/>
      <c r="C100" s="342"/>
      <c r="D100" s="342"/>
      <c r="E100" s="342"/>
      <c r="F100" s="342"/>
      <c r="G100" s="342"/>
      <c r="H100" s="342"/>
      <c r="I100" s="343"/>
      <c r="J100" s="342"/>
      <c r="K100" s="342"/>
      <c r="L100" s="344" t="str">
        <f>IF(F100="Yes",IFERROR(VLOOKUP("C1",Scripts!A$3:D$60,3,FALSE),""),"")</f>
        <v/>
      </c>
    </row>
  </sheetData>
  <autoFilter xmlns:etc="http://www.wps.cn/officeDocument/2017/etCustomData" ref="A2:M100" etc:filterBottomFollowUsedRange="0">
    <extLst/>
  </autoFilter>
  <mergeCells count="1">
    <mergeCell ref="A1:L1"/>
  </mergeCells>
  <conditionalFormatting sqref="A3:L200">
    <cfRule type="expression" dxfId="2" priority="3">
      <formula>AND($G3="跟进中",$I3&lt;&gt;"",$I3&lt;TODAY()-7)</formula>
    </cfRule>
  </conditionalFormatting>
  <dataValidations count="4">
    <dataValidation type="list" allowBlank="1" sqref="E3:E100">
      <formula1>"CCA showcase,School event,Referral,Walk-in,Social,EKA,Partner,Birthday WS"</formula1>
    </dataValidation>
    <dataValidation type="list" allowBlank="1" sqref="F3:F100">
      <formula1>"Yes,No"</formula1>
    </dataValidation>
    <dataValidation type="list" allowBlank="1" sqref="G3:G100">
      <formula1>"New,Contacting,Trial booked,Enrolled,Parked"</formula1>
    </dataValidation>
    <dataValidation type="list" allowBlank="1" sqref="K3:K100">
      <formula1>"Studio official,Danny personal,Nicole"</formula1>
    </dataValidation>
  </dataValidations>
  <pageMargins left="0.75" right="0.75" top="1" bottom="1" header="0.5" footer="0.5"/>
  <pageSetup paperSize="1" scale="78" fitToHeight="0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383C"/>
    <pageSetUpPr fitToPage="1"/>
  </sheetPr>
  <dimension ref="A1:K100"/>
  <sheetViews>
    <sheetView showGridLines="0" workbookViewId="0">
      <pane ySplit="2" topLeftCell="A3" activePane="bottomLeft" state="frozen"/>
      <selection/>
      <selection pane="bottomLeft" activeCell="J4" sqref="J4"/>
    </sheetView>
  </sheetViews>
  <sheetFormatPr defaultColWidth="9" defaultRowHeight="13.8"/>
  <cols>
    <col min="1" max="1" width="5.22222222222222" style="301" customWidth="1"/>
    <col min="2" max="2" width="8.11111111111111" style="302" customWidth="1"/>
    <col min="3" max="3" width="9.44444444444444" style="302" customWidth="1"/>
    <col min="4" max="4" width="10.8888888888889" style="302" customWidth="1"/>
    <col min="5" max="5" width="8.88888888888889" style="302" customWidth="1"/>
    <col min="6" max="6" width="10.4444444444444" style="302" customWidth="1"/>
    <col min="7" max="7" width="12" style="302" customWidth="1"/>
    <col min="8" max="8" width="5.55555555555556" style="302" customWidth="1"/>
    <col min="9" max="9" width="30.7777777777778" style="302" customWidth="1"/>
    <col min="10" max="10" width="29" style="302" customWidth="1"/>
    <col min="11" max="16384" width="4" style="303" customWidth="1"/>
  </cols>
  <sheetData>
    <row r="1" ht="30" customHeight="1" spans="1:11">
      <c r="A1" s="181" t="s">
        <v>152</v>
      </c>
      <c r="B1" s="3"/>
      <c r="C1" s="3"/>
      <c r="D1" s="3"/>
      <c r="E1" s="3"/>
      <c r="F1" s="3"/>
      <c r="G1" s="3"/>
      <c r="H1" s="3"/>
      <c r="I1" s="3"/>
      <c r="J1" s="4"/>
      <c r="K1" s="46" t="str">
        <f>HYPERLINK("#'Cover'!A1","←")</f>
        <v>←</v>
      </c>
    </row>
    <row r="2" ht="30" customHeight="1" spans="1:11">
      <c r="A2" s="6" t="s">
        <v>153</v>
      </c>
      <c r="B2" s="7" t="s">
        <v>127</v>
      </c>
      <c r="C2" s="7" t="s">
        <v>154</v>
      </c>
      <c r="D2" s="7" t="s">
        <v>155</v>
      </c>
      <c r="E2" s="7" t="s">
        <v>156</v>
      </c>
      <c r="F2" s="7" t="s">
        <v>157</v>
      </c>
      <c r="G2" s="7" t="s">
        <v>158</v>
      </c>
      <c r="H2" s="7" t="s">
        <v>159</v>
      </c>
      <c r="I2" s="7" t="s">
        <v>160</v>
      </c>
      <c r="J2" s="8" t="s">
        <v>161</v>
      </c>
    </row>
    <row r="3" spans="1:11">
      <c r="A3" s="304" t="s">
        <v>162</v>
      </c>
      <c r="B3" s="261" t="s">
        <v>138</v>
      </c>
      <c r="C3" s="261" t="str">
        <f>IF(B3="","",IFERROR(VLOOKUP(B3,Leads!A$3:C$100,3,FALSE),""))</f>
        <v>Josh D1, 7</v>
      </c>
      <c r="D3" s="261" t="s">
        <v>163</v>
      </c>
      <c r="E3" s="261" t="s">
        <v>156</v>
      </c>
      <c r="F3" s="261" t="s">
        <v>143</v>
      </c>
      <c r="H3" s="261" t="s">
        <v>164</v>
      </c>
      <c r="J3" s="305"/>
    </row>
    <row r="4" ht="82.8" spans="1:11">
      <c r="A4" s="306" t="s">
        <v>165</v>
      </c>
      <c r="B4" s="307" t="s">
        <v>145</v>
      </c>
      <c r="C4" s="307" t="str">
        <f>IF(B4="","",IFERROR(VLOOKUP(B4,Leads!A$3:C$100,3,FALSE),""))</f>
        <v/>
      </c>
      <c r="D4" s="307" t="s">
        <v>166</v>
      </c>
      <c r="E4" s="307" t="s">
        <v>156</v>
      </c>
      <c r="F4" s="307" t="s">
        <v>167</v>
      </c>
      <c r="G4" s="307" t="s">
        <v>168</v>
      </c>
      <c r="H4" s="307" t="s">
        <v>169</v>
      </c>
      <c r="I4" s="307" t="str">
        <f>IF(H4="","",IFERROR(VLOOKUP(H4,Scripts!A$3:D$60,3,FALSE),""))</f>
        <v>No pressure at all — art can't be rushed. If you have a moment, tell me what held you back (timing, fee, or simply not yet) so I can note it. When a camp or workshop fits, you'll hear from me first.</v>
      </c>
      <c r="J4" s="308" t="str">
        <f>IF(H4="","",IFERROR(VLOOKUP(H4,Scripts!A$3:D$60,4,FALSE),""))</f>
        <v>完全没关系，艺术急不得。方便的话告诉我一声，是时间、费用，还是时机未到，我记下来。以后有合适的营或工坊，我第一个告诉您。</v>
      </c>
    </row>
    <row r="5" spans="1:11">
      <c r="A5" s="309"/>
      <c r="B5" s="310"/>
      <c r="C5" s="311" t="str">
        <f>IF(B5="","",IFERROR(VLOOKUP(B5,Leads!A$3:C$100,3,FALSE),""))</f>
        <v/>
      </c>
      <c r="D5" s="310"/>
      <c r="E5" s="310"/>
      <c r="F5" s="310"/>
      <c r="G5" s="310"/>
      <c r="H5" s="310"/>
      <c r="I5" s="311" t="str">
        <f>IF(H5="","",IFERROR(VLOOKUP(H5,Scripts!A$3:D$60,3,FALSE),""))</f>
        <v/>
      </c>
      <c r="J5" s="312" t="str">
        <f>IF(H5="","",IFERROR(VLOOKUP(H5,Scripts!A$3:D$60,4,FALSE),""))</f>
        <v/>
      </c>
    </row>
    <row r="6" spans="1:11">
      <c r="A6" s="313"/>
      <c r="B6" s="314"/>
      <c r="C6" s="307" t="str">
        <f>IF(B6="","",IFERROR(VLOOKUP(B6,Leads!A$3:C$100,3,FALSE),""))</f>
        <v/>
      </c>
      <c r="D6" s="314"/>
      <c r="E6" s="314"/>
      <c r="F6" s="314"/>
      <c r="G6" s="314"/>
      <c r="H6" s="314"/>
      <c r="I6" s="307" t="str">
        <f>IF(H6="","",IFERROR(VLOOKUP(H6,Scripts!A$3:D$60,3,FALSE),""))</f>
        <v/>
      </c>
      <c r="J6" s="315" t="str">
        <f>IF(H6="","",IFERROR(VLOOKUP(H6,Scripts!A$3:D$60,4,FALSE),""))</f>
        <v/>
      </c>
    </row>
    <row r="7" spans="1:11">
      <c r="A7" s="309"/>
      <c r="B7" s="310"/>
      <c r="C7" s="311" t="str">
        <f>IF(B7="","",IFERROR(VLOOKUP(B7,Leads!A$3:C$100,3,FALSE),""))</f>
        <v/>
      </c>
      <c r="D7" s="310"/>
      <c r="E7" s="310"/>
      <c r="F7" s="310"/>
      <c r="G7" s="310"/>
      <c r="H7" s="310"/>
      <c r="I7" s="311" t="str">
        <f>IF(H7="","",IFERROR(VLOOKUP(H7,Scripts!A$3:D$60,3,FALSE),""))</f>
        <v/>
      </c>
      <c r="J7" s="312" t="str">
        <f>IF(H7="","",IFERROR(VLOOKUP(H7,Scripts!A$3:D$60,4,FALSE),""))</f>
        <v/>
      </c>
    </row>
    <row r="8" spans="1:11">
      <c r="A8" s="313"/>
      <c r="B8" s="314"/>
      <c r="C8" s="307" t="str">
        <f>IF(B8="","",IFERROR(VLOOKUP(B8,Leads!A$3:C$100,3,FALSE),""))</f>
        <v/>
      </c>
      <c r="D8" s="314"/>
      <c r="E8" s="314"/>
      <c r="F8" s="314"/>
      <c r="G8" s="314"/>
      <c r="H8" s="314"/>
      <c r="I8" s="307" t="str">
        <f>IF(H8="","",IFERROR(VLOOKUP(H8,Scripts!A$3:D$60,3,FALSE),""))</f>
        <v/>
      </c>
      <c r="J8" s="315" t="str">
        <f>IF(H8="","",IFERROR(VLOOKUP(H8,Scripts!A$3:D$60,4,FALSE),""))</f>
        <v/>
      </c>
    </row>
    <row r="9" spans="1:11">
      <c r="A9" s="309"/>
      <c r="B9" s="310"/>
      <c r="C9" s="311" t="str">
        <f>IF(B9="","",IFERROR(VLOOKUP(B9,Leads!A$3:C$100,3,FALSE),""))</f>
        <v/>
      </c>
      <c r="D9" s="310"/>
      <c r="E9" s="310"/>
      <c r="F9" s="310"/>
      <c r="G9" s="310"/>
      <c r="H9" s="310"/>
      <c r="I9" s="311" t="str">
        <f>IF(H9="","",IFERROR(VLOOKUP(H9,Scripts!A$3:D$60,3,FALSE),""))</f>
        <v/>
      </c>
      <c r="J9" s="312" t="str">
        <f>IF(H9="","",IFERROR(VLOOKUP(H9,Scripts!A$3:D$60,4,FALSE),""))</f>
        <v/>
      </c>
    </row>
    <row r="10" spans="1:11">
      <c r="A10" s="313"/>
      <c r="B10" s="314"/>
      <c r="C10" s="307" t="str">
        <f>IF(B10="","",IFERROR(VLOOKUP(B10,Leads!A$3:C$100,3,FALSE),""))</f>
        <v/>
      </c>
      <c r="D10" s="314"/>
      <c r="E10" s="314"/>
      <c r="F10" s="314"/>
      <c r="G10" s="314"/>
      <c r="H10" s="314"/>
      <c r="I10" s="307" t="str">
        <f>IF(H10="","",IFERROR(VLOOKUP(H10,Scripts!A$3:D$60,3,FALSE),""))</f>
        <v/>
      </c>
      <c r="J10" s="315" t="str">
        <f>IF(H10="","",IFERROR(VLOOKUP(H10,Scripts!A$3:D$60,4,FALSE),""))</f>
        <v/>
      </c>
    </row>
    <row r="11" spans="1:11">
      <c r="A11" s="309"/>
      <c r="B11" s="310"/>
      <c r="C11" s="311" t="str">
        <f>IF(B11="","",IFERROR(VLOOKUP(B11,Leads!A$3:C$100,3,FALSE),""))</f>
        <v/>
      </c>
      <c r="D11" s="310"/>
      <c r="E11" s="310"/>
      <c r="F11" s="310"/>
      <c r="G11" s="310"/>
      <c r="H11" s="310"/>
      <c r="I11" s="311" t="str">
        <f>IF(H11="","",IFERROR(VLOOKUP(H11,Scripts!A$3:D$60,3,FALSE),""))</f>
        <v/>
      </c>
      <c r="J11" s="312" t="str">
        <f>IF(H11="","",IFERROR(VLOOKUP(H11,Scripts!A$3:D$60,4,FALSE),""))</f>
        <v/>
      </c>
    </row>
    <row r="12" spans="1:11">
      <c r="A12" s="313"/>
      <c r="B12" s="314"/>
      <c r="C12" s="307" t="str">
        <f>IF(B12="","",IFERROR(VLOOKUP(B12,Leads!A$3:C$100,3,FALSE),""))</f>
        <v/>
      </c>
      <c r="D12" s="314"/>
      <c r="E12" s="314"/>
      <c r="F12" s="314"/>
      <c r="G12" s="314"/>
      <c r="H12" s="314"/>
      <c r="I12" s="307" t="str">
        <f>IF(H12="","",IFERROR(VLOOKUP(H12,Scripts!A$3:D$60,3,FALSE),""))</f>
        <v/>
      </c>
      <c r="J12" s="315" t="str">
        <f>IF(H12="","",IFERROR(VLOOKUP(H12,Scripts!A$3:D$60,4,FALSE),""))</f>
        <v/>
      </c>
    </row>
    <row r="13" spans="1:11">
      <c r="A13" s="309"/>
      <c r="B13" s="310"/>
      <c r="C13" s="311" t="str">
        <f>IF(B13="","",IFERROR(VLOOKUP(B13,Leads!A$3:C$100,3,FALSE),""))</f>
        <v/>
      </c>
      <c r="D13" s="310"/>
      <c r="E13" s="310"/>
      <c r="F13" s="310"/>
      <c r="G13" s="310"/>
      <c r="H13" s="310"/>
      <c r="I13" s="311" t="str">
        <f>IF(H13="","",IFERROR(VLOOKUP(H13,Scripts!A$3:D$60,3,FALSE),""))</f>
        <v/>
      </c>
      <c r="J13" s="312" t="str">
        <f>IF(H13="","",IFERROR(VLOOKUP(H13,Scripts!A$3:D$60,4,FALSE),""))</f>
        <v/>
      </c>
    </row>
    <row r="14" spans="1:11">
      <c r="A14" s="313"/>
      <c r="B14" s="314"/>
      <c r="C14" s="307" t="str">
        <f>IF(B14="","",IFERROR(VLOOKUP(B14,Leads!A$3:C$100,3,FALSE),""))</f>
        <v/>
      </c>
      <c r="D14" s="314"/>
      <c r="E14" s="314"/>
      <c r="F14" s="314"/>
      <c r="G14" s="314"/>
      <c r="H14" s="314"/>
      <c r="I14" s="307" t="str">
        <f>IF(H14="","",IFERROR(VLOOKUP(H14,Scripts!A$3:D$60,3,FALSE),""))</f>
        <v/>
      </c>
      <c r="J14" s="315" t="str">
        <f>IF(H14="","",IFERROR(VLOOKUP(H14,Scripts!A$3:D$60,4,FALSE),""))</f>
        <v/>
      </c>
    </row>
    <row r="15" spans="1:11">
      <c r="A15" s="309"/>
      <c r="B15" s="310"/>
      <c r="C15" s="311" t="str">
        <f>IF(B15="","",IFERROR(VLOOKUP(B15,Leads!A$3:C$100,3,FALSE),""))</f>
        <v/>
      </c>
      <c r="D15" s="310"/>
      <c r="E15" s="310"/>
      <c r="F15" s="310"/>
      <c r="G15" s="310"/>
      <c r="H15" s="310"/>
      <c r="I15" s="311" t="str">
        <f>IF(H15="","",IFERROR(VLOOKUP(H15,Scripts!A$3:D$60,3,FALSE),""))</f>
        <v/>
      </c>
      <c r="J15" s="312" t="str">
        <f>IF(H15="","",IFERROR(VLOOKUP(H15,Scripts!A$3:D$60,4,FALSE),""))</f>
        <v/>
      </c>
    </row>
    <row r="16" spans="1:11">
      <c r="A16" s="313"/>
      <c r="B16" s="314"/>
      <c r="C16" s="307" t="str">
        <f>IF(B16="","",IFERROR(VLOOKUP(B16,Leads!A$3:C$100,3,FALSE),""))</f>
        <v/>
      </c>
      <c r="D16" s="314"/>
      <c r="E16" s="314"/>
      <c r="F16" s="314"/>
      <c r="G16" s="314"/>
      <c r="H16" s="314"/>
      <c r="I16" s="307" t="str">
        <f>IF(H16="","",IFERROR(VLOOKUP(H16,Scripts!A$3:D$60,3,FALSE),""))</f>
        <v/>
      </c>
      <c r="J16" s="315" t="str">
        <f>IF(H16="","",IFERROR(VLOOKUP(H16,Scripts!A$3:D$60,4,FALSE),""))</f>
        <v/>
      </c>
    </row>
    <row r="17" spans="1:10">
      <c r="A17" s="309"/>
      <c r="B17" s="310"/>
      <c r="C17" s="311" t="str">
        <f>IF(B17="","",IFERROR(VLOOKUP(B17,Leads!A$3:C$100,3,FALSE),""))</f>
        <v/>
      </c>
      <c r="D17" s="310"/>
      <c r="E17" s="310"/>
      <c r="F17" s="310"/>
      <c r="G17" s="310"/>
      <c r="H17" s="310"/>
      <c r="I17" s="311" t="str">
        <f>IF(H17="","",IFERROR(VLOOKUP(H17,Scripts!A$3:D$60,3,FALSE),""))</f>
        <v/>
      </c>
      <c r="J17" s="312" t="str">
        <f>IF(H17="","",IFERROR(VLOOKUP(H17,Scripts!A$3:D$60,4,FALSE),""))</f>
        <v/>
      </c>
    </row>
    <row r="18" spans="1:10">
      <c r="A18" s="313"/>
      <c r="B18" s="314"/>
      <c r="C18" s="307" t="str">
        <f>IF(B18="","",IFERROR(VLOOKUP(B18,Leads!A$3:C$100,3,FALSE),""))</f>
        <v/>
      </c>
      <c r="D18" s="314"/>
      <c r="E18" s="314"/>
      <c r="F18" s="314"/>
      <c r="G18" s="314"/>
      <c r="H18" s="314"/>
      <c r="I18" s="307" t="str">
        <f>IF(H18="","",IFERROR(VLOOKUP(H18,Scripts!A$3:D$60,3,FALSE),""))</f>
        <v/>
      </c>
      <c r="J18" s="315" t="str">
        <f>IF(H18="","",IFERROR(VLOOKUP(H18,Scripts!A$3:D$60,4,FALSE),""))</f>
        <v/>
      </c>
    </row>
    <row r="19" spans="1:10">
      <c r="A19" s="309"/>
      <c r="B19" s="310"/>
      <c r="C19" s="311" t="str">
        <f>IF(B19="","",IFERROR(VLOOKUP(B19,Leads!A$3:C$100,3,FALSE),""))</f>
        <v/>
      </c>
      <c r="D19" s="310"/>
      <c r="E19" s="310"/>
      <c r="F19" s="310"/>
      <c r="G19" s="310"/>
      <c r="H19" s="310"/>
      <c r="I19" s="311" t="str">
        <f>IF(H19="","",IFERROR(VLOOKUP(H19,Scripts!A$3:D$60,3,FALSE),""))</f>
        <v/>
      </c>
      <c r="J19" s="312" t="str">
        <f>IF(H19="","",IFERROR(VLOOKUP(H19,Scripts!A$3:D$60,4,FALSE),""))</f>
        <v/>
      </c>
    </row>
    <row r="20" spans="1:10">
      <c r="A20" s="313"/>
      <c r="B20" s="314"/>
      <c r="C20" s="307" t="str">
        <f>IF(B20="","",IFERROR(VLOOKUP(B20,Leads!A$3:C$100,3,FALSE),""))</f>
        <v/>
      </c>
      <c r="D20" s="314"/>
      <c r="E20" s="314"/>
      <c r="F20" s="314"/>
      <c r="G20" s="314"/>
      <c r="H20" s="314"/>
      <c r="I20" s="307" t="str">
        <f>IF(H20="","",IFERROR(VLOOKUP(H20,Scripts!A$3:D$60,3,FALSE),""))</f>
        <v/>
      </c>
      <c r="J20" s="315" t="str">
        <f>IF(H20="","",IFERROR(VLOOKUP(H20,Scripts!A$3:D$60,4,FALSE),""))</f>
        <v/>
      </c>
    </row>
    <row r="21" spans="1:10">
      <c r="A21" s="309"/>
      <c r="B21" s="310"/>
      <c r="C21" s="311" t="str">
        <f>IF(B21="","",IFERROR(VLOOKUP(B21,Leads!A$3:C$100,3,FALSE),""))</f>
        <v/>
      </c>
      <c r="D21" s="310"/>
      <c r="E21" s="310"/>
      <c r="F21" s="310"/>
      <c r="G21" s="310"/>
      <c r="H21" s="310"/>
      <c r="I21" s="311" t="str">
        <f>IF(H21="","",IFERROR(VLOOKUP(H21,Scripts!A$3:D$60,3,FALSE),""))</f>
        <v/>
      </c>
      <c r="J21" s="312" t="str">
        <f>IF(H21="","",IFERROR(VLOOKUP(H21,Scripts!A$3:D$60,4,FALSE),""))</f>
        <v/>
      </c>
    </row>
    <row r="22" spans="1:10">
      <c r="A22" s="313"/>
      <c r="B22" s="314"/>
      <c r="C22" s="307" t="str">
        <f>IF(B22="","",IFERROR(VLOOKUP(B22,Leads!A$3:C$100,3,FALSE),""))</f>
        <v/>
      </c>
      <c r="D22" s="314"/>
      <c r="E22" s="314"/>
      <c r="F22" s="314"/>
      <c r="G22" s="314"/>
      <c r="H22" s="314"/>
      <c r="I22" s="307" t="str">
        <f>IF(H22="","",IFERROR(VLOOKUP(H22,Scripts!A$3:D$60,3,FALSE),""))</f>
        <v/>
      </c>
      <c r="J22" s="315" t="str">
        <f>IF(H22="","",IFERROR(VLOOKUP(H22,Scripts!A$3:D$60,4,FALSE),""))</f>
        <v/>
      </c>
    </row>
    <row r="23" spans="1:10">
      <c r="A23" s="309"/>
      <c r="B23" s="310"/>
      <c r="C23" s="311" t="str">
        <f>IF(B23="","",IFERROR(VLOOKUP(B23,Leads!A$3:C$100,3,FALSE),""))</f>
        <v/>
      </c>
      <c r="D23" s="310"/>
      <c r="E23" s="310"/>
      <c r="F23" s="310"/>
      <c r="G23" s="310"/>
      <c r="H23" s="310"/>
      <c r="I23" s="311" t="str">
        <f>IF(H23="","",IFERROR(VLOOKUP(H23,Scripts!A$3:D$60,3,FALSE),""))</f>
        <v/>
      </c>
      <c r="J23" s="312" t="str">
        <f>IF(H23="","",IFERROR(VLOOKUP(H23,Scripts!A$3:D$60,4,FALSE),""))</f>
        <v/>
      </c>
    </row>
    <row r="24" spans="1:10">
      <c r="A24" s="313"/>
      <c r="B24" s="314"/>
      <c r="C24" s="307" t="str">
        <f>IF(B24="","",IFERROR(VLOOKUP(B24,Leads!A$3:C$100,3,FALSE),""))</f>
        <v/>
      </c>
      <c r="D24" s="314"/>
      <c r="E24" s="314"/>
      <c r="F24" s="314"/>
      <c r="G24" s="314"/>
      <c r="H24" s="314"/>
      <c r="I24" s="307" t="str">
        <f>IF(H24="","",IFERROR(VLOOKUP(H24,Scripts!A$3:D$60,3,FALSE),""))</f>
        <v/>
      </c>
      <c r="J24" s="315" t="str">
        <f>IF(H24="","",IFERROR(VLOOKUP(H24,Scripts!A$3:D$60,4,FALSE),""))</f>
        <v/>
      </c>
    </row>
    <row r="25" spans="1:10">
      <c r="A25" s="309"/>
      <c r="B25" s="310"/>
      <c r="C25" s="311" t="str">
        <f>IF(B25="","",IFERROR(VLOOKUP(B25,Leads!A$3:C$100,3,FALSE),""))</f>
        <v/>
      </c>
      <c r="D25" s="310"/>
      <c r="E25" s="310"/>
      <c r="F25" s="310"/>
      <c r="G25" s="310"/>
      <c r="H25" s="310"/>
      <c r="I25" s="311" t="str">
        <f>IF(H25="","",IFERROR(VLOOKUP(H25,Scripts!A$3:D$60,3,FALSE),""))</f>
        <v/>
      </c>
      <c r="J25" s="312" t="str">
        <f>IF(H25="","",IFERROR(VLOOKUP(H25,Scripts!A$3:D$60,4,FALSE),""))</f>
        <v/>
      </c>
    </row>
    <row r="26" spans="1:10">
      <c r="A26" s="313"/>
      <c r="B26" s="314"/>
      <c r="C26" s="307" t="str">
        <f>IF(B26="","",IFERROR(VLOOKUP(B26,Leads!A$3:C$100,3,FALSE),""))</f>
        <v/>
      </c>
      <c r="D26" s="314"/>
      <c r="E26" s="314"/>
      <c r="F26" s="314"/>
      <c r="G26" s="314"/>
      <c r="H26" s="314"/>
      <c r="I26" s="307" t="str">
        <f>IF(H26="","",IFERROR(VLOOKUP(H26,Scripts!A$3:D$60,3,FALSE),""))</f>
        <v/>
      </c>
      <c r="J26" s="315" t="str">
        <f>IF(H26="","",IFERROR(VLOOKUP(H26,Scripts!A$3:D$60,4,FALSE),""))</f>
        <v/>
      </c>
    </row>
    <row r="27" spans="1:10">
      <c r="A27" s="309"/>
      <c r="B27" s="310"/>
      <c r="C27" s="311" t="str">
        <f>IF(B27="","",IFERROR(VLOOKUP(B27,Leads!A$3:C$100,3,FALSE),""))</f>
        <v/>
      </c>
      <c r="D27" s="310"/>
      <c r="E27" s="310"/>
      <c r="F27" s="310"/>
      <c r="G27" s="310"/>
      <c r="H27" s="310"/>
      <c r="I27" s="311" t="str">
        <f>IF(H27="","",IFERROR(VLOOKUP(H27,Scripts!A$3:D$60,3,FALSE),""))</f>
        <v/>
      </c>
      <c r="J27" s="312" t="str">
        <f>IF(H27="","",IFERROR(VLOOKUP(H27,Scripts!A$3:D$60,4,FALSE),""))</f>
        <v/>
      </c>
    </row>
    <row r="28" spans="1:10">
      <c r="A28" s="313"/>
      <c r="B28" s="314"/>
      <c r="C28" s="307" t="str">
        <f>IF(B28="","",IFERROR(VLOOKUP(B28,Leads!A$3:C$100,3,FALSE),""))</f>
        <v/>
      </c>
      <c r="D28" s="314"/>
      <c r="E28" s="314"/>
      <c r="F28" s="314"/>
      <c r="G28" s="314"/>
      <c r="H28" s="314"/>
      <c r="I28" s="307" t="str">
        <f>IF(H28="","",IFERROR(VLOOKUP(H28,Scripts!A$3:D$60,3,FALSE),""))</f>
        <v/>
      </c>
      <c r="J28" s="315" t="str">
        <f>IF(H28="","",IFERROR(VLOOKUP(H28,Scripts!A$3:D$60,4,FALSE),""))</f>
        <v/>
      </c>
    </row>
    <row r="29" spans="1:10">
      <c r="A29" s="309"/>
      <c r="B29" s="310"/>
      <c r="C29" s="311" t="str">
        <f>IF(B29="","",IFERROR(VLOOKUP(B29,Leads!A$3:C$100,3,FALSE),""))</f>
        <v/>
      </c>
      <c r="D29" s="310"/>
      <c r="E29" s="310"/>
      <c r="F29" s="310"/>
      <c r="G29" s="310"/>
      <c r="H29" s="310"/>
      <c r="I29" s="311" t="str">
        <f>IF(H29="","",IFERROR(VLOOKUP(H29,Scripts!A$3:D$60,3,FALSE),""))</f>
        <v/>
      </c>
      <c r="J29" s="312" t="str">
        <f>IF(H29="","",IFERROR(VLOOKUP(H29,Scripts!A$3:D$60,4,FALSE),""))</f>
        <v/>
      </c>
    </row>
    <row r="30" spans="1:10">
      <c r="A30" s="313"/>
      <c r="B30" s="314"/>
      <c r="C30" s="307" t="str">
        <f>IF(B30="","",IFERROR(VLOOKUP(B30,Leads!A$3:C$100,3,FALSE),""))</f>
        <v/>
      </c>
      <c r="D30" s="314"/>
      <c r="E30" s="314"/>
      <c r="F30" s="314"/>
      <c r="G30" s="314"/>
      <c r="H30" s="314"/>
      <c r="I30" s="307" t="str">
        <f>IF(H30="","",IFERROR(VLOOKUP(H30,Scripts!A$3:D$60,3,FALSE),""))</f>
        <v/>
      </c>
      <c r="J30" s="315" t="str">
        <f>IF(H30="","",IFERROR(VLOOKUP(H30,Scripts!A$3:D$60,4,FALSE),""))</f>
        <v/>
      </c>
    </row>
    <row r="31" spans="1:10">
      <c r="A31" s="309"/>
      <c r="B31" s="310"/>
      <c r="C31" s="311" t="str">
        <f>IF(B31="","",IFERROR(VLOOKUP(B31,Leads!A$3:C$100,3,FALSE),""))</f>
        <v/>
      </c>
      <c r="D31" s="310"/>
      <c r="E31" s="310"/>
      <c r="F31" s="310"/>
      <c r="G31" s="310"/>
      <c r="H31" s="310"/>
      <c r="I31" s="311" t="str">
        <f>IF(H31="","",IFERROR(VLOOKUP(H31,Scripts!A$3:D$60,3,FALSE),""))</f>
        <v/>
      </c>
      <c r="J31" s="312" t="str">
        <f>IF(H31="","",IFERROR(VLOOKUP(H31,Scripts!A$3:D$60,4,FALSE),""))</f>
        <v/>
      </c>
    </row>
    <row r="32" spans="1:10">
      <c r="A32" s="313"/>
      <c r="B32" s="314"/>
      <c r="C32" s="307" t="str">
        <f>IF(B32="","",IFERROR(VLOOKUP(B32,Leads!A$3:C$100,3,FALSE),""))</f>
        <v/>
      </c>
      <c r="D32" s="314"/>
      <c r="E32" s="314"/>
      <c r="F32" s="314"/>
      <c r="G32" s="314"/>
      <c r="H32" s="314"/>
      <c r="I32" s="307" t="str">
        <f>IF(H32="","",IFERROR(VLOOKUP(H32,Scripts!A$3:D$60,3,FALSE),""))</f>
        <v/>
      </c>
      <c r="J32" s="315" t="str">
        <f>IF(H32="","",IFERROR(VLOOKUP(H32,Scripts!A$3:D$60,4,FALSE),""))</f>
        <v/>
      </c>
    </row>
    <row r="33" spans="1:10">
      <c r="A33" s="316"/>
      <c r="B33" s="317"/>
      <c r="C33" s="317"/>
      <c r="D33" s="317"/>
      <c r="E33" s="317"/>
      <c r="F33" s="317"/>
      <c r="G33" s="317"/>
      <c r="H33" s="317"/>
      <c r="I33" s="318" t="str">
        <f>IF(H33="","",IFERROR(VLOOKUP(H33,Scripts!A$3:D$60,3,FALSE),""))</f>
        <v/>
      </c>
      <c r="J33" s="319" t="str">
        <f>IF(H33="","",IFERROR(VLOOKUP(H33,Scripts!A$3:D$60,4,FALSE),""))</f>
        <v/>
      </c>
    </row>
    <row r="34" spans="1:10">
      <c r="A34" s="320"/>
      <c r="B34" s="321"/>
      <c r="C34" s="321"/>
      <c r="D34" s="321"/>
      <c r="E34" s="321"/>
      <c r="F34" s="321"/>
      <c r="G34" s="321"/>
      <c r="H34" s="321"/>
      <c r="I34" s="322" t="str">
        <f>IF(H34="","",IFERROR(VLOOKUP(H34,Scripts!A$3:D$60,3,FALSE),""))</f>
        <v/>
      </c>
      <c r="J34" s="323" t="str">
        <f>IF(H34="","",IFERROR(VLOOKUP(H34,Scripts!A$3:D$60,4,FALSE),""))</f>
        <v/>
      </c>
    </row>
    <row r="35" spans="1:10">
      <c r="A35" s="316"/>
      <c r="B35" s="317"/>
      <c r="C35" s="317"/>
      <c r="D35" s="317"/>
      <c r="E35" s="317"/>
      <c r="F35" s="317"/>
      <c r="G35" s="317"/>
      <c r="H35" s="317"/>
      <c r="I35" s="318" t="str">
        <f>IF(H35="","",IFERROR(VLOOKUP(H35,Scripts!A$3:D$60,3,FALSE),""))</f>
        <v/>
      </c>
      <c r="J35" s="319" t="str">
        <f>IF(H35="","",IFERROR(VLOOKUP(H35,Scripts!A$3:D$60,4,FALSE),""))</f>
        <v/>
      </c>
    </row>
    <row r="36" spans="1:10">
      <c r="A36" s="320"/>
      <c r="B36" s="321"/>
      <c r="C36" s="321"/>
      <c r="D36" s="321"/>
      <c r="E36" s="321"/>
      <c r="F36" s="321"/>
      <c r="G36" s="321"/>
      <c r="H36" s="321"/>
      <c r="I36" s="322" t="str">
        <f>IF(H36="","",IFERROR(VLOOKUP(H36,Scripts!A$3:D$60,3,FALSE),""))</f>
        <v/>
      </c>
      <c r="J36" s="323" t="str">
        <f>IF(H36="","",IFERROR(VLOOKUP(H36,Scripts!A$3:D$60,4,FALSE),""))</f>
        <v/>
      </c>
    </row>
    <row r="37" spans="1:10">
      <c r="A37" s="316"/>
      <c r="B37" s="317"/>
      <c r="C37" s="317"/>
      <c r="D37" s="317"/>
      <c r="E37" s="317"/>
      <c r="F37" s="317"/>
      <c r="G37" s="317"/>
      <c r="H37" s="317"/>
      <c r="I37" s="318" t="str">
        <f>IF(H37="","",IFERROR(VLOOKUP(H37,Scripts!A$3:D$60,3,FALSE),""))</f>
        <v/>
      </c>
      <c r="J37" s="319" t="str">
        <f>IF(H37="","",IFERROR(VLOOKUP(H37,Scripts!A$3:D$60,4,FALSE),""))</f>
        <v/>
      </c>
    </row>
    <row r="38" spans="1:10">
      <c r="A38" s="320"/>
      <c r="B38" s="321"/>
      <c r="C38" s="321"/>
      <c r="D38" s="321"/>
      <c r="E38" s="321"/>
      <c r="F38" s="321"/>
      <c r="G38" s="321"/>
      <c r="H38" s="321"/>
      <c r="I38" s="322" t="str">
        <f>IF(H38="","",IFERROR(VLOOKUP(H38,Scripts!A$3:D$60,3,FALSE),""))</f>
        <v/>
      </c>
      <c r="J38" s="323" t="str">
        <f>IF(H38="","",IFERROR(VLOOKUP(H38,Scripts!A$3:D$60,4,FALSE),""))</f>
        <v/>
      </c>
    </row>
    <row r="39" spans="1:10">
      <c r="A39" s="316"/>
      <c r="B39" s="317"/>
      <c r="C39" s="317"/>
      <c r="D39" s="317"/>
      <c r="E39" s="317"/>
      <c r="F39" s="317"/>
      <c r="G39" s="317"/>
      <c r="H39" s="317"/>
      <c r="I39" s="318" t="str">
        <f>IF(H39="","",IFERROR(VLOOKUP(H39,Scripts!A$3:D$60,3,FALSE),""))</f>
        <v/>
      </c>
      <c r="J39" s="319" t="str">
        <f>IF(H39="","",IFERROR(VLOOKUP(H39,Scripts!A$3:D$60,4,FALSE),""))</f>
        <v/>
      </c>
    </row>
    <row r="40" spans="1:10">
      <c r="A40" s="320"/>
      <c r="B40" s="321"/>
      <c r="C40" s="321"/>
      <c r="D40" s="321"/>
      <c r="E40" s="321"/>
      <c r="F40" s="321"/>
      <c r="G40" s="321"/>
      <c r="H40" s="321"/>
      <c r="I40" s="322" t="str">
        <f>IF(H40="","",IFERROR(VLOOKUP(H40,Scripts!A$3:D$60,3,FALSE),""))</f>
        <v/>
      </c>
      <c r="J40" s="323" t="str">
        <f>IF(H40="","",IFERROR(VLOOKUP(H40,Scripts!A$3:D$60,4,FALSE),""))</f>
        <v/>
      </c>
    </row>
    <row r="41" spans="1:10">
      <c r="A41" s="316"/>
      <c r="B41" s="317"/>
      <c r="C41" s="317"/>
      <c r="D41" s="317"/>
      <c r="E41" s="317"/>
      <c r="F41" s="317"/>
      <c r="G41" s="317"/>
      <c r="H41" s="317"/>
      <c r="I41" s="318" t="str">
        <f>IF(H41="","",IFERROR(VLOOKUP(H41,Scripts!A$3:D$60,3,FALSE),""))</f>
        <v/>
      </c>
      <c r="J41" s="319" t="str">
        <f>IF(H41="","",IFERROR(VLOOKUP(H41,Scripts!A$3:D$60,4,FALSE),""))</f>
        <v/>
      </c>
    </row>
    <row r="42" spans="1:10">
      <c r="A42" s="320"/>
      <c r="B42" s="321"/>
      <c r="C42" s="321"/>
      <c r="D42" s="321"/>
      <c r="E42" s="321"/>
      <c r="F42" s="321"/>
      <c r="G42" s="321"/>
      <c r="H42" s="321"/>
      <c r="I42" s="322" t="str">
        <f>IF(H42="","",IFERROR(VLOOKUP(H42,Scripts!A$3:D$60,3,FALSE),""))</f>
        <v/>
      </c>
      <c r="J42" s="323" t="str">
        <f>IF(H42="","",IFERROR(VLOOKUP(H42,Scripts!A$3:D$60,4,FALSE),""))</f>
        <v/>
      </c>
    </row>
    <row r="43" spans="1:10">
      <c r="A43" s="316"/>
      <c r="B43" s="317"/>
      <c r="C43" s="317"/>
      <c r="D43" s="317"/>
      <c r="E43" s="317"/>
      <c r="F43" s="317"/>
      <c r="G43" s="317"/>
      <c r="H43" s="317"/>
      <c r="I43" s="318" t="str">
        <f>IF(H43="","",IFERROR(VLOOKUP(H43,Scripts!A$3:D$60,3,FALSE),""))</f>
        <v/>
      </c>
      <c r="J43" s="319" t="str">
        <f>IF(H43="","",IFERROR(VLOOKUP(H43,Scripts!A$3:D$60,4,FALSE),""))</f>
        <v/>
      </c>
    </row>
    <row r="44" spans="1:10">
      <c r="A44" s="320"/>
      <c r="B44" s="321"/>
      <c r="C44" s="321"/>
      <c r="D44" s="321"/>
      <c r="E44" s="321"/>
      <c r="F44" s="321"/>
      <c r="G44" s="321"/>
      <c r="H44" s="321"/>
      <c r="I44" s="322" t="str">
        <f>IF(H44="","",IFERROR(VLOOKUP(H44,Scripts!A$3:D$60,3,FALSE),""))</f>
        <v/>
      </c>
      <c r="J44" s="323" t="str">
        <f>IF(H44="","",IFERROR(VLOOKUP(H44,Scripts!A$3:D$60,4,FALSE),""))</f>
        <v/>
      </c>
    </row>
    <row r="45" spans="1:10">
      <c r="A45" s="316"/>
      <c r="B45" s="317"/>
      <c r="C45" s="317"/>
      <c r="D45" s="317"/>
      <c r="E45" s="317"/>
      <c r="F45" s="317"/>
      <c r="G45" s="317"/>
      <c r="H45" s="317"/>
      <c r="I45" s="318" t="str">
        <f>IF(H45="","",IFERROR(VLOOKUP(H45,Scripts!A$3:D$60,3,FALSE),""))</f>
        <v/>
      </c>
      <c r="J45" s="319" t="str">
        <f>IF(H45="","",IFERROR(VLOOKUP(H45,Scripts!A$3:D$60,4,FALSE),""))</f>
        <v/>
      </c>
    </row>
    <row r="46" spans="1:10">
      <c r="A46" s="320"/>
      <c r="B46" s="321"/>
      <c r="C46" s="321"/>
      <c r="D46" s="321"/>
      <c r="E46" s="321"/>
      <c r="F46" s="321"/>
      <c r="G46" s="321"/>
      <c r="H46" s="321"/>
      <c r="I46" s="322" t="str">
        <f>IF(H46="","",IFERROR(VLOOKUP(H46,Scripts!A$3:D$60,3,FALSE),""))</f>
        <v/>
      </c>
      <c r="J46" s="323" t="str">
        <f>IF(H46="","",IFERROR(VLOOKUP(H46,Scripts!A$3:D$60,4,FALSE),""))</f>
        <v/>
      </c>
    </row>
    <row r="47" spans="1:10">
      <c r="A47" s="316"/>
      <c r="B47" s="317"/>
      <c r="C47" s="317"/>
      <c r="D47" s="317"/>
      <c r="E47" s="317"/>
      <c r="F47" s="317"/>
      <c r="G47" s="317"/>
      <c r="H47" s="317"/>
      <c r="I47" s="318" t="str">
        <f>IF(H47="","",IFERROR(VLOOKUP(H47,Scripts!A$3:D$60,3,FALSE),""))</f>
        <v/>
      </c>
      <c r="J47" s="319" t="str">
        <f>IF(H47="","",IFERROR(VLOOKUP(H47,Scripts!A$3:D$60,4,FALSE),""))</f>
        <v/>
      </c>
    </row>
    <row r="48" spans="1:10">
      <c r="A48" s="320"/>
      <c r="B48" s="321"/>
      <c r="C48" s="321"/>
      <c r="D48" s="321"/>
      <c r="E48" s="321"/>
      <c r="F48" s="321"/>
      <c r="G48" s="321"/>
      <c r="H48" s="321"/>
      <c r="I48" s="322" t="str">
        <f>IF(H48="","",IFERROR(VLOOKUP(H48,Scripts!A$3:D$60,3,FALSE),""))</f>
        <v/>
      </c>
      <c r="J48" s="323" t="str">
        <f>IF(H48="","",IFERROR(VLOOKUP(H48,Scripts!A$3:D$60,4,FALSE),""))</f>
        <v/>
      </c>
    </row>
    <row r="49" spans="1:10">
      <c r="A49" s="316"/>
      <c r="B49" s="317"/>
      <c r="C49" s="317"/>
      <c r="D49" s="317"/>
      <c r="E49" s="317"/>
      <c r="F49" s="317"/>
      <c r="G49" s="317"/>
      <c r="H49" s="317"/>
      <c r="I49" s="318" t="str">
        <f>IF(H49="","",IFERROR(VLOOKUP(H49,Scripts!A$3:D$60,3,FALSE),""))</f>
        <v/>
      </c>
      <c r="J49" s="319" t="str">
        <f>IF(H49="","",IFERROR(VLOOKUP(H49,Scripts!A$3:D$60,4,FALSE),""))</f>
        <v/>
      </c>
    </row>
    <row r="50" spans="1:10">
      <c r="A50" s="320"/>
      <c r="B50" s="321"/>
      <c r="C50" s="321"/>
      <c r="D50" s="321"/>
      <c r="E50" s="321"/>
      <c r="F50" s="321"/>
      <c r="G50" s="321"/>
      <c r="H50" s="321"/>
      <c r="I50" s="322" t="str">
        <f>IF(H50="","",IFERROR(VLOOKUP(H50,Scripts!A$3:D$60,3,FALSE),""))</f>
        <v/>
      </c>
      <c r="J50" s="323" t="str">
        <f>IF(H50="","",IFERROR(VLOOKUP(H50,Scripts!A$3:D$60,4,FALSE),""))</f>
        <v/>
      </c>
    </row>
    <row r="51" spans="1:10">
      <c r="A51" s="316"/>
      <c r="B51" s="317"/>
      <c r="C51" s="317"/>
      <c r="D51" s="317"/>
      <c r="E51" s="317"/>
      <c r="F51" s="317"/>
      <c r="G51" s="317"/>
      <c r="H51" s="317"/>
      <c r="I51" s="318" t="str">
        <f>IF(H51="","",IFERROR(VLOOKUP(H51,Scripts!A$3:D$60,3,FALSE),""))</f>
        <v/>
      </c>
      <c r="J51" s="319" t="str">
        <f>IF(H51="","",IFERROR(VLOOKUP(H51,Scripts!A$3:D$60,4,FALSE),""))</f>
        <v/>
      </c>
    </row>
    <row r="52" spans="1:10">
      <c r="A52" s="320"/>
      <c r="B52" s="321"/>
      <c r="C52" s="321"/>
      <c r="D52" s="321"/>
      <c r="E52" s="321"/>
      <c r="F52" s="321"/>
      <c r="G52" s="321"/>
      <c r="H52" s="321"/>
      <c r="I52" s="322" t="str">
        <f>IF(H52="","",IFERROR(VLOOKUP(H52,Scripts!A$3:D$60,3,FALSE),""))</f>
        <v/>
      </c>
      <c r="J52" s="323" t="str">
        <f>IF(H52="","",IFERROR(VLOOKUP(H52,Scripts!A$3:D$60,4,FALSE),""))</f>
        <v/>
      </c>
    </row>
    <row r="53" spans="1:10">
      <c r="A53" s="316"/>
      <c r="B53" s="317"/>
      <c r="C53" s="317"/>
      <c r="D53" s="317"/>
      <c r="E53" s="317"/>
      <c r="F53" s="317"/>
      <c r="G53" s="317"/>
      <c r="H53" s="317"/>
      <c r="I53" s="318" t="str">
        <f>IF(H53="","",IFERROR(VLOOKUP(H53,Scripts!A$3:D$60,3,FALSE),""))</f>
        <v/>
      </c>
      <c r="J53" s="319" t="str">
        <f>IF(H53="","",IFERROR(VLOOKUP(H53,Scripts!A$3:D$60,4,FALSE),""))</f>
        <v/>
      </c>
    </row>
    <row r="54" spans="1:10">
      <c r="A54" s="320"/>
      <c r="B54" s="321"/>
      <c r="C54" s="321"/>
      <c r="D54" s="321"/>
      <c r="E54" s="321"/>
      <c r="F54" s="321"/>
      <c r="G54" s="321"/>
      <c r="H54" s="321"/>
      <c r="I54" s="322" t="str">
        <f>IF(H54="","",IFERROR(VLOOKUP(H54,Scripts!A$3:D$60,3,FALSE),""))</f>
        <v/>
      </c>
      <c r="J54" s="323" t="str">
        <f>IF(H54="","",IFERROR(VLOOKUP(H54,Scripts!A$3:D$60,4,FALSE),""))</f>
        <v/>
      </c>
    </row>
    <row r="55" spans="1:10">
      <c r="A55" s="316"/>
      <c r="B55" s="317"/>
      <c r="C55" s="317"/>
      <c r="D55" s="317"/>
      <c r="E55" s="317"/>
      <c r="F55" s="317"/>
      <c r="G55" s="317"/>
      <c r="H55" s="317"/>
      <c r="I55" s="318" t="str">
        <f>IF(H55="","",IFERROR(VLOOKUP(H55,Scripts!A$3:D$60,3,FALSE),""))</f>
        <v/>
      </c>
      <c r="J55" s="319" t="str">
        <f>IF(H55="","",IFERROR(VLOOKUP(H55,Scripts!A$3:D$60,4,FALSE),""))</f>
        <v/>
      </c>
    </row>
    <row r="56" spans="1:10">
      <c r="A56" s="320"/>
      <c r="B56" s="321"/>
      <c r="C56" s="321"/>
      <c r="D56" s="321"/>
      <c r="E56" s="321"/>
      <c r="F56" s="321"/>
      <c r="G56" s="321"/>
      <c r="H56" s="321"/>
      <c r="I56" s="322" t="str">
        <f>IF(H56="","",IFERROR(VLOOKUP(H56,Scripts!A$3:D$60,3,FALSE),""))</f>
        <v/>
      </c>
      <c r="J56" s="323" t="str">
        <f>IF(H56="","",IFERROR(VLOOKUP(H56,Scripts!A$3:D$60,4,FALSE),""))</f>
        <v/>
      </c>
    </row>
    <row r="57" spans="1:10">
      <c r="A57" s="316"/>
      <c r="B57" s="317"/>
      <c r="C57" s="317"/>
      <c r="D57" s="317"/>
      <c r="E57" s="317"/>
      <c r="F57" s="317"/>
      <c r="G57" s="317"/>
      <c r="H57" s="317"/>
      <c r="I57" s="318" t="str">
        <f>IF(H57="","",IFERROR(VLOOKUP(H57,Scripts!A$3:D$60,3,FALSE),""))</f>
        <v/>
      </c>
      <c r="J57" s="319" t="str">
        <f>IF(H57="","",IFERROR(VLOOKUP(H57,Scripts!A$3:D$60,4,FALSE),""))</f>
        <v/>
      </c>
    </row>
    <row r="58" spans="1:10">
      <c r="A58" s="320"/>
      <c r="B58" s="321"/>
      <c r="C58" s="321"/>
      <c r="D58" s="321"/>
      <c r="E58" s="321"/>
      <c r="F58" s="321"/>
      <c r="G58" s="321"/>
      <c r="H58" s="321"/>
      <c r="I58" s="322" t="str">
        <f>IF(H58="","",IFERROR(VLOOKUP(H58,Scripts!A$3:D$60,3,FALSE),""))</f>
        <v/>
      </c>
      <c r="J58" s="323" t="str">
        <f>IF(H58="","",IFERROR(VLOOKUP(H58,Scripts!A$3:D$60,4,FALSE),""))</f>
        <v/>
      </c>
    </row>
    <row r="59" spans="1:10">
      <c r="A59" s="316"/>
      <c r="B59" s="317"/>
      <c r="C59" s="317"/>
      <c r="D59" s="317"/>
      <c r="E59" s="317"/>
      <c r="F59" s="317"/>
      <c r="G59" s="317"/>
      <c r="H59" s="317"/>
      <c r="I59" s="318" t="str">
        <f>IF(H59="","",IFERROR(VLOOKUP(H59,Scripts!A$3:D$60,3,FALSE),""))</f>
        <v/>
      </c>
      <c r="J59" s="319" t="str">
        <f>IF(H59="","",IFERROR(VLOOKUP(H59,Scripts!A$3:D$60,4,FALSE),""))</f>
        <v/>
      </c>
    </row>
    <row r="60" spans="1:10">
      <c r="A60" s="320"/>
      <c r="B60" s="321"/>
      <c r="C60" s="321"/>
      <c r="D60" s="321"/>
      <c r="E60" s="321"/>
      <c r="F60" s="321"/>
      <c r="G60" s="321"/>
      <c r="H60" s="321"/>
      <c r="I60" s="322" t="str">
        <f>IF(H60="","",IFERROR(VLOOKUP(H60,Scripts!A$3:D$60,3,FALSE),""))</f>
        <v/>
      </c>
      <c r="J60" s="323" t="str">
        <f>IF(H60="","",IFERROR(VLOOKUP(H60,Scripts!A$3:D$60,4,FALSE),""))</f>
        <v/>
      </c>
    </row>
    <row r="61" spans="1:10">
      <c r="A61" s="316"/>
      <c r="B61" s="317"/>
      <c r="C61" s="317"/>
      <c r="D61" s="317"/>
      <c r="E61" s="317"/>
      <c r="F61" s="317"/>
      <c r="G61" s="317"/>
      <c r="H61" s="317"/>
      <c r="I61" s="318" t="str">
        <f>IF(H61="","",IFERROR(VLOOKUP(H61,Scripts!A$3:D$60,3,FALSE),""))</f>
        <v/>
      </c>
      <c r="J61" s="319" t="str">
        <f>IF(H61="","",IFERROR(VLOOKUP(H61,Scripts!A$3:D$60,4,FALSE),""))</f>
        <v/>
      </c>
    </row>
    <row r="62" spans="1:10">
      <c r="A62" s="320"/>
      <c r="B62" s="321"/>
      <c r="C62" s="321"/>
      <c r="D62" s="321"/>
      <c r="E62" s="321"/>
      <c r="F62" s="321"/>
      <c r="G62" s="321"/>
      <c r="H62" s="321"/>
      <c r="I62" s="322" t="str">
        <f>IF(H62="","",IFERROR(VLOOKUP(H62,Scripts!A$3:D$60,3,FALSE),""))</f>
        <v/>
      </c>
      <c r="J62" s="323" t="str">
        <f>IF(H62="","",IFERROR(VLOOKUP(H62,Scripts!A$3:D$60,4,FALSE),""))</f>
        <v/>
      </c>
    </row>
    <row r="63" spans="1:10">
      <c r="A63" s="316"/>
      <c r="B63" s="317"/>
      <c r="C63" s="317"/>
      <c r="D63" s="317"/>
      <c r="E63" s="317"/>
      <c r="F63" s="317"/>
      <c r="G63" s="317"/>
      <c r="H63" s="317"/>
      <c r="I63" s="318" t="str">
        <f>IF(H63="","",IFERROR(VLOOKUP(H63,Scripts!A$3:D$60,3,FALSE),""))</f>
        <v/>
      </c>
      <c r="J63" s="319" t="str">
        <f>IF(H63="","",IFERROR(VLOOKUP(H63,Scripts!A$3:D$60,4,FALSE),""))</f>
        <v/>
      </c>
    </row>
    <row r="64" spans="1:10">
      <c r="A64" s="320"/>
      <c r="B64" s="321"/>
      <c r="C64" s="321"/>
      <c r="D64" s="321"/>
      <c r="E64" s="321"/>
      <c r="F64" s="321"/>
      <c r="G64" s="321"/>
      <c r="H64" s="321"/>
      <c r="I64" s="322" t="str">
        <f>IF(H64="","",IFERROR(VLOOKUP(H64,Scripts!A$3:D$60,3,FALSE),""))</f>
        <v/>
      </c>
      <c r="J64" s="323" t="str">
        <f>IF(H64="","",IFERROR(VLOOKUP(H64,Scripts!A$3:D$60,4,FALSE),""))</f>
        <v/>
      </c>
    </row>
    <row r="65" spans="1:10">
      <c r="A65" s="316"/>
      <c r="B65" s="317"/>
      <c r="C65" s="317"/>
      <c r="D65" s="317"/>
      <c r="E65" s="317"/>
      <c r="F65" s="317"/>
      <c r="G65" s="317"/>
      <c r="H65" s="317"/>
      <c r="I65" s="318" t="str">
        <f>IF(H65="","",IFERROR(VLOOKUP(H65,Scripts!A$3:D$60,3,FALSE),""))</f>
        <v/>
      </c>
      <c r="J65" s="319" t="str">
        <f>IF(H65="","",IFERROR(VLOOKUP(H65,Scripts!A$3:D$60,4,FALSE),""))</f>
        <v/>
      </c>
    </row>
    <row r="66" spans="1:10">
      <c r="A66" s="320"/>
      <c r="B66" s="321"/>
      <c r="C66" s="321"/>
      <c r="D66" s="321"/>
      <c r="E66" s="321"/>
      <c r="F66" s="321"/>
      <c r="G66" s="321"/>
      <c r="H66" s="321"/>
      <c r="I66" s="322" t="str">
        <f>IF(H66="","",IFERROR(VLOOKUP(H66,Scripts!A$3:D$60,3,FALSE),""))</f>
        <v/>
      </c>
      <c r="J66" s="323" t="str">
        <f>IF(H66="","",IFERROR(VLOOKUP(H66,Scripts!A$3:D$60,4,FALSE),""))</f>
        <v/>
      </c>
    </row>
    <row r="67" spans="1:10">
      <c r="A67" s="316"/>
      <c r="B67" s="317"/>
      <c r="C67" s="317"/>
      <c r="D67" s="317"/>
      <c r="E67" s="317"/>
      <c r="F67" s="317"/>
      <c r="G67" s="317"/>
      <c r="H67" s="317"/>
      <c r="I67" s="318" t="str">
        <f>IF(H67="","",IFERROR(VLOOKUP(H67,Scripts!A$3:D$60,3,FALSE),""))</f>
        <v/>
      </c>
      <c r="J67" s="319" t="str">
        <f>IF(H67="","",IFERROR(VLOOKUP(H67,Scripts!A$3:D$60,4,FALSE),""))</f>
        <v/>
      </c>
    </row>
    <row r="68" spans="1:10">
      <c r="A68" s="320"/>
      <c r="B68" s="321"/>
      <c r="C68" s="321"/>
      <c r="D68" s="321"/>
      <c r="E68" s="321"/>
      <c r="F68" s="321"/>
      <c r="G68" s="321"/>
      <c r="H68" s="321"/>
      <c r="I68" s="322" t="str">
        <f>IF(H68="","",IFERROR(VLOOKUP(H68,Scripts!A$3:D$60,3,FALSE),""))</f>
        <v/>
      </c>
      <c r="J68" s="323" t="str">
        <f>IF(H68="","",IFERROR(VLOOKUP(H68,Scripts!A$3:D$60,4,FALSE),""))</f>
        <v/>
      </c>
    </row>
    <row r="69" spans="1:10">
      <c r="A69" s="316"/>
      <c r="B69" s="317"/>
      <c r="C69" s="317"/>
      <c r="D69" s="317"/>
      <c r="E69" s="317"/>
      <c r="F69" s="317"/>
      <c r="G69" s="317"/>
      <c r="H69" s="317"/>
      <c r="I69" s="318" t="str">
        <f>IF(H69="","",IFERROR(VLOOKUP(H69,Scripts!A$3:D$60,3,FALSE),""))</f>
        <v/>
      </c>
      <c r="J69" s="319" t="str">
        <f>IF(H69="","",IFERROR(VLOOKUP(H69,Scripts!A$3:D$60,4,FALSE),""))</f>
        <v/>
      </c>
    </row>
    <row r="70" spans="1:10">
      <c r="A70" s="320"/>
      <c r="B70" s="321"/>
      <c r="C70" s="321"/>
      <c r="D70" s="321"/>
      <c r="E70" s="321"/>
      <c r="F70" s="321"/>
      <c r="G70" s="321"/>
      <c r="H70" s="321"/>
      <c r="I70" s="322" t="str">
        <f>IF(H70="","",IFERROR(VLOOKUP(H70,Scripts!A$3:D$60,3,FALSE),""))</f>
        <v/>
      </c>
      <c r="J70" s="323" t="str">
        <f>IF(H70="","",IFERROR(VLOOKUP(H70,Scripts!A$3:D$60,4,FALSE),""))</f>
        <v/>
      </c>
    </row>
    <row r="71" spans="1:10">
      <c r="A71" s="316"/>
      <c r="B71" s="317"/>
      <c r="C71" s="317"/>
      <c r="D71" s="317"/>
      <c r="E71" s="317"/>
      <c r="F71" s="317"/>
      <c r="G71" s="317"/>
      <c r="H71" s="317"/>
      <c r="I71" s="318" t="str">
        <f>IF(H71="","",IFERROR(VLOOKUP(H71,Scripts!A$3:D$60,3,FALSE),""))</f>
        <v/>
      </c>
      <c r="J71" s="319" t="str">
        <f>IF(H71="","",IFERROR(VLOOKUP(H71,Scripts!A$3:D$60,4,FALSE),""))</f>
        <v/>
      </c>
    </row>
    <row r="72" spans="1:10">
      <c r="A72" s="320"/>
      <c r="B72" s="321"/>
      <c r="C72" s="321"/>
      <c r="D72" s="321"/>
      <c r="E72" s="321"/>
      <c r="F72" s="321"/>
      <c r="G72" s="321"/>
      <c r="H72" s="321"/>
      <c r="I72" s="322" t="str">
        <f>IF(H72="","",IFERROR(VLOOKUP(H72,Scripts!A$3:D$60,3,FALSE),""))</f>
        <v/>
      </c>
      <c r="J72" s="323" t="str">
        <f>IF(H72="","",IFERROR(VLOOKUP(H72,Scripts!A$3:D$60,4,FALSE),""))</f>
        <v/>
      </c>
    </row>
    <row r="73" spans="1:10">
      <c r="A73" s="316"/>
      <c r="B73" s="317"/>
      <c r="C73" s="317"/>
      <c r="D73" s="317"/>
      <c r="E73" s="317"/>
      <c r="F73" s="317"/>
      <c r="G73" s="317"/>
      <c r="H73" s="317"/>
      <c r="I73" s="318" t="str">
        <f>IF(H73="","",IFERROR(VLOOKUP(H73,Scripts!A$3:D$60,3,FALSE),""))</f>
        <v/>
      </c>
      <c r="J73" s="319" t="str">
        <f>IF(H73="","",IFERROR(VLOOKUP(H73,Scripts!A$3:D$60,4,FALSE),""))</f>
        <v/>
      </c>
    </row>
    <row r="74" spans="1:10">
      <c r="A74" s="320"/>
      <c r="B74" s="321"/>
      <c r="C74" s="321"/>
      <c r="D74" s="321"/>
      <c r="E74" s="321"/>
      <c r="F74" s="321"/>
      <c r="G74" s="321"/>
      <c r="H74" s="321"/>
      <c r="I74" s="322" t="str">
        <f>IF(H74="","",IFERROR(VLOOKUP(H74,Scripts!A$3:D$60,3,FALSE),""))</f>
        <v/>
      </c>
      <c r="J74" s="323" t="str">
        <f>IF(H74="","",IFERROR(VLOOKUP(H74,Scripts!A$3:D$60,4,FALSE),""))</f>
        <v/>
      </c>
    </row>
    <row r="75" spans="1:10">
      <c r="A75" s="316"/>
      <c r="B75" s="317"/>
      <c r="C75" s="317"/>
      <c r="D75" s="317"/>
      <c r="E75" s="317"/>
      <c r="F75" s="317"/>
      <c r="G75" s="317"/>
      <c r="H75" s="317"/>
      <c r="I75" s="318" t="str">
        <f>IF(H75="","",IFERROR(VLOOKUP(H75,Scripts!A$3:D$60,3,FALSE),""))</f>
        <v/>
      </c>
      <c r="J75" s="319" t="str">
        <f>IF(H75="","",IFERROR(VLOOKUP(H75,Scripts!A$3:D$60,4,FALSE),""))</f>
        <v/>
      </c>
    </row>
    <row r="76" spans="1:10">
      <c r="A76" s="320"/>
      <c r="B76" s="321"/>
      <c r="C76" s="321"/>
      <c r="D76" s="321"/>
      <c r="E76" s="321"/>
      <c r="F76" s="321"/>
      <c r="G76" s="321"/>
      <c r="H76" s="321"/>
      <c r="I76" s="322" t="str">
        <f>IF(H76="","",IFERROR(VLOOKUP(H76,Scripts!A$3:D$60,3,FALSE),""))</f>
        <v/>
      </c>
      <c r="J76" s="323" t="str">
        <f>IF(H76="","",IFERROR(VLOOKUP(H76,Scripts!A$3:D$60,4,FALSE),""))</f>
        <v/>
      </c>
    </row>
    <row r="77" spans="1:10">
      <c r="A77" s="316"/>
      <c r="B77" s="317"/>
      <c r="C77" s="317"/>
      <c r="D77" s="317"/>
      <c r="E77" s="317"/>
      <c r="F77" s="317"/>
      <c r="G77" s="317"/>
      <c r="H77" s="317"/>
      <c r="I77" s="318" t="str">
        <f>IF(H77="","",IFERROR(VLOOKUP(H77,Scripts!A$3:D$60,3,FALSE),""))</f>
        <v/>
      </c>
      <c r="J77" s="319" t="str">
        <f>IF(H77="","",IFERROR(VLOOKUP(H77,Scripts!A$3:D$60,4,FALSE),""))</f>
        <v/>
      </c>
    </row>
    <row r="78" spans="1:10">
      <c r="A78" s="320"/>
      <c r="B78" s="321"/>
      <c r="C78" s="321"/>
      <c r="D78" s="321"/>
      <c r="E78" s="321"/>
      <c r="F78" s="321"/>
      <c r="G78" s="321"/>
      <c r="H78" s="321"/>
      <c r="I78" s="322" t="str">
        <f>IF(H78="","",IFERROR(VLOOKUP(H78,Scripts!A$3:D$60,3,FALSE),""))</f>
        <v/>
      </c>
      <c r="J78" s="323" t="str">
        <f>IF(H78="","",IFERROR(VLOOKUP(H78,Scripts!A$3:D$60,4,FALSE),""))</f>
        <v/>
      </c>
    </row>
    <row r="79" spans="1:10">
      <c r="A79" s="316"/>
      <c r="B79" s="317"/>
      <c r="C79" s="317"/>
      <c r="D79" s="317"/>
      <c r="E79" s="317"/>
      <c r="F79" s="317"/>
      <c r="G79" s="317"/>
      <c r="H79" s="317"/>
      <c r="I79" s="318" t="str">
        <f>IF(H79="","",IFERROR(VLOOKUP(H79,Scripts!A$3:D$60,3,FALSE),""))</f>
        <v/>
      </c>
      <c r="J79" s="319" t="str">
        <f>IF(H79="","",IFERROR(VLOOKUP(H79,Scripts!A$3:D$60,4,FALSE),""))</f>
        <v/>
      </c>
    </row>
    <row r="80" spans="1:10">
      <c r="A80" s="320"/>
      <c r="B80" s="321"/>
      <c r="C80" s="321"/>
      <c r="D80" s="321"/>
      <c r="E80" s="321"/>
      <c r="F80" s="321"/>
      <c r="G80" s="321"/>
      <c r="H80" s="321"/>
      <c r="I80" s="322" t="str">
        <f>IF(H80="","",IFERROR(VLOOKUP(H80,Scripts!A$3:D$60,3,FALSE),""))</f>
        <v/>
      </c>
      <c r="J80" s="323" t="str">
        <f>IF(H80="","",IFERROR(VLOOKUP(H80,Scripts!A$3:D$60,4,FALSE),""))</f>
        <v/>
      </c>
    </row>
    <row r="81" spans="1:10">
      <c r="A81" s="316"/>
      <c r="B81" s="317"/>
      <c r="C81" s="317"/>
      <c r="D81" s="317"/>
      <c r="E81" s="317"/>
      <c r="F81" s="317"/>
      <c r="G81" s="317"/>
      <c r="H81" s="317"/>
      <c r="I81" s="318" t="str">
        <f>IF(H81="","",IFERROR(VLOOKUP(H81,Scripts!A$3:D$60,3,FALSE),""))</f>
        <v/>
      </c>
      <c r="J81" s="319" t="str">
        <f>IF(H81="","",IFERROR(VLOOKUP(H81,Scripts!A$3:D$60,4,FALSE),""))</f>
        <v/>
      </c>
    </row>
    <row r="82" spans="1:10">
      <c r="A82" s="320"/>
      <c r="B82" s="321"/>
      <c r="C82" s="321"/>
      <c r="D82" s="321"/>
      <c r="E82" s="321"/>
      <c r="F82" s="321"/>
      <c r="G82" s="321"/>
      <c r="H82" s="321"/>
      <c r="I82" s="322" t="str">
        <f>IF(H82="","",IFERROR(VLOOKUP(H82,Scripts!A$3:D$60,3,FALSE),""))</f>
        <v/>
      </c>
      <c r="J82" s="323" t="str">
        <f>IF(H82="","",IFERROR(VLOOKUP(H82,Scripts!A$3:D$60,4,FALSE),""))</f>
        <v/>
      </c>
    </row>
    <row r="83" spans="1:10">
      <c r="A83" s="316"/>
      <c r="B83" s="317"/>
      <c r="C83" s="317"/>
      <c r="D83" s="317"/>
      <c r="E83" s="317"/>
      <c r="F83" s="317"/>
      <c r="G83" s="317"/>
      <c r="H83" s="317"/>
      <c r="I83" s="318" t="str">
        <f>IF(H83="","",IFERROR(VLOOKUP(H83,Scripts!A$3:D$60,3,FALSE),""))</f>
        <v/>
      </c>
      <c r="J83" s="319" t="str">
        <f>IF(H83="","",IFERROR(VLOOKUP(H83,Scripts!A$3:D$60,4,FALSE),""))</f>
        <v/>
      </c>
    </row>
    <row r="84" spans="1:10">
      <c r="A84" s="320"/>
      <c r="B84" s="321"/>
      <c r="C84" s="321"/>
      <c r="D84" s="321"/>
      <c r="E84" s="321"/>
      <c r="F84" s="321"/>
      <c r="G84" s="321"/>
      <c r="H84" s="321"/>
      <c r="I84" s="322" t="str">
        <f>IF(H84="","",IFERROR(VLOOKUP(H84,Scripts!A$3:D$60,3,FALSE),""))</f>
        <v/>
      </c>
      <c r="J84" s="323" t="str">
        <f>IF(H84="","",IFERROR(VLOOKUP(H84,Scripts!A$3:D$60,4,FALSE),""))</f>
        <v/>
      </c>
    </row>
    <row r="85" spans="1:10">
      <c r="A85" s="316"/>
      <c r="B85" s="317"/>
      <c r="C85" s="317"/>
      <c r="D85" s="317"/>
      <c r="E85" s="317"/>
      <c r="F85" s="317"/>
      <c r="G85" s="317"/>
      <c r="H85" s="317"/>
      <c r="I85" s="318" t="str">
        <f>IF(H85="","",IFERROR(VLOOKUP(H85,Scripts!A$3:D$60,3,FALSE),""))</f>
        <v/>
      </c>
      <c r="J85" s="319" t="str">
        <f>IF(H85="","",IFERROR(VLOOKUP(H85,Scripts!A$3:D$60,4,FALSE),""))</f>
        <v/>
      </c>
    </row>
    <row r="86" spans="1:10">
      <c r="A86" s="320"/>
      <c r="B86" s="321"/>
      <c r="C86" s="321"/>
      <c r="D86" s="321"/>
      <c r="E86" s="321"/>
      <c r="F86" s="321"/>
      <c r="G86" s="321"/>
      <c r="H86" s="321"/>
      <c r="I86" s="322" t="str">
        <f>IF(H86="","",IFERROR(VLOOKUP(H86,Scripts!A$3:D$60,3,FALSE),""))</f>
        <v/>
      </c>
      <c r="J86" s="323" t="str">
        <f>IF(H86="","",IFERROR(VLOOKUP(H86,Scripts!A$3:D$60,4,FALSE),""))</f>
        <v/>
      </c>
    </row>
    <row r="87" spans="1:10">
      <c r="A87" s="316"/>
      <c r="B87" s="317"/>
      <c r="C87" s="317"/>
      <c r="D87" s="317"/>
      <c r="E87" s="317"/>
      <c r="F87" s="317"/>
      <c r="G87" s="317"/>
      <c r="H87" s="317"/>
      <c r="I87" s="318" t="str">
        <f>IF(H87="","",IFERROR(VLOOKUP(H87,Scripts!A$3:D$60,3,FALSE),""))</f>
        <v/>
      </c>
      <c r="J87" s="319" t="str">
        <f>IF(H87="","",IFERROR(VLOOKUP(H87,Scripts!A$3:D$60,4,FALSE),""))</f>
        <v/>
      </c>
    </row>
    <row r="88" spans="1:10">
      <c r="A88" s="320"/>
      <c r="B88" s="321"/>
      <c r="C88" s="321"/>
      <c r="D88" s="321"/>
      <c r="E88" s="321"/>
      <c r="F88" s="321"/>
      <c r="G88" s="321"/>
      <c r="H88" s="321"/>
      <c r="I88" s="322" t="str">
        <f>IF(H88="","",IFERROR(VLOOKUP(H88,Scripts!A$3:D$60,3,FALSE),""))</f>
        <v/>
      </c>
      <c r="J88" s="323" t="str">
        <f>IF(H88="","",IFERROR(VLOOKUP(H88,Scripts!A$3:D$60,4,FALSE),""))</f>
        <v/>
      </c>
    </row>
    <row r="89" spans="1:10">
      <c r="A89" s="316"/>
      <c r="B89" s="317"/>
      <c r="C89" s="317"/>
      <c r="D89" s="317"/>
      <c r="E89" s="317"/>
      <c r="F89" s="317"/>
      <c r="G89" s="317"/>
      <c r="H89" s="317"/>
      <c r="I89" s="318" t="str">
        <f>IF(H89="","",IFERROR(VLOOKUP(H89,Scripts!A$3:D$60,3,FALSE),""))</f>
        <v/>
      </c>
      <c r="J89" s="319" t="str">
        <f>IF(H89="","",IFERROR(VLOOKUP(H89,Scripts!A$3:D$60,4,FALSE),""))</f>
        <v/>
      </c>
    </row>
    <row r="90" spans="1:10">
      <c r="A90" s="320"/>
      <c r="B90" s="321"/>
      <c r="C90" s="321"/>
      <c r="D90" s="321"/>
      <c r="E90" s="321"/>
      <c r="F90" s="321"/>
      <c r="G90" s="321"/>
      <c r="H90" s="321"/>
      <c r="I90" s="322" t="str">
        <f>IF(H90="","",IFERROR(VLOOKUP(H90,Scripts!A$3:D$60,3,FALSE),""))</f>
        <v/>
      </c>
      <c r="J90" s="323" t="str">
        <f>IF(H90="","",IFERROR(VLOOKUP(H90,Scripts!A$3:D$60,4,FALSE),""))</f>
        <v/>
      </c>
    </row>
    <row r="91" spans="1:10">
      <c r="A91" s="316"/>
      <c r="B91" s="317"/>
      <c r="C91" s="317"/>
      <c r="D91" s="317"/>
      <c r="E91" s="317"/>
      <c r="F91" s="317"/>
      <c r="G91" s="317"/>
      <c r="H91" s="317"/>
      <c r="I91" s="318" t="str">
        <f>IF(H91="","",IFERROR(VLOOKUP(H91,Scripts!A$3:D$60,3,FALSE),""))</f>
        <v/>
      </c>
      <c r="J91" s="319" t="str">
        <f>IF(H91="","",IFERROR(VLOOKUP(H91,Scripts!A$3:D$60,4,FALSE),""))</f>
        <v/>
      </c>
    </row>
    <row r="92" spans="1:10">
      <c r="A92" s="320"/>
      <c r="B92" s="321"/>
      <c r="C92" s="321"/>
      <c r="D92" s="321"/>
      <c r="E92" s="321"/>
      <c r="F92" s="321"/>
      <c r="G92" s="321"/>
      <c r="H92" s="321"/>
      <c r="I92" s="322" t="str">
        <f>IF(H92="","",IFERROR(VLOOKUP(H92,Scripts!A$3:D$60,3,FALSE),""))</f>
        <v/>
      </c>
      <c r="J92" s="323" t="str">
        <f>IF(H92="","",IFERROR(VLOOKUP(H92,Scripts!A$3:D$60,4,FALSE),""))</f>
        <v/>
      </c>
    </row>
    <row r="93" spans="1:10">
      <c r="A93" s="316"/>
      <c r="B93" s="317"/>
      <c r="C93" s="317"/>
      <c r="D93" s="317"/>
      <c r="E93" s="317"/>
      <c r="F93" s="317"/>
      <c r="G93" s="317"/>
      <c r="H93" s="317"/>
      <c r="I93" s="318" t="str">
        <f>IF(H93="","",IFERROR(VLOOKUP(H93,Scripts!A$3:D$60,3,FALSE),""))</f>
        <v/>
      </c>
      <c r="J93" s="319" t="str">
        <f>IF(H93="","",IFERROR(VLOOKUP(H93,Scripts!A$3:D$60,4,FALSE),""))</f>
        <v/>
      </c>
    </row>
    <row r="94" spans="1:10">
      <c r="A94" s="320"/>
      <c r="B94" s="321"/>
      <c r="C94" s="321"/>
      <c r="D94" s="321"/>
      <c r="E94" s="321"/>
      <c r="F94" s="321"/>
      <c r="G94" s="321"/>
      <c r="H94" s="321"/>
      <c r="I94" s="322" t="str">
        <f>IF(H94="","",IFERROR(VLOOKUP(H94,Scripts!A$3:D$60,3,FALSE),""))</f>
        <v/>
      </c>
      <c r="J94" s="323" t="str">
        <f>IF(H94="","",IFERROR(VLOOKUP(H94,Scripts!A$3:D$60,4,FALSE),""))</f>
        <v/>
      </c>
    </row>
    <row r="95" spans="1:10">
      <c r="A95" s="316"/>
      <c r="B95" s="317"/>
      <c r="C95" s="317"/>
      <c r="D95" s="317"/>
      <c r="E95" s="317"/>
      <c r="F95" s="317"/>
      <c r="G95" s="317"/>
      <c r="H95" s="317"/>
      <c r="I95" s="318" t="str">
        <f>IF(H95="","",IFERROR(VLOOKUP(H95,Scripts!A$3:D$60,3,FALSE),""))</f>
        <v/>
      </c>
      <c r="J95" s="319" t="str">
        <f>IF(H95="","",IFERROR(VLOOKUP(H95,Scripts!A$3:D$60,4,FALSE),""))</f>
        <v/>
      </c>
    </row>
    <row r="96" spans="1:10">
      <c r="A96" s="320"/>
      <c r="B96" s="321"/>
      <c r="C96" s="321"/>
      <c r="D96" s="321"/>
      <c r="E96" s="321"/>
      <c r="F96" s="321"/>
      <c r="G96" s="321"/>
      <c r="H96" s="321"/>
      <c r="I96" s="322" t="str">
        <f>IF(H96="","",IFERROR(VLOOKUP(H96,Scripts!A$3:D$60,3,FALSE),""))</f>
        <v/>
      </c>
      <c r="J96" s="323" t="str">
        <f>IF(H96="","",IFERROR(VLOOKUP(H96,Scripts!A$3:D$60,4,FALSE),""))</f>
        <v/>
      </c>
    </row>
    <row r="97" spans="1:10">
      <c r="A97" s="316"/>
      <c r="B97" s="317"/>
      <c r="C97" s="317"/>
      <c r="D97" s="317"/>
      <c r="E97" s="317"/>
      <c r="F97" s="317"/>
      <c r="G97" s="317"/>
      <c r="H97" s="317"/>
      <c r="I97" s="318" t="str">
        <f>IF(H97="","",IFERROR(VLOOKUP(H97,Scripts!A$3:D$60,3,FALSE),""))</f>
        <v/>
      </c>
      <c r="J97" s="319" t="str">
        <f>IF(H97="","",IFERROR(VLOOKUP(H97,Scripts!A$3:D$60,4,FALSE),""))</f>
        <v/>
      </c>
    </row>
    <row r="98" spans="1:10">
      <c r="A98" s="320"/>
      <c r="B98" s="321"/>
      <c r="C98" s="321"/>
      <c r="D98" s="321"/>
      <c r="E98" s="321"/>
      <c r="F98" s="321"/>
      <c r="G98" s="321"/>
      <c r="H98" s="321"/>
      <c r="I98" s="322" t="str">
        <f>IF(H98="","",IFERROR(VLOOKUP(H98,Scripts!A$3:D$60,3,FALSE),""))</f>
        <v/>
      </c>
      <c r="J98" s="323" t="str">
        <f>IF(H98="","",IFERROR(VLOOKUP(H98,Scripts!A$3:D$60,4,FALSE),""))</f>
        <v/>
      </c>
    </row>
    <row r="99" spans="1:10">
      <c r="A99" s="316"/>
      <c r="B99" s="317"/>
      <c r="C99" s="317"/>
      <c r="D99" s="317"/>
      <c r="E99" s="317"/>
      <c r="F99" s="317"/>
      <c r="G99" s="317"/>
      <c r="H99" s="317"/>
      <c r="I99" s="318" t="str">
        <f>IF(H99="","",IFERROR(VLOOKUP(H99,Scripts!A$3:D$60,3,FALSE),""))</f>
        <v/>
      </c>
      <c r="J99" s="319" t="str">
        <f>IF(H99="","",IFERROR(VLOOKUP(H99,Scripts!A$3:D$60,4,FALSE),""))</f>
        <v/>
      </c>
    </row>
    <row r="100" ht="14.55" spans="1:10">
      <c r="A100" s="324"/>
      <c r="B100" s="325"/>
      <c r="C100" s="325"/>
      <c r="D100" s="325"/>
      <c r="E100" s="325"/>
      <c r="F100" s="325"/>
      <c r="G100" s="325"/>
      <c r="H100" s="325"/>
      <c r="I100" s="326" t="str">
        <f>IF(H100="","",IFERROR(VLOOKUP(H100,Scripts!A$3:D$60,3,FALSE),""))</f>
        <v/>
      </c>
      <c r="J100" s="327" t="str">
        <f>IF(H100="","",IFERROR(VLOOKUP(H100,Scripts!A$3:D$60,4,FALSE),""))</f>
        <v/>
      </c>
    </row>
  </sheetData>
  <autoFilter xmlns:etc="http://www.wps.cn/officeDocument/2017/etCustomData" ref="A2:J100" etc:filterBottomFollowUsedRange="0">
    <extLst/>
  </autoFilter>
  <mergeCells count="1">
    <mergeCell ref="A1:J1"/>
  </mergeCells>
  <dataValidations count="3">
    <dataValidation type="list" allowBlank="1" sqref="E3:E100">
      <formula1>"Yes,No"</formula1>
    </dataValidation>
    <dataValidation type="list" allowBlank="1" sqref="F3:F100">
      <formula1>"Enrolled,Not enrolled"</formula1>
    </dataValidation>
    <dataValidation type="list" allowBlank="1" sqref="H3:H100">
      <formula1>"T1,T2"</formula1>
    </dataValidation>
  </dataValidations>
  <pageMargins left="0.75" right="0.75" top="1" bottom="1" header="0.5" footer="0.5"/>
  <pageSetup paperSize="1" scale="93" fitToHeight="0" orientation="landscape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3A047"/>
    <pageSetUpPr fitToPage="1"/>
  </sheetPr>
  <dimension ref="A1:Q34"/>
  <sheetViews>
    <sheetView showGridLines="0" workbookViewId="0">
      <pane ySplit="2" topLeftCell="A3" activePane="bottomLeft" state="frozen"/>
      <selection/>
      <selection pane="bottomLeft" activeCell="Q1" sqref="Q1"/>
    </sheetView>
  </sheetViews>
  <sheetFormatPr defaultColWidth="9" defaultRowHeight="13.8"/>
  <cols>
    <col min="1" max="1" width="13" style="67" customWidth="1"/>
    <col min="2" max="2" width="11" style="67" customWidth="1"/>
    <col min="3" max="3" width="13" style="67" customWidth="1"/>
    <col min="4" max="4" width="12" style="67" customWidth="1"/>
    <col min="5" max="5" width="9" style="67" customWidth="1"/>
    <col min="6" max="6" width="7" style="67" customWidth="1"/>
    <col min="7" max="7" width="9" style="67" customWidth="1"/>
    <col min="8" max="8" width="11" style="67" customWidth="1"/>
    <col min="9" max="9" width="9" style="67" customWidth="1"/>
    <col min="10" max="10" width="11" style="67" customWidth="1"/>
    <col min="11" max="11" width="8" style="67" customWidth="1"/>
    <col min="12" max="12" width="13" style="67" customWidth="1"/>
    <col min="13" max="13" width="14" style="67" customWidth="1"/>
    <col min="14" max="14" width="10" style="67" customWidth="1"/>
    <col min="15" max="16" width="13" style="67" customWidth="1"/>
    <col min="17" max="17" width="4" style="67" customWidth="1"/>
    <col min="18" max="16384" width="9" style="1" customWidth="1"/>
  </cols>
  <sheetData>
    <row r="1" s="1" customFormat="1" ht="30" customHeight="1" spans="1:17">
      <c r="A1" s="181" t="s">
        <v>170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6" t="str">
        <f>HYPERLINK("#'Cover'!A1","←")</f>
        <v>←</v>
      </c>
    </row>
    <row r="2" ht="30" customHeight="1" spans="1:17">
      <c r="A2" s="6" t="s">
        <v>171</v>
      </c>
      <c r="B2" s="7" t="s">
        <v>155</v>
      </c>
      <c r="C2" s="7" t="s">
        <v>172</v>
      </c>
      <c r="D2" s="7" t="s">
        <v>104</v>
      </c>
      <c r="E2" s="7" t="s">
        <v>173</v>
      </c>
      <c r="F2" s="7" t="s">
        <v>174</v>
      </c>
      <c r="G2" s="7" t="s">
        <v>175</v>
      </c>
      <c r="H2" s="7" t="s">
        <v>105</v>
      </c>
      <c r="I2" s="7" t="s">
        <v>176</v>
      </c>
      <c r="J2" s="7" t="s">
        <v>177</v>
      </c>
      <c r="K2" s="7" t="s">
        <v>178</v>
      </c>
      <c r="L2" s="7" t="s">
        <v>160</v>
      </c>
      <c r="M2" s="7" t="s">
        <v>130</v>
      </c>
      <c r="N2" s="7" t="s">
        <v>179</v>
      </c>
      <c r="O2" s="7" t="s">
        <v>161</v>
      </c>
      <c r="P2" s="8" t="s">
        <v>180</v>
      </c>
    </row>
    <row r="3" spans="1:17">
      <c r="A3" s="223" t="s">
        <v>181</v>
      </c>
      <c r="C3" s="261" t="s">
        <v>112</v>
      </c>
      <c r="E3" s="1">
        <v>400</v>
      </c>
      <c r="F3" s="1">
        <v>20</v>
      </c>
      <c r="G3" s="1">
        <v>0</v>
      </c>
      <c r="H3" s="1">
        <f t="shared" ref="H3:H32" si="0">IF(E3="","",E3*IF(F3="",0,F3)-IF(G3="",0,G3))</f>
        <v>8000</v>
      </c>
      <c r="I3" s="261" t="s">
        <v>176</v>
      </c>
      <c r="K3" s="261" t="s">
        <v>182</v>
      </c>
      <c r="M3" s="261" t="s">
        <v>141</v>
      </c>
      <c r="P3" s="224"/>
    </row>
    <row r="4" spans="1:17">
      <c r="A4" s="210"/>
      <c r="B4" s="143"/>
      <c r="C4" s="143"/>
      <c r="D4" s="137" t="str">
        <f>IF(C4="","",IFERROR(VLOOKUP(C4,Students!B$3:F$100,5,FALSE),""))</f>
        <v/>
      </c>
      <c r="E4" s="143"/>
      <c r="F4" s="143"/>
      <c r="G4" s="143"/>
      <c r="H4" s="262" t="str">
        <f t="shared" si="0"/>
        <v/>
      </c>
      <c r="I4" s="143"/>
      <c r="J4" s="143"/>
      <c r="K4" s="143"/>
      <c r="L4" s="137" t="str">
        <f>IF(K4="","",IFERROR(VLOOKUP(K4,Scripts!A$3:D$60,3,FALSE),""))</f>
        <v/>
      </c>
      <c r="M4" s="148"/>
      <c r="N4" s="148"/>
      <c r="O4" s="147" t="str">
        <f>IF(K4="","",IFERROR(VLOOKUP(K4,Scripts!A$3:D$60,4,FALSE),""))</f>
        <v/>
      </c>
      <c r="P4" s="263"/>
    </row>
    <row r="5" spans="1:17">
      <c r="A5" s="212"/>
      <c r="B5" s="142"/>
      <c r="C5" s="142"/>
      <c r="D5" s="134" t="str">
        <f>IF(C5="","",IFERROR(VLOOKUP(C5,Students!B$3:F$100,5,FALSE),""))</f>
        <v/>
      </c>
      <c r="E5" s="142"/>
      <c r="F5" s="142"/>
      <c r="G5" s="142"/>
      <c r="H5" s="264" t="str">
        <f t="shared" si="0"/>
        <v/>
      </c>
      <c r="I5" s="142"/>
      <c r="J5" s="142"/>
      <c r="K5" s="142"/>
      <c r="L5" s="134" t="str">
        <f>IF(K5="","",IFERROR(VLOOKUP(K5,Scripts!A$3:D$60,3,FALSE),""))</f>
        <v/>
      </c>
      <c r="M5" s="152"/>
      <c r="N5" s="152"/>
      <c r="O5" s="151" t="str">
        <f>IF(K5="","",IFERROR(VLOOKUP(K5,Scripts!A$3:D$60,4,FALSE),""))</f>
        <v/>
      </c>
      <c r="P5" s="265"/>
    </row>
    <row r="6" spans="1:17">
      <c r="A6" s="210"/>
      <c r="B6" s="143"/>
      <c r="C6" s="143"/>
      <c r="D6" s="137" t="str">
        <f>IF(C6="","",IFERROR(VLOOKUP(C6,Students!B$3:F$100,5,FALSE),""))</f>
        <v/>
      </c>
      <c r="E6" s="143"/>
      <c r="F6" s="143"/>
      <c r="G6" s="143"/>
      <c r="H6" s="262" t="str">
        <f t="shared" si="0"/>
        <v/>
      </c>
      <c r="I6" s="143"/>
      <c r="J6" s="143"/>
      <c r="K6" s="143"/>
      <c r="L6" s="137" t="str">
        <f>IF(K6="","",IFERROR(VLOOKUP(K6,Scripts!A$3:D$60,3,FALSE),""))</f>
        <v/>
      </c>
      <c r="M6" s="148"/>
      <c r="N6" s="148"/>
      <c r="O6" s="147" t="str">
        <f>IF(K6="","",IFERROR(VLOOKUP(K6,Scripts!A$3:D$60,4,FALSE),""))</f>
        <v/>
      </c>
      <c r="P6" s="263"/>
    </row>
    <row r="7" spans="1:17">
      <c r="A7" s="212"/>
      <c r="B7" s="142"/>
      <c r="C7" s="142"/>
      <c r="D7" s="134" t="str">
        <f>IF(C7="","",IFERROR(VLOOKUP(C7,Students!B$3:F$100,5,FALSE),""))</f>
        <v/>
      </c>
      <c r="E7" s="142"/>
      <c r="F7" s="142"/>
      <c r="G7" s="142"/>
      <c r="H7" s="264" t="str">
        <f t="shared" si="0"/>
        <v/>
      </c>
      <c r="I7" s="142"/>
      <c r="J7" s="142"/>
      <c r="K7" s="142"/>
      <c r="L7" s="134" t="str">
        <f>IF(K7="","",IFERROR(VLOOKUP(K7,Scripts!A$3:D$60,3,FALSE),""))</f>
        <v/>
      </c>
      <c r="M7" s="152"/>
      <c r="N7" s="152"/>
      <c r="O7" s="151" t="str">
        <f>IF(K7="","",IFERROR(VLOOKUP(K7,Scripts!A$3:D$60,4,FALSE),""))</f>
        <v/>
      </c>
      <c r="P7" s="265"/>
    </row>
    <row r="8" spans="1:17">
      <c r="A8" s="210"/>
      <c r="B8" s="143"/>
      <c r="C8" s="143"/>
      <c r="D8" s="137" t="str">
        <f>IF(C8="","",IFERROR(VLOOKUP(C8,Students!B$3:F$100,5,FALSE),""))</f>
        <v/>
      </c>
      <c r="E8" s="143"/>
      <c r="F8" s="143"/>
      <c r="G8" s="143"/>
      <c r="H8" s="262" t="str">
        <f t="shared" si="0"/>
        <v/>
      </c>
      <c r="I8" s="143"/>
      <c r="J8" s="143"/>
      <c r="K8" s="143"/>
      <c r="L8" s="137" t="str">
        <f>IF(K8="","",IFERROR(VLOOKUP(K8,Scripts!A$3:D$60,3,FALSE),""))</f>
        <v/>
      </c>
      <c r="M8" s="148"/>
      <c r="N8" s="148"/>
      <c r="O8" s="147" t="str">
        <f>IF(K8="","",IFERROR(VLOOKUP(K8,Scripts!A$3:D$60,4,FALSE),""))</f>
        <v/>
      </c>
      <c r="P8" s="263"/>
    </row>
    <row r="9" spans="1:17">
      <c r="A9" s="212"/>
      <c r="B9" s="142"/>
      <c r="C9" s="142"/>
      <c r="D9" s="134" t="str">
        <f>IF(C9="","",IFERROR(VLOOKUP(C9,Students!B$3:F$100,5,FALSE),""))</f>
        <v/>
      </c>
      <c r="E9" s="142"/>
      <c r="F9" s="142"/>
      <c r="G9" s="142"/>
      <c r="H9" s="264" t="str">
        <f t="shared" si="0"/>
        <v/>
      </c>
      <c r="I9" s="142"/>
      <c r="J9" s="142"/>
      <c r="K9" s="142"/>
      <c r="L9" s="134" t="str">
        <f>IF(K9="","",IFERROR(VLOOKUP(K9,Scripts!A$3:D$60,3,FALSE),""))</f>
        <v/>
      </c>
      <c r="M9" s="152"/>
      <c r="N9" s="152"/>
      <c r="O9" s="151" t="str">
        <f>IF(K9="","",IFERROR(VLOOKUP(K9,Scripts!A$3:D$60,4,FALSE),""))</f>
        <v/>
      </c>
      <c r="P9" s="265"/>
    </row>
    <row r="10" spans="1:17">
      <c r="A10" s="210"/>
      <c r="B10" s="143"/>
      <c r="C10" s="143"/>
      <c r="D10" s="137" t="str">
        <f>IF(C10="","",IFERROR(VLOOKUP(C10,Students!B$3:F$100,5,FALSE),""))</f>
        <v/>
      </c>
      <c r="E10" s="143"/>
      <c r="F10" s="143"/>
      <c r="G10" s="143"/>
      <c r="H10" s="262" t="str">
        <f t="shared" si="0"/>
        <v/>
      </c>
      <c r="I10" s="143"/>
      <c r="J10" s="143"/>
      <c r="K10" s="143"/>
      <c r="L10" s="137" t="str">
        <f>IF(K10="","",IFERROR(VLOOKUP(K10,Scripts!A$3:D$60,3,FALSE),""))</f>
        <v/>
      </c>
      <c r="M10" s="148"/>
      <c r="N10" s="148"/>
      <c r="O10" s="147" t="str">
        <f>IF(K10="","",IFERROR(VLOOKUP(K10,Scripts!A$3:D$60,4,FALSE),""))</f>
        <v/>
      </c>
      <c r="P10" s="263"/>
    </row>
    <row r="11" spans="1:17">
      <c r="A11" s="212"/>
      <c r="B11" s="142"/>
      <c r="C11" s="142"/>
      <c r="D11" s="134" t="str">
        <f>IF(C11="","",IFERROR(VLOOKUP(C11,Students!B$3:F$100,5,FALSE),""))</f>
        <v/>
      </c>
      <c r="E11" s="142"/>
      <c r="F11" s="142"/>
      <c r="G11" s="142"/>
      <c r="H11" s="264" t="str">
        <f t="shared" si="0"/>
        <v/>
      </c>
      <c r="I11" s="142"/>
      <c r="J11" s="142"/>
      <c r="K11" s="142"/>
      <c r="L11" s="134" t="str">
        <f>IF(K11="","",IFERROR(VLOOKUP(K11,Scripts!A$3:D$60,3,FALSE),""))</f>
        <v/>
      </c>
      <c r="M11" s="152"/>
      <c r="N11" s="152"/>
      <c r="O11" s="151" t="str">
        <f>IF(K11="","",IFERROR(VLOOKUP(K11,Scripts!A$3:D$60,4,FALSE),""))</f>
        <v/>
      </c>
      <c r="P11" s="265"/>
    </row>
    <row r="12" spans="1:17">
      <c r="A12" s="210"/>
      <c r="B12" s="143"/>
      <c r="C12" s="143"/>
      <c r="D12" s="137" t="str">
        <f>IF(C12="","",IFERROR(VLOOKUP(C12,Students!B$3:F$100,5,FALSE),""))</f>
        <v/>
      </c>
      <c r="E12" s="143"/>
      <c r="F12" s="143"/>
      <c r="G12" s="143"/>
      <c r="H12" s="262" t="str">
        <f t="shared" si="0"/>
        <v/>
      </c>
      <c r="I12" s="143"/>
      <c r="J12" s="143"/>
      <c r="K12" s="143"/>
      <c r="L12" s="137" t="str">
        <f>IF(K12="","",IFERROR(VLOOKUP(K12,Scripts!A$3:D$60,3,FALSE),""))</f>
        <v/>
      </c>
      <c r="M12" s="148"/>
      <c r="N12" s="148"/>
      <c r="O12" s="147" t="str">
        <f>IF(K12="","",IFERROR(VLOOKUP(K12,Scripts!A$3:D$60,4,FALSE),""))</f>
        <v/>
      </c>
      <c r="P12" s="263"/>
    </row>
    <row r="13" spans="1:17">
      <c r="A13" s="212"/>
      <c r="B13" s="142"/>
      <c r="C13" s="142"/>
      <c r="D13" s="134" t="str">
        <f>IF(C13="","",IFERROR(VLOOKUP(C13,Students!B$3:F$100,5,FALSE),""))</f>
        <v/>
      </c>
      <c r="E13" s="142"/>
      <c r="F13" s="142"/>
      <c r="G13" s="142"/>
      <c r="H13" s="264" t="str">
        <f t="shared" si="0"/>
        <v/>
      </c>
      <c r="I13" s="142"/>
      <c r="J13" s="142"/>
      <c r="K13" s="142"/>
      <c r="L13" s="134" t="str">
        <f>IF(K13="","",IFERROR(VLOOKUP(K13,Scripts!A$3:D$60,3,FALSE),""))</f>
        <v/>
      </c>
      <c r="M13" s="152"/>
      <c r="N13" s="152"/>
      <c r="O13" s="151" t="str">
        <f>IF(K13="","",IFERROR(VLOOKUP(K13,Scripts!A$3:D$60,4,FALSE),""))</f>
        <v/>
      </c>
      <c r="P13" s="265"/>
    </row>
    <row r="14" spans="1:17">
      <c r="A14" s="210"/>
      <c r="B14" s="143"/>
      <c r="C14" s="143"/>
      <c r="D14" s="137" t="str">
        <f>IF(C14="","",IFERROR(VLOOKUP(C14,Students!B$3:F$100,5,FALSE),""))</f>
        <v/>
      </c>
      <c r="E14" s="143"/>
      <c r="F14" s="143"/>
      <c r="G14" s="143"/>
      <c r="H14" s="262" t="str">
        <f t="shared" si="0"/>
        <v/>
      </c>
      <c r="I14" s="143"/>
      <c r="J14" s="143"/>
      <c r="K14" s="143"/>
      <c r="L14" s="137" t="str">
        <f>IF(K14="","",IFERROR(VLOOKUP(K14,Scripts!A$3:D$60,3,FALSE),""))</f>
        <v/>
      </c>
      <c r="M14" s="148"/>
      <c r="N14" s="148"/>
      <c r="O14" s="147" t="str">
        <f>IF(K14="","",IFERROR(VLOOKUP(K14,Scripts!A$3:D$60,4,FALSE),""))</f>
        <v/>
      </c>
      <c r="P14" s="263"/>
    </row>
    <row r="15" spans="1:17">
      <c r="A15" s="212"/>
      <c r="B15" s="142"/>
      <c r="C15" s="142"/>
      <c r="D15" s="134" t="str">
        <f>IF(C15="","",IFERROR(VLOOKUP(C15,Students!B$3:F$100,5,FALSE),""))</f>
        <v/>
      </c>
      <c r="E15" s="142"/>
      <c r="F15" s="142"/>
      <c r="G15" s="142"/>
      <c r="H15" s="264" t="str">
        <f t="shared" si="0"/>
        <v/>
      </c>
      <c r="I15" s="142"/>
      <c r="J15" s="142"/>
      <c r="K15" s="142"/>
      <c r="L15" s="134" t="str">
        <f>IF(K15="","",IFERROR(VLOOKUP(K15,Scripts!A$3:D$60,3,FALSE),""))</f>
        <v/>
      </c>
      <c r="M15" s="152"/>
      <c r="N15" s="152"/>
      <c r="O15" s="151" t="str">
        <f>IF(K15="","",IFERROR(VLOOKUP(K15,Scripts!A$3:D$60,4,FALSE),""))</f>
        <v/>
      </c>
      <c r="P15" s="265"/>
    </row>
    <row r="16" spans="1:17">
      <c r="A16" s="210"/>
      <c r="B16" s="143"/>
      <c r="C16" s="143"/>
      <c r="D16" s="137" t="str">
        <f>IF(C16="","",IFERROR(VLOOKUP(C16,Students!B$3:F$100,5,FALSE),""))</f>
        <v/>
      </c>
      <c r="E16" s="143"/>
      <c r="F16" s="143"/>
      <c r="G16" s="143"/>
      <c r="H16" s="262" t="str">
        <f t="shared" si="0"/>
        <v/>
      </c>
      <c r="I16" s="143"/>
      <c r="J16" s="143"/>
      <c r="K16" s="143"/>
      <c r="L16" s="137" t="str">
        <f>IF(K16="","",IFERROR(VLOOKUP(K16,Scripts!A$3:D$60,3,FALSE),""))</f>
        <v/>
      </c>
      <c r="M16" s="148"/>
      <c r="N16" s="148"/>
      <c r="O16" s="147" t="str">
        <f>IF(K16="","",IFERROR(VLOOKUP(K16,Scripts!A$3:D$60,4,FALSE),""))</f>
        <v/>
      </c>
      <c r="P16" s="263"/>
    </row>
    <row r="17" spans="1:16">
      <c r="A17" s="212"/>
      <c r="B17" s="142"/>
      <c r="C17" s="142"/>
      <c r="D17" s="134" t="str">
        <f>IF(C17="","",IFERROR(VLOOKUP(C17,Students!B$3:F$100,5,FALSE),""))</f>
        <v/>
      </c>
      <c r="E17" s="142"/>
      <c r="F17" s="142"/>
      <c r="G17" s="142"/>
      <c r="H17" s="264" t="str">
        <f t="shared" si="0"/>
        <v/>
      </c>
      <c r="I17" s="142"/>
      <c r="J17" s="142"/>
      <c r="K17" s="142"/>
      <c r="L17" s="134" t="str">
        <f>IF(K17="","",IFERROR(VLOOKUP(K17,Scripts!A$3:D$60,3,FALSE),""))</f>
        <v/>
      </c>
      <c r="M17" s="152"/>
      <c r="N17" s="152"/>
      <c r="O17" s="151" t="str">
        <f>IF(K17="","",IFERROR(VLOOKUP(K17,Scripts!A$3:D$60,4,FALSE),""))</f>
        <v/>
      </c>
      <c r="P17" s="265"/>
    </row>
    <row r="18" spans="1:16">
      <c r="A18" s="210"/>
      <c r="B18" s="143"/>
      <c r="C18" s="143"/>
      <c r="D18" s="137" t="str">
        <f>IF(C18="","",IFERROR(VLOOKUP(C18,Students!B$3:F$100,5,FALSE),""))</f>
        <v/>
      </c>
      <c r="E18" s="143"/>
      <c r="F18" s="143"/>
      <c r="G18" s="143"/>
      <c r="H18" s="262" t="str">
        <f t="shared" si="0"/>
        <v/>
      </c>
      <c r="I18" s="143"/>
      <c r="J18" s="143"/>
      <c r="K18" s="143"/>
      <c r="L18" s="137" t="str">
        <f>IF(K18="","",IFERROR(VLOOKUP(K18,Scripts!A$3:D$60,3,FALSE),""))</f>
        <v/>
      </c>
      <c r="M18" s="148"/>
      <c r="N18" s="148"/>
      <c r="O18" s="147" t="str">
        <f>IF(K18="","",IFERROR(VLOOKUP(K18,Scripts!A$3:D$60,4,FALSE),""))</f>
        <v/>
      </c>
      <c r="P18" s="263"/>
    </row>
    <row r="19" spans="1:16">
      <c r="A19" s="212"/>
      <c r="B19" s="142"/>
      <c r="C19" s="142"/>
      <c r="D19" s="134" t="str">
        <f>IF(C19="","",IFERROR(VLOOKUP(C19,Students!B$3:F$100,5,FALSE),""))</f>
        <v/>
      </c>
      <c r="E19" s="142"/>
      <c r="F19" s="142"/>
      <c r="G19" s="142"/>
      <c r="H19" s="264" t="str">
        <f t="shared" si="0"/>
        <v/>
      </c>
      <c r="I19" s="142"/>
      <c r="J19" s="142"/>
      <c r="K19" s="142"/>
      <c r="L19" s="134" t="str">
        <f>IF(K19="","",IFERROR(VLOOKUP(K19,Scripts!A$3:D$60,3,FALSE),""))</f>
        <v/>
      </c>
      <c r="M19" s="152"/>
      <c r="N19" s="152"/>
      <c r="O19" s="151" t="str">
        <f>IF(K19="","",IFERROR(VLOOKUP(K19,Scripts!A$3:D$60,4,FALSE),""))</f>
        <v/>
      </c>
      <c r="P19" s="265"/>
    </row>
    <row r="20" spans="1:16">
      <c r="A20" s="210"/>
      <c r="B20" s="143"/>
      <c r="C20" s="143"/>
      <c r="D20" s="137" t="str">
        <f>IF(C20="","",IFERROR(VLOOKUP(C20,Students!B$3:F$100,5,FALSE),""))</f>
        <v/>
      </c>
      <c r="E20" s="143"/>
      <c r="F20" s="143"/>
      <c r="G20" s="143"/>
      <c r="H20" s="262" t="str">
        <f t="shared" si="0"/>
        <v/>
      </c>
      <c r="I20" s="143"/>
      <c r="J20" s="143"/>
      <c r="K20" s="143"/>
      <c r="L20" s="137" t="str">
        <f>IF(K20="","",IFERROR(VLOOKUP(K20,Scripts!A$3:D$60,3,FALSE),""))</f>
        <v/>
      </c>
      <c r="M20" s="148"/>
      <c r="N20" s="148"/>
      <c r="O20" s="147" t="str">
        <f>IF(K20="","",IFERROR(VLOOKUP(K20,Scripts!A$3:D$60,4,FALSE),""))</f>
        <v/>
      </c>
      <c r="P20" s="263"/>
    </row>
    <row r="21" spans="1:16">
      <c r="A21" s="212"/>
      <c r="B21" s="142"/>
      <c r="C21" s="142"/>
      <c r="D21" s="134" t="str">
        <f>IF(C21="","",IFERROR(VLOOKUP(C21,Students!B$3:F$100,5,FALSE),""))</f>
        <v/>
      </c>
      <c r="E21" s="142"/>
      <c r="F21" s="142"/>
      <c r="G21" s="142"/>
      <c r="H21" s="264" t="str">
        <f t="shared" si="0"/>
        <v/>
      </c>
      <c r="I21" s="142"/>
      <c r="J21" s="142"/>
      <c r="K21" s="142"/>
      <c r="L21" s="134" t="str">
        <f>IF(K21="","",IFERROR(VLOOKUP(K21,Scripts!A$3:D$60,3,FALSE),""))</f>
        <v/>
      </c>
      <c r="M21" s="152"/>
      <c r="N21" s="152"/>
      <c r="O21" s="151" t="str">
        <f>IF(K21="","",IFERROR(VLOOKUP(K21,Scripts!A$3:D$60,4,FALSE),""))</f>
        <v/>
      </c>
      <c r="P21" s="265"/>
    </row>
    <row r="22" spans="1:16">
      <c r="A22" s="210"/>
      <c r="B22" s="143"/>
      <c r="C22" s="143"/>
      <c r="D22" s="137" t="str">
        <f>IF(C22="","",IFERROR(VLOOKUP(C22,Students!B$3:F$100,5,FALSE),""))</f>
        <v/>
      </c>
      <c r="E22" s="143"/>
      <c r="F22" s="143"/>
      <c r="G22" s="143"/>
      <c r="H22" s="262" t="str">
        <f t="shared" si="0"/>
        <v/>
      </c>
      <c r="I22" s="143"/>
      <c r="J22" s="143"/>
      <c r="K22" s="143"/>
      <c r="L22" s="137" t="str">
        <f>IF(K22="","",IFERROR(VLOOKUP(K22,Scripts!A$3:D$60,3,FALSE),""))</f>
        <v/>
      </c>
      <c r="M22" s="148"/>
      <c r="N22" s="148"/>
      <c r="O22" s="147" t="str">
        <f>IF(K22="","",IFERROR(VLOOKUP(K22,Scripts!A$3:D$60,4,FALSE),""))</f>
        <v/>
      </c>
      <c r="P22" s="263"/>
    </row>
    <row r="23" spans="1:16">
      <c r="A23" s="212"/>
      <c r="B23" s="142"/>
      <c r="C23" s="142"/>
      <c r="D23" s="134" t="str">
        <f>IF(C23="","",IFERROR(VLOOKUP(C23,Students!B$3:F$100,5,FALSE),""))</f>
        <v/>
      </c>
      <c r="E23" s="142"/>
      <c r="F23" s="142"/>
      <c r="G23" s="142"/>
      <c r="H23" s="264" t="str">
        <f t="shared" si="0"/>
        <v/>
      </c>
      <c r="I23" s="142"/>
      <c r="J23" s="142"/>
      <c r="K23" s="142"/>
      <c r="L23" s="134" t="str">
        <f>IF(K23="","",IFERROR(VLOOKUP(K23,Scripts!A$3:D$60,3,FALSE),""))</f>
        <v/>
      </c>
      <c r="M23" s="152"/>
      <c r="N23" s="152"/>
      <c r="O23" s="151" t="str">
        <f>IF(K23="","",IFERROR(VLOOKUP(K23,Scripts!A$3:D$60,4,FALSE),""))</f>
        <v/>
      </c>
      <c r="P23" s="265"/>
    </row>
    <row r="24" spans="1:16">
      <c r="A24" s="210"/>
      <c r="B24" s="143"/>
      <c r="C24" s="143"/>
      <c r="D24" s="137" t="str">
        <f>IF(C24="","",IFERROR(VLOOKUP(C24,Students!B$3:F$100,5,FALSE),""))</f>
        <v/>
      </c>
      <c r="E24" s="143"/>
      <c r="F24" s="143"/>
      <c r="G24" s="143"/>
      <c r="H24" s="262" t="str">
        <f t="shared" si="0"/>
        <v/>
      </c>
      <c r="I24" s="143"/>
      <c r="J24" s="143"/>
      <c r="K24" s="143"/>
      <c r="L24" s="137" t="str">
        <f>IF(K24="","",IFERROR(VLOOKUP(K24,Scripts!A$3:D$60,3,FALSE),""))</f>
        <v/>
      </c>
      <c r="M24" s="148"/>
      <c r="N24" s="148"/>
      <c r="O24" s="147" t="str">
        <f>IF(K24="","",IFERROR(VLOOKUP(K24,Scripts!A$3:D$60,4,FALSE),""))</f>
        <v/>
      </c>
      <c r="P24" s="263"/>
    </row>
    <row r="25" spans="1:16">
      <c r="A25" s="212"/>
      <c r="B25" s="142"/>
      <c r="C25" s="142"/>
      <c r="D25" s="134" t="str">
        <f>IF(C25="","",IFERROR(VLOOKUP(C25,Students!B$3:F$100,5,FALSE),""))</f>
        <v/>
      </c>
      <c r="E25" s="142"/>
      <c r="F25" s="142"/>
      <c r="G25" s="142"/>
      <c r="H25" s="264" t="str">
        <f t="shared" si="0"/>
        <v/>
      </c>
      <c r="I25" s="142"/>
      <c r="J25" s="142"/>
      <c r="K25" s="142"/>
      <c r="L25" s="134" t="str">
        <f>IF(K25="","",IFERROR(VLOOKUP(K25,Scripts!A$3:D$60,3,FALSE),""))</f>
        <v/>
      </c>
      <c r="M25" s="152"/>
      <c r="N25" s="152"/>
      <c r="O25" s="151" t="str">
        <f>IF(K25="","",IFERROR(VLOOKUP(K25,Scripts!A$3:D$60,4,FALSE),""))</f>
        <v/>
      </c>
      <c r="P25" s="265"/>
    </row>
    <row r="26" spans="1:16">
      <c r="A26" s="210"/>
      <c r="B26" s="143"/>
      <c r="C26" s="143"/>
      <c r="D26" s="137" t="str">
        <f>IF(C26="","",IFERROR(VLOOKUP(C26,Students!B$3:F$100,5,FALSE),""))</f>
        <v/>
      </c>
      <c r="E26" s="143"/>
      <c r="F26" s="143"/>
      <c r="G26" s="143"/>
      <c r="H26" s="262" t="str">
        <f t="shared" si="0"/>
        <v/>
      </c>
      <c r="I26" s="143"/>
      <c r="J26" s="143"/>
      <c r="K26" s="143"/>
      <c r="L26" s="137" t="str">
        <f>IF(K26="","",IFERROR(VLOOKUP(K26,Scripts!A$3:D$60,3,FALSE),""))</f>
        <v/>
      </c>
      <c r="M26" s="148"/>
      <c r="N26" s="148"/>
      <c r="O26" s="147" t="str">
        <f>IF(K26="","",IFERROR(VLOOKUP(K26,Scripts!A$3:D$60,4,FALSE),""))</f>
        <v/>
      </c>
      <c r="P26" s="263"/>
    </row>
    <row r="27" spans="1:16">
      <c r="A27" s="212"/>
      <c r="B27" s="142"/>
      <c r="C27" s="142"/>
      <c r="D27" s="134" t="str">
        <f>IF(C27="","",IFERROR(VLOOKUP(C27,Students!B$3:F$100,5,FALSE),""))</f>
        <v/>
      </c>
      <c r="E27" s="142"/>
      <c r="F27" s="142"/>
      <c r="G27" s="142"/>
      <c r="H27" s="264" t="str">
        <f t="shared" si="0"/>
        <v/>
      </c>
      <c r="I27" s="142"/>
      <c r="J27" s="142"/>
      <c r="K27" s="142"/>
      <c r="L27" s="134" t="str">
        <f>IF(K27="","",IFERROR(VLOOKUP(K27,Scripts!A$3:D$60,3,FALSE),""))</f>
        <v/>
      </c>
      <c r="M27" s="152"/>
      <c r="N27" s="152"/>
      <c r="O27" s="151" t="str">
        <f>IF(K27="","",IFERROR(VLOOKUP(K27,Scripts!A$3:D$60,4,FALSE),""))</f>
        <v/>
      </c>
      <c r="P27" s="265"/>
    </row>
    <row r="28" spans="1:16">
      <c r="A28" s="210"/>
      <c r="B28" s="143"/>
      <c r="C28" s="143"/>
      <c r="D28" s="137" t="str">
        <f>IF(C28="","",IFERROR(VLOOKUP(C28,Students!B$3:F$100,5,FALSE),""))</f>
        <v/>
      </c>
      <c r="E28" s="143"/>
      <c r="F28" s="143"/>
      <c r="G28" s="143"/>
      <c r="H28" s="262" t="str">
        <f t="shared" si="0"/>
        <v/>
      </c>
      <c r="I28" s="143"/>
      <c r="J28" s="143"/>
      <c r="K28" s="143"/>
      <c r="L28" s="137" t="str">
        <f>IF(K28="","",IFERROR(VLOOKUP(K28,Scripts!A$3:D$60,3,FALSE),""))</f>
        <v/>
      </c>
      <c r="M28" s="148"/>
      <c r="N28" s="148"/>
      <c r="O28" s="147" t="str">
        <f>IF(K28="","",IFERROR(VLOOKUP(K28,Scripts!A$3:D$60,4,FALSE),""))</f>
        <v/>
      </c>
      <c r="P28" s="263"/>
    </row>
    <row r="29" spans="1:16">
      <c r="A29" s="212"/>
      <c r="B29" s="142"/>
      <c r="C29" s="142"/>
      <c r="D29" s="134" t="str">
        <f>IF(C29="","",IFERROR(VLOOKUP(C29,Students!B$3:F$100,5,FALSE),""))</f>
        <v/>
      </c>
      <c r="E29" s="142"/>
      <c r="F29" s="142"/>
      <c r="G29" s="142"/>
      <c r="H29" s="264" t="str">
        <f t="shared" si="0"/>
        <v/>
      </c>
      <c r="I29" s="142"/>
      <c r="J29" s="142"/>
      <c r="K29" s="142"/>
      <c r="L29" s="134" t="str">
        <f>IF(K29="","",IFERROR(VLOOKUP(K29,Scripts!A$3:D$60,3,FALSE),""))</f>
        <v/>
      </c>
      <c r="M29" s="152"/>
      <c r="N29" s="152"/>
      <c r="O29" s="151" t="str">
        <f>IF(K29="","",IFERROR(VLOOKUP(K29,Scripts!A$3:D$60,4,FALSE),""))</f>
        <v/>
      </c>
      <c r="P29" s="265"/>
    </row>
    <row r="30" spans="1:16">
      <c r="A30" s="210"/>
      <c r="B30" s="143"/>
      <c r="C30" s="143"/>
      <c r="D30" s="137" t="str">
        <f>IF(C30="","",IFERROR(VLOOKUP(C30,Students!B$3:F$100,5,FALSE),""))</f>
        <v/>
      </c>
      <c r="E30" s="143"/>
      <c r="F30" s="143"/>
      <c r="G30" s="143"/>
      <c r="H30" s="262" t="str">
        <f t="shared" si="0"/>
        <v/>
      </c>
      <c r="I30" s="143"/>
      <c r="J30" s="143"/>
      <c r="K30" s="143"/>
      <c r="L30" s="137" t="str">
        <f>IF(K30="","",IFERROR(VLOOKUP(K30,Scripts!A$3:D$60,3,FALSE),""))</f>
        <v/>
      </c>
      <c r="M30" s="148"/>
      <c r="N30" s="148"/>
      <c r="O30" s="147" t="str">
        <f>IF(K30="","",IFERROR(VLOOKUP(K30,Scripts!A$3:D$60,4,FALSE),""))</f>
        <v/>
      </c>
      <c r="P30" s="263"/>
    </row>
    <row r="31" spans="1:16">
      <c r="A31" s="212"/>
      <c r="B31" s="142"/>
      <c r="C31" s="142"/>
      <c r="D31" s="134" t="str">
        <f>IF(C31="","",IFERROR(VLOOKUP(C31,Students!B$3:F$100,5,FALSE),""))</f>
        <v/>
      </c>
      <c r="E31" s="142"/>
      <c r="F31" s="142"/>
      <c r="G31" s="142"/>
      <c r="H31" s="264" t="str">
        <f t="shared" si="0"/>
        <v/>
      </c>
      <c r="I31" s="142"/>
      <c r="J31" s="142"/>
      <c r="K31" s="142"/>
      <c r="L31" s="134" t="str">
        <f>IF(K31="","",IFERROR(VLOOKUP(K31,Scripts!A$3:D$60,3,FALSE),""))</f>
        <v/>
      </c>
      <c r="M31" s="152"/>
      <c r="N31" s="152"/>
      <c r="O31" s="151" t="str">
        <f>IF(K31="","",IFERROR(VLOOKUP(K31,Scripts!A$3:D$60,4,FALSE),""))</f>
        <v/>
      </c>
      <c r="P31" s="265"/>
    </row>
    <row r="32" spans="1:16">
      <c r="A32" s="210"/>
      <c r="B32" s="143"/>
      <c r="C32" s="143"/>
      <c r="D32" s="137" t="str">
        <f>IF(C32="","",IFERROR(VLOOKUP(C32,Students!B$3:F$100,5,FALSE),""))</f>
        <v/>
      </c>
      <c r="E32" s="143"/>
      <c r="F32" s="143"/>
      <c r="G32" s="143"/>
      <c r="H32" s="262" t="str">
        <f t="shared" si="0"/>
        <v/>
      </c>
      <c r="I32" s="143"/>
      <c r="J32" s="143"/>
      <c r="K32" s="143"/>
      <c r="L32" s="137" t="str">
        <f>IF(K32="","",IFERROR(VLOOKUP(K32,Scripts!A$3:D$60,3,FALSE),""))</f>
        <v/>
      </c>
      <c r="M32" s="148"/>
      <c r="N32" s="148"/>
      <c r="O32" s="147" t="str">
        <f>IF(K32="","",IFERROR(VLOOKUP(K32,Scripts!A$3:D$60,4,FALSE),""))</f>
        <v/>
      </c>
      <c r="P32" s="263"/>
    </row>
    <row r="33" spans="1:16">
      <c r="A33" s="266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1" t="str">
        <f>IF(K33="","",IFERROR(VLOOKUP(K33,Scripts!A$3:D$60,3,FALSE),""))</f>
        <v/>
      </c>
      <c r="M33" s="152"/>
      <c r="N33" s="152"/>
      <c r="O33" s="151" t="str">
        <f>IF(K33="","",IFERROR(VLOOKUP(K33,Scripts!A$3:D$60,4,FALSE),""))</f>
        <v/>
      </c>
      <c r="P33" s="265"/>
    </row>
    <row r="34" ht="14.55" spans="1:16">
      <c r="A34" s="268"/>
      <c r="B34" s="269"/>
      <c r="C34" s="269"/>
      <c r="D34" s="269"/>
      <c r="E34" s="269"/>
      <c r="F34" s="269"/>
      <c r="G34" s="299" t="s">
        <v>183</v>
      </c>
      <c r="H34" s="300">
        <f>SUM(H3:H32)</f>
        <v>8000</v>
      </c>
      <c r="I34" s="269"/>
      <c r="J34" s="269"/>
      <c r="K34" s="269"/>
      <c r="L34" s="270" t="str">
        <f>IF(K34="","",IFERROR(VLOOKUP(K34,Scripts!A$3:D$60,3,FALSE),""))</f>
        <v/>
      </c>
      <c r="M34" s="269"/>
      <c r="N34" s="269"/>
      <c r="O34" s="270" t="str">
        <f>IF(K34="","",IFERROR(VLOOKUP(K34,Scripts!A$3:D$60,4,FALSE),""))</f>
        <v/>
      </c>
      <c r="P34" s="271"/>
    </row>
  </sheetData>
  <autoFilter xmlns:etc="http://www.wps.cn/officeDocument/2017/etCustomData" ref="A2:L34" etc:filterBottomFollowUsedRange="0">
    <extLst/>
  </autoFilter>
  <mergeCells count="1">
    <mergeCell ref="A1:P1"/>
  </mergeCells>
  <conditionalFormatting sqref="A3:P134">
    <cfRule type="expression" dxfId="3" priority="2">
      <formula>AND($I3="未收款",$B3&lt;&gt;"",$B3&lt;TODAY()-7)</formula>
    </cfRule>
  </conditionalFormatting>
  <dataValidations count="6">
    <dataValidation type="list" allowBlank="1" sqref="C3:C34">
      <formula1>Students!$B$3:$B$60</formula1>
    </dataValidation>
    <dataValidation type="list" allowBlank="1" sqref="I3:I34">
      <formula1>"Paid,Unpaid,Partial"</formula1>
    </dataValidation>
    <dataValidation type="list" allowBlank="1" sqref="K3:K34">
      <formula1>"P1,P2"</formula1>
    </dataValidation>
    <dataValidation type="list" allowBlank="1" sqref="M3:M34">
      <formula1>"CCA showcase,School event,Referral,Walk-in,Social,EKA,Partner,Birthday WS"</formula1>
    </dataValidation>
    <dataValidation type="list" allowBlank="1" sqref="N3:N34">
      <formula1>"Danny,Nicole"</formula1>
    </dataValidation>
    <dataValidation type="list" allowBlank="1" sqref="P3:P34">
      <formula1>"Course,Trial,Winter camp,Exhibition pack,Other"</formula1>
    </dataValidation>
  </dataValidations>
  <pageMargins left="0.75" right="0.75" top="1" bottom="1" header="0.5" footer="0.5"/>
  <pageSetup paperSize="1" scale="68" fitToHeight="0" orientation="landscape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1FA2"/>
    <pageSetUpPr fitToPage="1"/>
  </sheetPr>
  <dimension ref="A1:G34"/>
  <sheetViews>
    <sheetView showGridLines="0" workbookViewId="0">
      <pane ySplit="2" topLeftCell="A3" activePane="bottomLeft" state="frozen"/>
      <selection/>
      <selection pane="bottomLeft" activeCell="G1" sqref="G1"/>
    </sheetView>
  </sheetViews>
  <sheetFormatPr defaultColWidth="9" defaultRowHeight="13.8" outlineLevelCol="6"/>
  <cols>
    <col min="1" max="1" width="11" style="67" customWidth="1"/>
    <col min="2" max="2" width="22" style="67" customWidth="1"/>
    <col min="3" max="3" width="14" style="67" customWidth="1"/>
    <col min="4" max="4" width="11" style="67" customWidth="1"/>
    <col min="5" max="5" width="22" style="67" customWidth="1"/>
    <col min="6" max="6" width="12" style="67" customWidth="1"/>
    <col min="7" max="7" width="4" style="67" customWidth="1"/>
    <col min="8" max="16384" width="9" style="67" customWidth="1"/>
  </cols>
  <sheetData>
    <row r="1" ht="30" customHeight="1" spans="1:7">
      <c r="A1" s="129" t="s">
        <v>184</v>
      </c>
      <c r="B1" s="130"/>
      <c r="C1" s="130"/>
      <c r="D1" s="130"/>
      <c r="E1" s="130"/>
      <c r="F1" s="131"/>
      <c r="G1" s="46" t="str">
        <f>HYPERLINK("#'Cover'!A1","←")</f>
        <v>←</v>
      </c>
    </row>
    <row r="2" spans="1:7">
      <c r="A2" s="219" t="s">
        <v>155</v>
      </c>
      <c r="B2" s="220" t="s">
        <v>48</v>
      </c>
      <c r="C2" s="220" t="s">
        <v>185</v>
      </c>
      <c r="D2" s="220" t="s">
        <v>186</v>
      </c>
      <c r="E2" s="220" t="s">
        <v>187</v>
      </c>
      <c r="F2" s="221" t="s">
        <v>179</v>
      </c>
    </row>
    <row r="3" spans="1:7">
      <c r="A3" s="212"/>
      <c r="F3" s="224"/>
    </row>
    <row r="4" spans="1:7">
      <c r="A4" s="210"/>
      <c r="B4" s="143"/>
      <c r="C4" s="143"/>
      <c r="D4" s="297"/>
      <c r="E4" s="143"/>
      <c r="F4" s="211"/>
    </row>
    <row r="5" spans="1:7">
      <c r="A5" s="212"/>
      <c r="B5" s="142"/>
      <c r="C5" s="142"/>
      <c r="D5" s="298"/>
      <c r="E5" s="142"/>
      <c r="F5" s="213"/>
    </row>
    <row r="6" spans="1:7">
      <c r="A6" s="210"/>
      <c r="B6" s="143"/>
      <c r="C6" s="143"/>
      <c r="D6" s="297"/>
      <c r="E6" s="143"/>
      <c r="F6" s="211"/>
    </row>
    <row r="7" spans="1:7">
      <c r="A7" s="212"/>
      <c r="B7" s="142"/>
      <c r="C7" s="142"/>
      <c r="D7" s="298"/>
      <c r="E7" s="142"/>
      <c r="F7" s="213"/>
    </row>
    <row r="8" spans="1:7">
      <c r="A8" s="210"/>
      <c r="B8" s="143"/>
      <c r="C8" s="143"/>
      <c r="D8" s="297"/>
      <c r="E8" s="143"/>
      <c r="F8" s="211"/>
    </row>
    <row r="9" spans="1:7">
      <c r="A9" s="212"/>
      <c r="B9" s="142"/>
      <c r="C9" s="142"/>
      <c r="D9" s="298"/>
      <c r="E9" s="142"/>
      <c r="F9" s="213"/>
    </row>
    <row r="10" spans="1:7">
      <c r="A10" s="210"/>
      <c r="B10" s="143"/>
      <c r="C10" s="143"/>
      <c r="D10" s="297"/>
      <c r="E10" s="143"/>
      <c r="F10" s="211"/>
    </row>
    <row r="11" spans="1:7">
      <c r="A11" s="212"/>
      <c r="B11" s="142"/>
      <c r="C11" s="142"/>
      <c r="D11" s="298"/>
      <c r="E11" s="142"/>
      <c r="F11" s="213"/>
    </row>
    <row r="12" spans="1:7">
      <c r="A12" s="210"/>
      <c r="B12" s="143"/>
      <c r="C12" s="143"/>
      <c r="D12" s="297"/>
      <c r="E12" s="143"/>
      <c r="F12" s="211"/>
    </row>
    <row r="13" spans="1:7">
      <c r="A13" s="212"/>
      <c r="B13" s="142"/>
      <c r="C13" s="142"/>
      <c r="D13" s="298"/>
      <c r="E13" s="142"/>
      <c r="F13" s="213"/>
    </row>
    <row r="14" spans="1:7">
      <c r="A14" s="210"/>
      <c r="B14" s="143"/>
      <c r="C14" s="143"/>
      <c r="D14" s="297"/>
      <c r="E14" s="143"/>
      <c r="F14" s="211"/>
    </row>
    <row r="15" spans="1:7">
      <c r="A15" s="212"/>
      <c r="B15" s="142"/>
      <c r="C15" s="142"/>
      <c r="D15" s="298"/>
      <c r="E15" s="142"/>
      <c r="F15" s="213"/>
    </row>
    <row r="16" spans="1:7">
      <c r="A16" s="210"/>
      <c r="B16" s="143"/>
      <c r="C16" s="143"/>
      <c r="D16" s="297"/>
      <c r="E16" s="143"/>
      <c r="F16" s="211"/>
    </row>
    <row r="17" spans="1:6">
      <c r="A17" s="212"/>
      <c r="B17" s="142"/>
      <c r="C17" s="142"/>
      <c r="D17" s="298"/>
      <c r="E17" s="142"/>
      <c r="F17" s="213"/>
    </row>
    <row r="18" spans="1:6">
      <c r="A18" s="210"/>
      <c r="B18" s="143"/>
      <c r="C18" s="143"/>
      <c r="D18" s="297"/>
      <c r="E18" s="143"/>
      <c r="F18" s="211"/>
    </row>
    <row r="19" spans="1:6">
      <c r="A19" s="212"/>
      <c r="B19" s="142"/>
      <c r="C19" s="142"/>
      <c r="D19" s="298"/>
      <c r="E19" s="142"/>
      <c r="F19" s="213"/>
    </row>
    <row r="20" spans="1:6">
      <c r="A20" s="210"/>
      <c r="B20" s="143"/>
      <c r="C20" s="143"/>
      <c r="D20" s="297"/>
      <c r="E20" s="143"/>
      <c r="F20" s="211"/>
    </row>
    <row r="21" spans="1:6">
      <c r="A21" s="212"/>
      <c r="B21" s="142"/>
      <c r="C21" s="142"/>
      <c r="D21" s="298"/>
      <c r="E21" s="142"/>
      <c r="F21" s="213"/>
    </row>
    <row r="22" spans="1:6">
      <c r="A22" s="210"/>
      <c r="B22" s="143"/>
      <c r="C22" s="143"/>
      <c r="D22" s="297"/>
      <c r="E22" s="143"/>
      <c r="F22" s="211"/>
    </row>
    <row r="23" spans="1:6">
      <c r="A23" s="212"/>
      <c r="B23" s="142"/>
      <c r="C23" s="142"/>
      <c r="D23" s="298"/>
      <c r="E23" s="142"/>
      <c r="F23" s="213"/>
    </row>
    <row r="24" spans="1:6">
      <c r="A24" s="210"/>
      <c r="B24" s="143"/>
      <c r="C24" s="143"/>
      <c r="D24" s="297"/>
      <c r="E24" s="143"/>
      <c r="F24" s="211"/>
    </row>
    <row r="25" spans="1:6">
      <c r="A25" s="212"/>
      <c r="B25" s="142"/>
      <c r="C25" s="142"/>
      <c r="D25" s="298"/>
      <c r="E25" s="142"/>
      <c r="F25" s="213"/>
    </row>
    <row r="26" spans="1:6">
      <c r="A26" s="210"/>
      <c r="B26" s="143"/>
      <c r="C26" s="143"/>
      <c r="D26" s="297"/>
      <c r="E26" s="143"/>
      <c r="F26" s="211"/>
    </row>
    <row r="27" spans="1:6">
      <c r="A27" s="212"/>
      <c r="B27" s="142"/>
      <c r="C27" s="142"/>
      <c r="D27" s="298"/>
      <c r="E27" s="142"/>
      <c r="F27" s="213"/>
    </row>
    <row r="28" spans="1:6">
      <c r="A28" s="210"/>
      <c r="B28" s="143"/>
      <c r="C28" s="143"/>
      <c r="D28" s="297"/>
      <c r="E28" s="143"/>
      <c r="F28" s="211"/>
    </row>
    <row r="29" spans="1:6">
      <c r="A29" s="212"/>
      <c r="B29" s="142"/>
      <c r="C29" s="142"/>
      <c r="D29" s="298"/>
      <c r="E29" s="142"/>
      <c r="F29" s="213"/>
    </row>
    <row r="30" spans="1:6">
      <c r="A30" s="210"/>
      <c r="B30" s="143"/>
      <c r="C30" s="143"/>
      <c r="D30" s="297"/>
      <c r="E30" s="143"/>
      <c r="F30" s="211"/>
    </row>
    <row r="31" spans="1:6">
      <c r="A31" s="212"/>
      <c r="B31" s="142"/>
      <c r="C31" s="142"/>
      <c r="D31" s="298"/>
      <c r="E31" s="142"/>
      <c r="F31" s="213"/>
    </row>
    <row r="32" spans="1:6">
      <c r="A32" s="210"/>
      <c r="B32" s="143"/>
      <c r="C32" s="143"/>
      <c r="D32" s="297"/>
      <c r="E32" s="143"/>
      <c r="F32" s="211"/>
    </row>
    <row r="33" spans="1:6">
      <c r="A33" s="266"/>
      <c r="B33" s="152"/>
      <c r="C33" s="152"/>
      <c r="D33" s="152"/>
      <c r="E33" s="152"/>
      <c r="F33" s="265"/>
    </row>
    <row r="34" ht="14.55" spans="1:6">
      <c r="A34" s="268"/>
      <c r="B34" s="269"/>
      <c r="C34" s="299" t="s">
        <v>183</v>
      </c>
      <c r="D34" s="300">
        <f>SUM(D3:D32)</f>
        <v>0</v>
      </c>
      <c r="E34" s="269"/>
      <c r="F34" s="271"/>
    </row>
  </sheetData>
  <autoFilter xmlns:etc="http://www.wps.cn/officeDocument/2017/etCustomData" ref="A2:F100" etc:filterBottomFollowUsedRange="0">
    <extLst/>
  </autoFilter>
  <mergeCells count="1">
    <mergeCell ref="A1:F1"/>
  </mergeCells>
  <dataValidations count="1">
    <dataValidation type="list" allowBlank="1" sqref="C3:C100">
      <formula1>"Rent,Utilities,Social,Materials,Commission,Hospitality,Salary,Other"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07D8B"/>
    <pageSetUpPr fitToPage="1"/>
  </sheetPr>
  <dimension ref="A1:H100"/>
  <sheetViews>
    <sheetView showGridLines="0" workbookViewId="0">
      <pane ySplit="2" topLeftCell="A3" activePane="bottomLeft" state="frozen"/>
      <selection/>
      <selection pane="bottomLeft" activeCell="H1" sqref="H1"/>
    </sheetView>
  </sheetViews>
  <sheetFormatPr defaultColWidth="9" defaultRowHeight="13.8" outlineLevelCol="7"/>
  <cols>
    <col min="1" max="1" width="13" style="67" customWidth="1"/>
    <col min="2" max="2" width="14" style="67" customWidth="1"/>
    <col min="3" max="3" width="10" style="67" customWidth="1"/>
    <col min="4" max="4" width="12" style="67" customWidth="1"/>
    <col min="5" max="5" width="8" style="67" customWidth="1"/>
    <col min="6" max="6" width="18" style="67" customWidth="1"/>
    <col min="7" max="7" width="22" style="67" customWidth="1"/>
    <col min="8" max="16384" width="4" style="1" customWidth="1"/>
  </cols>
  <sheetData>
    <row r="1" ht="30" customHeight="1" spans="1:8">
      <c r="A1" s="181" t="s">
        <v>188</v>
      </c>
      <c r="B1" s="3"/>
      <c r="C1" s="3"/>
      <c r="D1" s="3"/>
      <c r="E1" s="3"/>
      <c r="F1" s="3"/>
      <c r="G1" s="4"/>
      <c r="H1" s="46" t="str">
        <f>HYPERLINK("#'Cover'!A1","←")</f>
        <v>←</v>
      </c>
    </row>
    <row r="2" spans="1:8">
      <c r="A2" s="6" t="s">
        <v>172</v>
      </c>
      <c r="B2" s="7" t="s">
        <v>189</v>
      </c>
      <c r="C2" s="7" t="s">
        <v>110</v>
      </c>
      <c r="D2" s="7" t="s">
        <v>190</v>
      </c>
      <c r="E2" s="7" t="s">
        <v>191</v>
      </c>
      <c r="F2" s="7" t="s">
        <v>192</v>
      </c>
      <c r="G2" s="8" t="s">
        <v>193</v>
      </c>
    </row>
    <row r="3" spans="1:8">
      <c r="A3" s="212"/>
      <c r="G3" s="224"/>
    </row>
    <row r="4" spans="1:8">
      <c r="A4" s="210"/>
      <c r="B4" s="143"/>
      <c r="C4" s="143"/>
      <c r="D4" s="143"/>
      <c r="E4" s="143"/>
      <c r="F4" s="137" t="str">
        <f t="shared" ref="F4:F32" si="0">IF(C4="","",IF(C4&gt;=2,"At risk — talk now",IF(C4&gt;=1,"Watch","OK")))</f>
        <v/>
      </c>
      <c r="G4" s="226" t="str">
        <f>IF(F4="At risk — talk now",IFERROR(VLOOKUP("M2",Scripts!A$3:D$60,3,FALSE),""),IF(F4="Watch",IFERROR(VLOOKUP("M1",Scripts!A$3:D$60,3,FALSE),""),""))</f>
        <v/>
      </c>
    </row>
    <row r="5" spans="1:8">
      <c r="A5" s="212"/>
      <c r="B5" s="142"/>
      <c r="C5" s="142"/>
      <c r="D5" s="142"/>
      <c r="E5" s="142"/>
      <c r="F5" s="134" t="str">
        <f t="shared" si="0"/>
        <v/>
      </c>
      <c r="G5" s="227" t="str">
        <f>IF(F5="At risk — talk now",IFERROR(VLOOKUP("M2",Scripts!A$3:D$60,3,FALSE),""),IF(F5="Watch",IFERROR(VLOOKUP("M1",Scripts!A$3:D$60,3,FALSE),""),""))</f>
        <v/>
      </c>
    </row>
    <row r="6" spans="1:8">
      <c r="A6" s="210"/>
      <c r="B6" s="143"/>
      <c r="C6" s="143"/>
      <c r="D6" s="143"/>
      <c r="E6" s="143"/>
      <c r="F6" s="137" t="str">
        <f t="shared" si="0"/>
        <v/>
      </c>
      <c r="G6" s="226" t="str">
        <f>IF(F6="At risk — talk now",IFERROR(VLOOKUP("M2",Scripts!A$3:D$60,3,FALSE),""),IF(F6="Watch",IFERROR(VLOOKUP("M1",Scripts!A$3:D$60,3,FALSE),""),""))</f>
        <v/>
      </c>
    </row>
    <row r="7" spans="1:8">
      <c r="A7" s="212"/>
      <c r="B7" s="142"/>
      <c r="C7" s="142"/>
      <c r="D7" s="142"/>
      <c r="E7" s="142"/>
      <c r="F7" s="134" t="str">
        <f t="shared" si="0"/>
        <v/>
      </c>
      <c r="G7" s="227" t="str">
        <f>IF(F7="At risk — talk now",IFERROR(VLOOKUP("M2",Scripts!A$3:D$60,3,FALSE),""),IF(F7="Watch",IFERROR(VLOOKUP("M1",Scripts!A$3:D$60,3,FALSE),""),""))</f>
        <v/>
      </c>
    </row>
    <row r="8" spans="1:8">
      <c r="A8" s="210"/>
      <c r="B8" s="143"/>
      <c r="C8" s="143"/>
      <c r="D8" s="143"/>
      <c r="E8" s="143"/>
      <c r="F8" s="137" t="str">
        <f t="shared" si="0"/>
        <v/>
      </c>
      <c r="G8" s="226" t="str">
        <f>IF(F8="At risk — talk now",IFERROR(VLOOKUP("M2",Scripts!A$3:D$60,3,FALSE),""),IF(F8="Watch",IFERROR(VLOOKUP("M1",Scripts!A$3:D$60,3,FALSE),""),""))</f>
        <v/>
      </c>
    </row>
    <row r="9" spans="1:8">
      <c r="A9" s="212"/>
      <c r="B9" s="142"/>
      <c r="C9" s="142"/>
      <c r="D9" s="142"/>
      <c r="E9" s="142"/>
      <c r="F9" s="134" t="str">
        <f t="shared" si="0"/>
        <v/>
      </c>
      <c r="G9" s="227" t="str">
        <f>IF(F9="At risk — talk now",IFERROR(VLOOKUP("M2",Scripts!A$3:D$60,3,FALSE),""),IF(F9="Watch",IFERROR(VLOOKUP("M1",Scripts!A$3:D$60,3,FALSE),""),""))</f>
        <v/>
      </c>
    </row>
    <row r="10" spans="1:8">
      <c r="A10" s="210"/>
      <c r="B10" s="143"/>
      <c r="C10" s="143"/>
      <c r="D10" s="143"/>
      <c r="E10" s="143"/>
      <c r="F10" s="137" t="str">
        <f t="shared" si="0"/>
        <v/>
      </c>
      <c r="G10" s="226" t="str">
        <f>IF(F10="At risk — talk now",IFERROR(VLOOKUP("M2",Scripts!A$3:D$60,3,FALSE),""),IF(F10="Watch",IFERROR(VLOOKUP("M1",Scripts!A$3:D$60,3,FALSE),""),""))</f>
        <v/>
      </c>
    </row>
    <row r="11" spans="1:8">
      <c r="A11" s="212"/>
      <c r="B11" s="142"/>
      <c r="C11" s="142"/>
      <c r="D11" s="142"/>
      <c r="E11" s="142"/>
      <c r="F11" s="134" t="str">
        <f t="shared" si="0"/>
        <v/>
      </c>
      <c r="G11" s="227" t="str">
        <f>IF(F11="At risk — talk now",IFERROR(VLOOKUP("M2",Scripts!A$3:D$60,3,FALSE),""),IF(F11="Watch",IFERROR(VLOOKUP("M1",Scripts!A$3:D$60,3,FALSE),""),""))</f>
        <v/>
      </c>
    </row>
    <row r="12" spans="1:8">
      <c r="A12" s="210"/>
      <c r="B12" s="143"/>
      <c r="C12" s="143"/>
      <c r="D12" s="143"/>
      <c r="E12" s="143"/>
      <c r="F12" s="137" t="str">
        <f t="shared" si="0"/>
        <v/>
      </c>
      <c r="G12" s="226" t="str">
        <f>IF(F12="At risk — talk now",IFERROR(VLOOKUP("M2",Scripts!A$3:D$60,3,FALSE),""),IF(F12="Watch",IFERROR(VLOOKUP("M1",Scripts!A$3:D$60,3,FALSE),""),""))</f>
        <v/>
      </c>
    </row>
    <row r="13" spans="1:8">
      <c r="A13" s="212"/>
      <c r="B13" s="142"/>
      <c r="C13" s="142"/>
      <c r="D13" s="142"/>
      <c r="E13" s="142"/>
      <c r="F13" s="134" t="str">
        <f t="shared" si="0"/>
        <v/>
      </c>
      <c r="G13" s="227" t="str">
        <f>IF(F13="At risk — talk now",IFERROR(VLOOKUP("M2",Scripts!A$3:D$60,3,FALSE),""),IF(F13="Watch",IFERROR(VLOOKUP("M1",Scripts!A$3:D$60,3,FALSE),""),""))</f>
        <v/>
      </c>
    </row>
    <row r="14" spans="1:8">
      <c r="A14" s="210"/>
      <c r="B14" s="143"/>
      <c r="C14" s="143"/>
      <c r="D14" s="143"/>
      <c r="E14" s="143"/>
      <c r="F14" s="137" t="str">
        <f t="shared" si="0"/>
        <v/>
      </c>
      <c r="G14" s="226" t="str">
        <f>IF(F14="At risk — talk now",IFERROR(VLOOKUP("M2",Scripts!A$3:D$60,3,FALSE),""),IF(F14="Watch",IFERROR(VLOOKUP("M1",Scripts!A$3:D$60,3,FALSE),""),""))</f>
        <v/>
      </c>
    </row>
    <row r="15" spans="1:8">
      <c r="A15" s="212"/>
      <c r="B15" s="142"/>
      <c r="C15" s="142"/>
      <c r="D15" s="142"/>
      <c r="E15" s="142"/>
      <c r="F15" s="134" t="str">
        <f t="shared" si="0"/>
        <v/>
      </c>
      <c r="G15" s="227" t="str">
        <f>IF(F15="At risk — talk now",IFERROR(VLOOKUP("M2",Scripts!A$3:D$60,3,FALSE),""),IF(F15="Watch",IFERROR(VLOOKUP("M1",Scripts!A$3:D$60,3,FALSE),""),""))</f>
        <v/>
      </c>
    </row>
    <row r="16" spans="1:8">
      <c r="A16" s="210"/>
      <c r="B16" s="143"/>
      <c r="C16" s="143"/>
      <c r="D16" s="143"/>
      <c r="E16" s="143"/>
      <c r="F16" s="137" t="str">
        <f t="shared" si="0"/>
        <v/>
      </c>
      <c r="G16" s="226" t="str">
        <f>IF(F16="At risk — talk now",IFERROR(VLOOKUP("M2",Scripts!A$3:D$60,3,FALSE),""),IF(F16="Watch",IFERROR(VLOOKUP("M1",Scripts!A$3:D$60,3,FALSE),""),""))</f>
        <v/>
      </c>
    </row>
    <row r="17" spans="1:7">
      <c r="A17" s="212"/>
      <c r="B17" s="142"/>
      <c r="C17" s="142"/>
      <c r="D17" s="142"/>
      <c r="E17" s="142"/>
      <c r="F17" s="134" t="str">
        <f t="shared" si="0"/>
        <v/>
      </c>
      <c r="G17" s="227" t="str">
        <f>IF(F17="At risk — talk now",IFERROR(VLOOKUP("M2",Scripts!A$3:D$60,3,FALSE),""),IF(F17="Watch",IFERROR(VLOOKUP("M1",Scripts!A$3:D$60,3,FALSE),""),""))</f>
        <v/>
      </c>
    </row>
    <row r="18" spans="1:7">
      <c r="A18" s="210"/>
      <c r="B18" s="143"/>
      <c r="C18" s="143"/>
      <c r="D18" s="143"/>
      <c r="E18" s="143"/>
      <c r="F18" s="137" t="str">
        <f t="shared" si="0"/>
        <v/>
      </c>
      <c r="G18" s="226" t="str">
        <f>IF(F18="At risk — talk now",IFERROR(VLOOKUP("M2",Scripts!A$3:D$60,3,FALSE),""),IF(F18="Watch",IFERROR(VLOOKUP("M1",Scripts!A$3:D$60,3,FALSE),""),""))</f>
        <v/>
      </c>
    </row>
    <row r="19" spans="1:7">
      <c r="A19" s="212"/>
      <c r="B19" s="142"/>
      <c r="C19" s="142"/>
      <c r="D19" s="142"/>
      <c r="E19" s="142"/>
      <c r="F19" s="134" t="str">
        <f t="shared" si="0"/>
        <v/>
      </c>
      <c r="G19" s="227" t="str">
        <f>IF(F19="At risk — talk now",IFERROR(VLOOKUP("M2",Scripts!A$3:D$60,3,FALSE),""),IF(F19="Watch",IFERROR(VLOOKUP("M1",Scripts!A$3:D$60,3,FALSE),""),""))</f>
        <v/>
      </c>
    </row>
    <row r="20" spans="1:7">
      <c r="A20" s="210"/>
      <c r="B20" s="143"/>
      <c r="C20" s="143"/>
      <c r="D20" s="143"/>
      <c r="E20" s="143"/>
      <c r="F20" s="137" t="str">
        <f t="shared" si="0"/>
        <v/>
      </c>
      <c r="G20" s="226" t="str">
        <f>IF(F20="At risk — talk now",IFERROR(VLOOKUP("M2",Scripts!A$3:D$60,3,FALSE),""),IF(F20="Watch",IFERROR(VLOOKUP("M1",Scripts!A$3:D$60,3,FALSE),""),""))</f>
        <v/>
      </c>
    </row>
    <row r="21" spans="1:7">
      <c r="A21" s="212"/>
      <c r="B21" s="142"/>
      <c r="C21" s="142"/>
      <c r="D21" s="142"/>
      <c r="E21" s="142"/>
      <c r="F21" s="134" t="str">
        <f t="shared" si="0"/>
        <v/>
      </c>
      <c r="G21" s="227" t="str">
        <f>IF(F21="At risk — talk now",IFERROR(VLOOKUP("M2",Scripts!A$3:D$60,3,FALSE),""),IF(F21="Watch",IFERROR(VLOOKUP("M1",Scripts!A$3:D$60,3,FALSE),""),""))</f>
        <v/>
      </c>
    </row>
    <row r="22" spans="1:7">
      <c r="A22" s="210"/>
      <c r="B22" s="143"/>
      <c r="C22" s="143"/>
      <c r="D22" s="143"/>
      <c r="E22" s="143"/>
      <c r="F22" s="137" t="str">
        <f t="shared" si="0"/>
        <v/>
      </c>
      <c r="G22" s="226" t="str">
        <f>IF(F22="At risk — talk now",IFERROR(VLOOKUP("M2",Scripts!A$3:D$60,3,FALSE),""),IF(F22="Watch",IFERROR(VLOOKUP("M1",Scripts!A$3:D$60,3,FALSE),""),""))</f>
        <v/>
      </c>
    </row>
    <row r="23" spans="1:7">
      <c r="A23" s="212"/>
      <c r="B23" s="142"/>
      <c r="C23" s="142"/>
      <c r="D23" s="142"/>
      <c r="E23" s="142"/>
      <c r="F23" s="134" t="str">
        <f t="shared" si="0"/>
        <v/>
      </c>
      <c r="G23" s="227" t="str">
        <f>IF(F23="At risk — talk now",IFERROR(VLOOKUP("M2",Scripts!A$3:D$60,3,FALSE),""),IF(F23="Watch",IFERROR(VLOOKUP("M1",Scripts!A$3:D$60,3,FALSE),""),""))</f>
        <v/>
      </c>
    </row>
    <row r="24" spans="1:7">
      <c r="A24" s="210"/>
      <c r="B24" s="143"/>
      <c r="C24" s="143"/>
      <c r="D24" s="143"/>
      <c r="E24" s="143"/>
      <c r="F24" s="137" t="str">
        <f t="shared" si="0"/>
        <v/>
      </c>
      <c r="G24" s="226" t="str">
        <f>IF(F24="At risk — talk now",IFERROR(VLOOKUP("M2",Scripts!A$3:D$60,3,FALSE),""),IF(F24="Watch",IFERROR(VLOOKUP("M1",Scripts!A$3:D$60,3,FALSE),""),""))</f>
        <v/>
      </c>
    </row>
    <row r="25" spans="1:7">
      <c r="A25" s="212"/>
      <c r="B25" s="142"/>
      <c r="C25" s="142"/>
      <c r="D25" s="142"/>
      <c r="E25" s="142"/>
      <c r="F25" s="134" t="str">
        <f t="shared" si="0"/>
        <v/>
      </c>
      <c r="G25" s="227" t="str">
        <f>IF(F25="At risk — talk now",IFERROR(VLOOKUP("M2",Scripts!A$3:D$60,3,FALSE),""),IF(F25="Watch",IFERROR(VLOOKUP("M1",Scripts!A$3:D$60,3,FALSE),""),""))</f>
        <v/>
      </c>
    </row>
    <row r="26" spans="1:7">
      <c r="A26" s="210"/>
      <c r="B26" s="143"/>
      <c r="C26" s="143"/>
      <c r="D26" s="143"/>
      <c r="E26" s="143"/>
      <c r="F26" s="137" t="str">
        <f t="shared" si="0"/>
        <v/>
      </c>
      <c r="G26" s="226" t="str">
        <f>IF(F26="At risk — talk now",IFERROR(VLOOKUP("M2",Scripts!A$3:D$60,3,FALSE),""),IF(F26="Watch",IFERROR(VLOOKUP("M1",Scripts!A$3:D$60,3,FALSE),""),""))</f>
        <v/>
      </c>
    </row>
    <row r="27" spans="1:7">
      <c r="A27" s="212"/>
      <c r="B27" s="142"/>
      <c r="C27" s="142"/>
      <c r="D27" s="142"/>
      <c r="E27" s="142"/>
      <c r="F27" s="134" t="str">
        <f t="shared" si="0"/>
        <v/>
      </c>
      <c r="G27" s="227" t="str">
        <f>IF(F27="At risk — talk now",IFERROR(VLOOKUP("M2",Scripts!A$3:D$60,3,FALSE),""),IF(F27="Watch",IFERROR(VLOOKUP("M1",Scripts!A$3:D$60,3,FALSE),""),""))</f>
        <v/>
      </c>
    </row>
    <row r="28" spans="1:7">
      <c r="A28" s="210"/>
      <c r="B28" s="143"/>
      <c r="C28" s="143"/>
      <c r="D28" s="143"/>
      <c r="E28" s="143"/>
      <c r="F28" s="137" t="str">
        <f t="shared" si="0"/>
        <v/>
      </c>
      <c r="G28" s="226" t="str">
        <f>IF(F28="At risk — talk now",IFERROR(VLOOKUP("M2",Scripts!A$3:D$60,3,FALSE),""),IF(F28="Watch",IFERROR(VLOOKUP("M1",Scripts!A$3:D$60,3,FALSE),""),""))</f>
        <v/>
      </c>
    </row>
    <row r="29" spans="1:7">
      <c r="A29" s="212"/>
      <c r="B29" s="142"/>
      <c r="C29" s="142"/>
      <c r="D29" s="142"/>
      <c r="E29" s="142"/>
      <c r="F29" s="134" t="str">
        <f t="shared" si="0"/>
        <v/>
      </c>
      <c r="G29" s="227" t="str">
        <f>IF(F29="At risk — talk now",IFERROR(VLOOKUP("M2",Scripts!A$3:D$60,3,FALSE),""),IF(F29="Watch",IFERROR(VLOOKUP("M1",Scripts!A$3:D$60,3,FALSE),""),""))</f>
        <v/>
      </c>
    </row>
    <row r="30" spans="1:7">
      <c r="A30" s="210"/>
      <c r="B30" s="143"/>
      <c r="C30" s="143"/>
      <c r="D30" s="143"/>
      <c r="E30" s="143"/>
      <c r="F30" s="137" t="str">
        <f t="shared" si="0"/>
        <v/>
      </c>
      <c r="G30" s="226" t="str">
        <f>IF(F30="At risk — talk now",IFERROR(VLOOKUP("M2",Scripts!A$3:D$60,3,FALSE),""),IF(F30="Watch",IFERROR(VLOOKUP("M1",Scripts!A$3:D$60,3,FALSE),""),""))</f>
        <v/>
      </c>
    </row>
    <row r="31" spans="1:7">
      <c r="A31" s="212"/>
      <c r="B31" s="142"/>
      <c r="C31" s="142"/>
      <c r="D31" s="142"/>
      <c r="E31" s="142"/>
      <c r="F31" s="134" t="str">
        <f t="shared" si="0"/>
        <v/>
      </c>
      <c r="G31" s="227" t="str">
        <f>IF(F31="At risk — talk now",IFERROR(VLOOKUP("M2",Scripts!A$3:D$60,3,FALSE),""),IF(F31="Watch",IFERROR(VLOOKUP("M1",Scripts!A$3:D$60,3,FALSE),""),""))</f>
        <v/>
      </c>
    </row>
    <row r="32" spans="1:7">
      <c r="A32" s="210"/>
      <c r="B32" s="143"/>
      <c r="C32" s="143"/>
      <c r="D32" s="143"/>
      <c r="E32" s="143"/>
      <c r="F32" s="137" t="str">
        <f t="shared" si="0"/>
        <v/>
      </c>
      <c r="G32" s="226" t="str">
        <f>IF(F32="At risk — talk now",IFERROR(VLOOKUP("M2",Scripts!A$3:D$60,3,FALSE),""),IF(F32="Watch",IFERROR(VLOOKUP("M1",Scripts!A$3:D$60,3,FALSE),""),""))</f>
        <v/>
      </c>
    </row>
    <row r="33" spans="1:7">
      <c r="A33" s="266"/>
      <c r="B33" s="152"/>
      <c r="C33" s="152"/>
      <c r="D33" s="152"/>
      <c r="E33" s="152"/>
      <c r="F33" s="152"/>
      <c r="G33" s="294" t="str">
        <f>IF(F33="At risk — talk now",IFERROR(VLOOKUP("M2",Scripts!A$3:D$60,3,FALSE),""),IF(F33="Watch",IFERROR(VLOOKUP("M1",Scripts!A$3:D$60,3,FALSE),""),""))</f>
        <v/>
      </c>
    </row>
    <row r="34" spans="1:7">
      <c r="A34" s="267"/>
      <c r="B34" s="148"/>
      <c r="C34" s="148"/>
      <c r="D34" s="148"/>
      <c r="E34" s="148"/>
      <c r="F34" s="148"/>
      <c r="G34" s="295" t="str">
        <f>IF(F34="At risk — talk now",IFERROR(VLOOKUP("M2",Scripts!A$3:D$60,3,FALSE),""),IF(F34="Watch",IFERROR(VLOOKUP("M1",Scripts!A$3:D$60,3,FALSE),""),""))</f>
        <v/>
      </c>
    </row>
    <row r="35" spans="1:7">
      <c r="A35" s="266"/>
      <c r="B35" s="152"/>
      <c r="C35" s="152"/>
      <c r="D35" s="152"/>
      <c r="E35" s="152"/>
      <c r="F35" s="152"/>
      <c r="G35" s="294" t="str">
        <f>IF(F35="At risk — talk now",IFERROR(VLOOKUP("M2",Scripts!A$3:D$60,3,FALSE),""),IF(F35="Watch",IFERROR(VLOOKUP("M1",Scripts!A$3:D$60,3,FALSE),""),""))</f>
        <v/>
      </c>
    </row>
    <row r="36" spans="1:7">
      <c r="A36" s="267"/>
      <c r="B36" s="148"/>
      <c r="C36" s="148"/>
      <c r="D36" s="148"/>
      <c r="E36" s="148"/>
      <c r="F36" s="148"/>
      <c r="G36" s="295" t="str">
        <f>IF(F36="At risk — talk now",IFERROR(VLOOKUP("M2",Scripts!A$3:D$60,3,FALSE),""),IF(F36="Watch",IFERROR(VLOOKUP("M1",Scripts!A$3:D$60,3,FALSE),""),""))</f>
        <v/>
      </c>
    </row>
    <row r="37" spans="1:7">
      <c r="A37" s="266"/>
      <c r="B37" s="152"/>
      <c r="C37" s="152"/>
      <c r="D37" s="152"/>
      <c r="E37" s="152"/>
      <c r="F37" s="152"/>
      <c r="G37" s="294" t="str">
        <f>IF(F37="At risk — talk now",IFERROR(VLOOKUP("M2",Scripts!A$3:D$60,3,FALSE),""),IF(F37="Watch",IFERROR(VLOOKUP("M1",Scripts!A$3:D$60,3,FALSE),""),""))</f>
        <v/>
      </c>
    </row>
    <row r="38" spans="1:7">
      <c r="A38" s="267"/>
      <c r="B38" s="148"/>
      <c r="C38" s="148"/>
      <c r="D38" s="148"/>
      <c r="E38" s="148"/>
      <c r="F38" s="148"/>
      <c r="G38" s="295" t="str">
        <f>IF(F38="At risk — talk now",IFERROR(VLOOKUP("M2",Scripts!A$3:D$60,3,FALSE),""),IF(F38="Watch",IFERROR(VLOOKUP("M1",Scripts!A$3:D$60,3,FALSE),""),""))</f>
        <v/>
      </c>
    </row>
    <row r="39" spans="1:7">
      <c r="A39" s="266"/>
      <c r="B39" s="152"/>
      <c r="C39" s="152"/>
      <c r="D39" s="152"/>
      <c r="E39" s="152"/>
      <c r="F39" s="152"/>
      <c r="G39" s="294" t="str">
        <f>IF(F39="At risk — talk now",IFERROR(VLOOKUP("M2",Scripts!A$3:D$60,3,FALSE),""),IF(F39="Watch",IFERROR(VLOOKUP("M1",Scripts!A$3:D$60,3,FALSE),""),""))</f>
        <v/>
      </c>
    </row>
    <row r="40" spans="1:7">
      <c r="A40" s="267"/>
      <c r="B40" s="148"/>
      <c r="C40" s="148"/>
      <c r="D40" s="148"/>
      <c r="E40" s="148"/>
      <c r="F40" s="148"/>
      <c r="G40" s="295" t="str">
        <f>IF(F40="At risk — talk now",IFERROR(VLOOKUP("M2",Scripts!A$3:D$60,3,FALSE),""),IF(F40="Watch",IFERROR(VLOOKUP("M1",Scripts!A$3:D$60,3,FALSE),""),""))</f>
        <v/>
      </c>
    </row>
    <row r="41" spans="1:7">
      <c r="A41" s="266"/>
      <c r="B41" s="152"/>
      <c r="C41" s="152"/>
      <c r="D41" s="152"/>
      <c r="E41" s="152"/>
      <c r="F41" s="152"/>
      <c r="G41" s="294" t="str">
        <f>IF(F41="At risk — talk now",IFERROR(VLOOKUP("M2",Scripts!A$3:D$60,3,FALSE),""),IF(F41="Watch",IFERROR(VLOOKUP("M1",Scripts!A$3:D$60,3,FALSE),""),""))</f>
        <v/>
      </c>
    </row>
    <row r="42" spans="1:7">
      <c r="A42" s="267"/>
      <c r="B42" s="148"/>
      <c r="C42" s="148"/>
      <c r="D42" s="148"/>
      <c r="E42" s="148"/>
      <c r="F42" s="148"/>
      <c r="G42" s="295" t="str">
        <f>IF(F42="At risk — talk now",IFERROR(VLOOKUP("M2",Scripts!A$3:D$60,3,FALSE),""),IF(F42="Watch",IFERROR(VLOOKUP("M1",Scripts!A$3:D$60,3,FALSE),""),""))</f>
        <v/>
      </c>
    </row>
    <row r="43" spans="1:7">
      <c r="A43" s="266"/>
      <c r="B43" s="152"/>
      <c r="C43" s="152"/>
      <c r="D43" s="152"/>
      <c r="E43" s="152"/>
      <c r="F43" s="152"/>
      <c r="G43" s="294" t="str">
        <f>IF(F43="At risk — talk now",IFERROR(VLOOKUP("M2",Scripts!A$3:D$60,3,FALSE),""),IF(F43="Watch",IFERROR(VLOOKUP("M1",Scripts!A$3:D$60,3,FALSE),""),""))</f>
        <v/>
      </c>
    </row>
    <row r="44" spans="1:7">
      <c r="A44" s="267"/>
      <c r="B44" s="148"/>
      <c r="C44" s="148"/>
      <c r="D44" s="148"/>
      <c r="E44" s="148"/>
      <c r="F44" s="148"/>
      <c r="G44" s="295" t="str">
        <f>IF(F44="At risk — talk now",IFERROR(VLOOKUP("M2",Scripts!A$3:D$60,3,FALSE),""),IF(F44="Watch",IFERROR(VLOOKUP("M1",Scripts!A$3:D$60,3,FALSE),""),""))</f>
        <v/>
      </c>
    </row>
    <row r="45" spans="1:7">
      <c r="A45" s="266"/>
      <c r="B45" s="152"/>
      <c r="C45" s="152"/>
      <c r="D45" s="152"/>
      <c r="E45" s="152"/>
      <c r="F45" s="152"/>
      <c r="G45" s="294" t="str">
        <f>IF(F45="At risk — talk now",IFERROR(VLOOKUP("M2",Scripts!A$3:D$60,3,FALSE),""),IF(F45="Watch",IFERROR(VLOOKUP("M1",Scripts!A$3:D$60,3,FALSE),""),""))</f>
        <v/>
      </c>
    </row>
    <row r="46" spans="1:7">
      <c r="A46" s="267"/>
      <c r="B46" s="148"/>
      <c r="C46" s="148"/>
      <c r="D46" s="148"/>
      <c r="E46" s="148"/>
      <c r="F46" s="148"/>
      <c r="G46" s="295" t="str">
        <f>IF(F46="At risk — talk now",IFERROR(VLOOKUP("M2",Scripts!A$3:D$60,3,FALSE),""),IF(F46="Watch",IFERROR(VLOOKUP("M1",Scripts!A$3:D$60,3,FALSE),""),""))</f>
        <v/>
      </c>
    </row>
    <row r="47" spans="1:7">
      <c r="A47" s="266"/>
      <c r="B47" s="152"/>
      <c r="C47" s="152"/>
      <c r="D47" s="152"/>
      <c r="E47" s="152"/>
      <c r="F47" s="152"/>
      <c r="G47" s="294" t="str">
        <f>IF(F47="At risk — talk now",IFERROR(VLOOKUP("M2",Scripts!A$3:D$60,3,FALSE),""),IF(F47="Watch",IFERROR(VLOOKUP("M1",Scripts!A$3:D$60,3,FALSE),""),""))</f>
        <v/>
      </c>
    </row>
    <row r="48" spans="1:7">
      <c r="A48" s="267"/>
      <c r="B48" s="148"/>
      <c r="C48" s="148"/>
      <c r="D48" s="148"/>
      <c r="E48" s="148"/>
      <c r="F48" s="148"/>
      <c r="G48" s="295" t="str">
        <f>IF(F48="At risk — talk now",IFERROR(VLOOKUP("M2",Scripts!A$3:D$60,3,FALSE),""),IF(F48="Watch",IFERROR(VLOOKUP("M1",Scripts!A$3:D$60,3,FALSE),""),""))</f>
        <v/>
      </c>
    </row>
    <row r="49" spans="1:7">
      <c r="A49" s="266"/>
      <c r="B49" s="152"/>
      <c r="C49" s="152"/>
      <c r="D49" s="152"/>
      <c r="E49" s="152"/>
      <c r="F49" s="152"/>
      <c r="G49" s="294" t="str">
        <f>IF(F49="At risk — talk now",IFERROR(VLOOKUP("M2",Scripts!A$3:D$60,3,FALSE),""),IF(F49="Watch",IFERROR(VLOOKUP("M1",Scripts!A$3:D$60,3,FALSE),""),""))</f>
        <v/>
      </c>
    </row>
    <row r="50" spans="1:7">
      <c r="A50" s="267"/>
      <c r="B50" s="148"/>
      <c r="C50" s="148"/>
      <c r="D50" s="148"/>
      <c r="E50" s="148"/>
      <c r="F50" s="148"/>
      <c r="G50" s="295" t="str">
        <f>IF(F50="At risk — talk now",IFERROR(VLOOKUP("M2",Scripts!A$3:D$60,3,FALSE),""),IF(F50="Watch",IFERROR(VLOOKUP("M1",Scripts!A$3:D$60,3,FALSE),""),""))</f>
        <v/>
      </c>
    </row>
    <row r="51" spans="1:7">
      <c r="A51" s="266"/>
      <c r="B51" s="152"/>
      <c r="C51" s="152"/>
      <c r="D51" s="152"/>
      <c r="E51" s="152"/>
      <c r="F51" s="152"/>
      <c r="G51" s="294" t="str">
        <f>IF(F51="At risk — talk now",IFERROR(VLOOKUP("M2",Scripts!A$3:D$60,3,FALSE),""),IF(F51="Watch",IFERROR(VLOOKUP("M1",Scripts!A$3:D$60,3,FALSE),""),""))</f>
        <v/>
      </c>
    </row>
    <row r="52" spans="1:7">
      <c r="A52" s="267"/>
      <c r="B52" s="148"/>
      <c r="C52" s="148"/>
      <c r="D52" s="148"/>
      <c r="E52" s="148"/>
      <c r="F52" s="148"/>
      <c r="G52" s="295" t="str">
        <f>IF(F52="At risk — talk now",IFERROR(VLOOKUP("M2",Scripts!A$3:D$60,3,FALSE),""),IF(F52="Watch",IFERROR(VLOOKUP("M1",Scripts!A$3:D$60,3,FALSE),""),""))</f>
        <v/>
      </c>
    </row>
    <row r="53" spans="1:7">
      <c r="A53" s="266"/>
      <c r="B53" s="152"/>
      <c r="C53" s="152"/>
      <c r="D53" s="152"/>
      <c r="E53" s="152"/>
      <c r="F53" s="152"/>
      <c r="G53" s="294" t="str">
        <f>IF(F53="At risk — talk now",IFERROR(VLOOKUP("M2",Scripts!A$3:D$60,3,FALSE),""),IF(F53="Watch",IFERROR(VLOOKUP("M1",Scripts!A$3:D$60,3,FALSE),""),""))</f>
        <v/>
      </c>
    </row>
    <row r="54" spans="1:7">
      <c r="A54" s="267"/>
      <c r="B54" s="148"/>
      <c r="C54" s="148"/>
      <c r="D54" s="148"/>
      <c r="E54" s="148"/>
      <c r="F54" s="148"/>
      <c r="G54" s="295" t="str">
        <f>IF(F54="At risk — talk now",IFERROR(VLOOKUP("M2",Scripts!A$3:D$60,3,FALSE),""),IF(F54="Watch",IFERROR(VLOOKUP("M1",Scripts!A$3:D$60,3,FALSE),""),""))</f>
        <v/>
      </c>
    </row>
    <row r="55" spans="1:7">
      <c r="A55" s="266"/>
      <c r="B55" s="152"/>
      <c r="C55" s="152"/>
      <c r="D55" s="152"/>
      <c r="E55" s="152"/>
      <c r="F55" s="152"/>
      <c r="G55" s="294" t="str">
        <f>IF(F55="At risk — talk now",IFERROR(VLOOKUP("M2",Scripts!A$3:D$60,3,FALSE),""),IF(F55="Watch",IFERROR(VLOOKUP("M1",Scripts!A$3:D$60,3,FALSE),""),""))</f>
        <v/>
      </c>
    </row>
    <row r="56" spans="1:7">
      <c r="A56" s="267"/>
      <c r="B56" s="148"/>
      <c r="C56" s="148"/>
      <c r="D56" s="148"/>
      <c r="E56" s="148"/>
      <c r="F56" s="148"/>
      <c r="G56" s="295" t="str">
        <f>IF(F56="At risk — talk now",IFERROR(VLOOKUP("M2",Scripts!A$3:D$60,3,FALSE),""),IF(F56="Watch",IFERROR(VLOOKUP("M1",Scripts!A$3:D$60,3,FALSE),""),""))</f>
        <v/>
      </c>
    </row>
    <row r="57" spans="1:7">
      <c r="A57" s="266"/>
      <c r="B57" s="152"/>
      <c r="C57" s="152"/>
      <c r="D57" s="152"/>
      <c r="E57" s="152"/>
      <c r="F57" s="152"/>
      <c r="G57" s="294" t="str">
        <f>IF(F57="At risk — talk now",IFERROR(VLOOKUP("M2",Scripts!A$3:D$60,3,FALSE),""),IF(F57="Watch",IFERROR(VLOOKUP("M1",Scripts!A$3:D$60,3,FALSE),""),""))</f>
        <v/>
      </c>
    </row>
    <row r="58" spans="1:7">
      <c r="A58" s="267"/>
      <c r="B58" s="148"/>
      <c r="C58" s="148"/>
      <c r="D58" s="148"/>
      <c r="E58" s="148"/>
      <c r="F58" s="148"/>
      <c r="G58" s="295" t="str">
        <f>IF(F58="At risk — talk now",IFERROR(VLOOKUP("M2",Scripts!A$3:D$60,3,FALSE),""),IF(F58="Watch",IFERROR(VLOOKUP("M1",Scripts!A$3:D$60,3,FALSE),""),""))</f>
        <v/>
      </c>
    </row>
    <row r="59" spans="1:7">
      <c r="A59" s="266"/>
      <c r="B59" s="152"/>
      <c r="C59" s="152"/>
      <c r="D59" s="152"/>
      <c r="E59" s="152"/>
      <c r="F59" s="152"/>
      <c r="G59" s="294" t="str">
        <f>IF(F59="At risk — talk now",IFERROR(VLOOKUP("M2",Scripts!A$3:D$60,3,FALSE),""),IF(F59="Watch",IFERROR(VLOOKUP("M1",Scripts!A$3:D$60,3,FALSE),""),""))</f>
        <v/>
      </c>
    </row>
    <row r="60" spans="1:7">
      <c r="A60" s="267"/>
      <c r="B60" s="148"/>
      <c r="C60" s="148"/>
      <c r="D60" s="148"/>
      <c r="E60" s="148"/>
      <c r="F60" s="148"/>
      <c r="G60" s="295" t="str">
        <f>IF(F60="At risk — talk now",IFERROR(VLOOKUP("M2",Scripts!A$3:D$60,3,FALSE),""),IF(F60="Watch",IFERROR(VLOOKUP("M1",Scripts!A$3:D$60,3,FALSE),""),""))</f>
        <v/>
      </c>
    </row>
    <row r="61" spans="1:7">
      <c r="A61" s="266"/>
      <c r="B61" s="152"/>
      <c r="C61" s="152"/>
      <c r="D61" s="152"/>
      <c r="E61" s="152"/>
      <c r="F61" s="152"/>
      <c r="G61" s="294" t="str">
        <f>IF(F61="At risk — talk now",IFERROR(VLOOKUP("M2",Scripts!A$3:D$60,3,FALSE),""),IF(F61="Watch",IFERROR(VLOOKUP("M1",Scripts!A$3:D$60,3,FALSE),""),""))</f>
        <v/>
      </c>
    </row>
    <row r="62" spans="1:7">
      <c r="A62" s="267"/>
      <c r="B62" s="148"/>
      <c r="C62" s="148"/>
      <c r="D62" s="148"/>
      <c r="E62" s="148"/>
      <c r="F62" s="148"/>
      <c r="G62" s="295" t="str">
        <f>IF(F62="At risk — talk now",IFERROR(VLOOKUP("M2",Scripts!A$3:D$60,3,FALSE),""),IF(F62="Watch",IFERROR(VLOOKUP("M1",Scripts!A$3:D$60,3,FALSE),""),""))</f>
        <v/>
      </c>
    </row>
    <row r="63" spans="1:7">
      <c r="A63" s="266"/>
      <c r="B63" s="152"/>
      <c r="C63" s="152"/>
      <c r="D63" s="152"/>
      <c r="E63" s="152"/>
      <c r="F63" s="152"/>
      <c r="G63" s="294" t="str">
        <f>IF(F63="At risk — talk now",IFERROR(VLOOKUP("M2",Scripts!A$3:D$60,3,FALSE),""),IF(F63="Watch",IFERROR(VLOOKUP("M1",Scripts!A$3:D$60,3,FALSE),""),""))</f>
        <v/>
      </c>
    </row>
    <row r="64" spans="1:7">
      <c r="A64" s="267"/>
      <c r="B64" s="148"/>
      <c r="C64" s="148"/>
      <c r="D64" s="148"/>
      <c r="E64" s="148"/>
      <c r="F64" s="148"/>
      <c r="G64" s="295" t="str">
        <f>IF(F64="At risk — talk now",IFERROR(VLOOKUP("M2",Scripts!A$3:D$60,3,FALSE),""),IF(F64="Watch",IFERROR(VLOOKUP("M1",Scripts!A$3:D$60,3,FALSE),""),""))</f>
        <v/>
      </c>
    </row>
    <row r="65" spans="1:7">
      <c r="A65" s="266"/>
      <c r="B65" s="152"/>
      <c r="C65" s="152"/>
      <c r="D65" s="152"/>
      <c r="E65" s="152"/>
      <c r="F65" s="152"/>
      <c r="G65" s="294" t="str">
        <f>IF(F65="At risk — talk now",IFERROR(VLOOKUP("M2",Scripts!A$3:D$60,3,FALSE),""),IF(F65="Watch",IFERROR(VLOOKUP("M1",Scripts!A$3:D$60,3,FALSE),""),""))</f>
        <v/>
      </c>
    </row>
    <row r="66" spans="1:7">
      <c r="A66" s="267"/>
      <c r="B66" s="148"/>
      <c r="C66" s="148"/>
      <c r="D66" s="148"/>
      <c r="E66" s="148"/>
      <c r="F66" s="148"/>
      <c r="G66" s="295" t="str">
        <f>IF(F66="At risk — talk now",IFERROR(VLOOKUP("M2",Scripts!A$3:D$60,3,FALSE),""),IF(F66="Watch",IFERROR(VLOOKUP("M1",Scripts!A$3:D$60,3,FALSE),""),""))</f>
        <v/>
      </c>
    </row>
    <row r="67" spans="1:7">
      <c r="A67" s="266"/>
      <c r="B67" s="152"/>
      <c r="C67" s="152"/>
      <c r="D67" s="152"/>
      <c r="E67" s="152"/>
      <c r="F67" s="152"/>
      <c r="G67" s="294" t="str">
        <f>IF(F67="At risk — talk now",IFERROR(VLOOKUP("M2",Scripts!A$3:D$60,3,FALSE),""),IF(F67="Watch",IFERROR(VLOOKUP("M1",Scripts!A$3:D$60,3,FALSE),""),""))</f>
        <v/>
      </c>
    </row>
    <row r="68" spans="1:7">
      <c r="A68" s="267"/>
      <c r="B68" s="148"/>
      <c r="C68" s="148"/>
      <c r="D68" s="148"/>
      <c r="E68" s="148"/>
      <c r="F68" s="148"/>
      <c r="G68" s="295" t="str">
        <f>IF(F68="At risk — talk now",IFERROR(VLOOKUP("M2",Scripts!A$3:D$60,3,FALSE),""),IF(F68="Watch",IFERROR(VLOOKUP("M1",Scripts!A$3:D$60,3,FALSE),""),""))</f>
        <v/>
      </c>
    </row>
    <row r="69" spans="1:7">
      <c r="A69" s="266"/>
      <c r="B69" s="152"/>
      <c r="C69" s="152"/>
      <c r="D69" s="152"/>
      <c r="E69" s="152"/>
      <c r="F69" s="152"/>
      <c r="G69" s="294" t="str">
        <f>IF(F69="At risk — talk now",IFERROR(VLOOKUP("M2",Scripts!A$3:D$60,3,FALSE),""),IF(F69="Watch",IFERROR(VLOOKUP("M1",Scripts!A$3:D$60,3,FALSE),""),""))</f>
        <v/>
      </c>
    </row>
    <row r="70" spans="1:7">
      <c r="A70" s="267"/>
      <c r="B70" s="148"/>
      <c r="C70" s="148"/>
      <c r="D70" s="148"/>
      <c r="E70" s="148"/>
      <c r="F70" s="148"/>
      <c r="G70" s="295" t="str">
        <f>IF(F70="At risk — talk now",IFERROR(VLOOKUP("M2",Scripts!A$3:D$60,3,FALSE),""),IF(F70="Watch",IFERROR(VLOOKUP("M1",Scripts!A$3:D$60,3,FALSE),""),""))</f>
        <v/>
      </c>
    </row>
    <row r="71" spans="1:7">
      <c r="A71" s="266"/>
      <c r="B71" s="152"/>
      <c r="C71" s="152"/>
      <c r="D71" s="152"/>
      <c r="E71" s="152"/>
      <c r="F71" s="152"/>
      <c r="G71" s="294" t="str">
        <f>IF(F71="At risk — talk now",IFERROR(VLOOKUP("M2",Scripts!A$3:D$60,3,FALSE),""),IF(F71="Watch",IFERROR(VLOOKUP("M1",Scripts!A$3:D$60,3,FALSE),""),""))</f>
        <v/>
      </c>
    </row>
    <row r="72" spans="1:7">
      <c r="A72" s="267"/>
      <c r="B72" s="148"/>
      <c r="C72" s="148"/>
      <c r="D72" s="148"/>
      <c r="E72" s="148"/>
      <c r="F72" s="148"/>
      <c r="G72" s="295" t="str">
        <f>IF(F72="At risk — talk now",IFERROR(VLOOKUP("M2",Scripts!A$3:D$60,3,FALSE),""),IF(F72="Watch",IFERROR(VLOOKUP("M1",Scripts!A$3:D$60,3,FALSE),""),""))</f>
        <v/>
      </c>
    </row>
    <row r="73" spans="1:7">
      <c r="A73" s="266"/>
      <c r="B73" s="152"/>
      <c r="C73" s="152"/>
      <c r="D73" s="152"/>
      <c r="E73" s="152"/>
      <c r="F73" s="152"/>
      <c r="G73" s="294" t="str">
        <f>IF(F73="At risk — talk now",IFERROR(VLOOKUP("M2",Scripts!A$3:D$60,3,FALSE),""),IF(F73="Watch",IFERROR(VLOOKUP("M1",Scripts!A$3:D$60,3,FALSE),""),""))</f>
        <v/>
      </c>
    </row>
    <row r="74" spans="1:7">
      <c r="A74" s="267"/>
      <c r="B74" s="148"/>
      <c r="C74" s="148"/>
      <c r="D74" s="148"/>
      <c r="E74" s="148"/>
      <c r="F74" s="148"/>
      <c r="G74" s="295" t="str">
        <f>IF(F74="At risk — talk now",IFERROR(VLOOKUP("M2",Scripts!A$3:D$60,3,FALSE),""),IF(F74="Watch",IFERROR(VLOOKUP("M1",Scripts!A$3:D$60,3,FALSE),""),""))</f>
        <v/>
      </c>
    </row>
    <row r="75" spans="1:7">
      <c r="A75" s="266"/>
      <c r="B75" s="152"/>
      <c r="C75" s="152"/>
      <c r="D75" s="152"/>
      <c r="E75" s="152"/>
      <c r="F75" s="152"/>
      <c r="G75" s="294" t="str">
        <f>IF(F75="At risk — talk now",IFERROR(VLOOKUP("M2",Scripts!A$3:D$60,3,FALSE),""),IF(F75="Watch",IFERROR(VLOOKUP("M1",Scripts!A$3:D$60,3,FALSE),""),""))</f>
        <v/>
      </c>
    </row>
    <row r="76" spans="1:7">
      <c r="A76" s="267"/>
      <c r="B76" s="148"/>
      <c r="C76" s="148"/>
      <c r="D76" s="148"/>
      <c r="E76" s="148"/>
      <c r="F76" s="148"/>
      <c r="G76" s="295" t="str">
        <f>IF(F76="At risk — talk now",IFERROR(VLOOKUP("M2",Scripts!A$3:D$60,3,FALSE),""),IF(F76="Watch",IFERROR(VLOOKUP("M1",Scripts!A$3:D$60,3,FALSE),""),""))</f>
        <v/>
      </c>
    </row>
    <row r="77" spans="1:7">
      <c r="A77" s="266"/>
      <c r="B77" s="152"/>
      <c r="C77" s="152"/>
      <c r="D77" s="152"/>
      <c r="E77" s="152"/>
      <c r="F77" s="152"/>
      <c r="G77" s="294" t="str">
        <f>IF(F77="At risk — talk now",IFERROR(VLOOKUP("M2",Scripts!A$3:D$60,3,FALSE),""),IF(F77="Watch",IFERROR(VLOOKUP("M1",Scripts!A$3:D$60,3,FALSE),""),""))</f>
        <v/>
      </c>
    </row>
    <row r="78" spans="1:7">
      <c r="A78" s="267"/>
      <c r="B78" s="148"/>
      <c r="C78" s="148"/>
      <c r="D78" s="148"/>
      <c r="E78" s="148"/>
      <c r="F78" s="148"/>
      <c r="G78" s="295" t="str">
        <f>IF(F78="At risk — talk now",IFERROR(VLOOKUP("M2",Scripts!A$3:D$60,3,FALSE),""),IF(F78="Watch",IFERROR(VLOOKUP("M1",Scripts!A$3:D$60,3,FALSE),""),""))</f>
        <v/>
      </c>
    </row>
    <row r="79" spans="1:7">
      <c r="A79" s="266"/>
      <c r="B79" s="152"/>
      <c r="C79" s="152"/>
      <c r="D79" s="152"/>
      <c r="E79" s="152"/>
      <c r="F79" s="152"/>
      <c r="G79" s="294" t="str">
        <f>IF(F79="At risk — talk now",IFERROR(VLOOKUP("M2",Scripts!A$3:D$60,3,FALSE),""),IF(F79="Watch",IFERROR(VLOOKUP("M1",Scripts!A$3:D$60,3,FALSE),""),""))</f>
        <v/>
      </c>
    </row>
    <row r="80" spans="1:7">
      <c r="A80" s="267"/>
      <c r="B80" s="148"/>
      <c r="C80" s="148"/>
      <c r="D80" s="148"/>
      <c r="E80" s="148"/>
      <c r="F80" s="148"/>
      <c r="G80" s="295" t="str">
        <f>IF(F80="At risk — talk now",IFERROR(VLOOKUP("M2",Scripts!A$3:D$60,3,FALSE),""),IF(F80="Watch",IFERROR(VLOOKUP("M1",Scripts!A$3:D$60,3,FALSE),""),""))</f>
        <v/>
      </c>
    </row>
    <row r="81" spans="1:7">
      <c r="A81" s="266"/>
      <c r="B81" s="152"/>
      <c r="C81" s="152"/>
      <c r="D81" s="152"/>
      <c r="E81" s="152"/>
      <c r="F81" s="152"/>
      <c r="G81" s="294" t="str">
        <f>IF(F81="At risk — talk now",IFERROR(VLOOKUP("M2",Scripts!A$3:D$60,3,FALSE),""),IF(F81="Watch",IFERROR(VLOOKUP("M1",Scripts!A$3:D$60,3,FALSE),""),""))</f>
        <v/>
      </c>
    </row>
    <row r="82" spans="1:7">
      <c r="A82" s="267"/>
      <c r="B82" s="148"/>
      <c r="C82" s="148"/>
      <c r="D82" s="148"/>
      <c r="E82" s="148"/>
      <c r="F82" s="148"/>
      <c r="G82" s="295" t="str">
        <f>IF(F82="At risk — talk now",IFERROR(VLOOKUP("M2",Scripts!A$3:D$60,3,FALSE),""),IF(F82="Watch",IFERROR(VLOOKUP("M1",Scripts!A$3:D$60,3,FALSE),""),""))</f>
        <v/>
      </c>
    </row>
    <row r="83" spans="1:7">
      <c r="A83" s="266"/>
      <c r="B83" s="152"/>
      <c r="C83" s="152"/>
      <c r="D83" s="152"/>
      <c r="E83" s="152"/>
      <c r="F83" s="152"/>
      <c r="G83" s="294" t="str">
        <f>IF(F83="At risk — talk now",IFERROR(VLOOKUP("M2",Scripts!A$3:D$60,3,FALSE),""),IF(F83="Watch",IFERROR(VLOOKUP("M1",Scripts!A$3:D$60,3,FALSE),""),""))</f>
        <v/>
      </c>
    </row>
    <row r="84" spans="1:7">
      <c r="A84" s="267"/>
      <c r="B84" s="148"/>
      <c r="C84" s="148"/>
      <c r="D84" s="148"/>
      <c r="E84" s="148"/>
      <c r="F84" s="148"/>
      <c r="G84" s="295" t="str">
        <f>IF(F84="At risk — talk now",IFERROR(VLOOKUP("M2",Scripts!A$3:D$60,3,FALSE),""),IF(F84="Watch",IFERROR(VLOOKUP("M1",Scripts!A$3:D$60,3,FALSE),""),""))</f>
        <v/>
      </c>
    </row>
    <row r="85" spans="1:7">
      <c r="A85" s="266"/>
      <c r="B85" s="152"/>
      <c r="C85" s="152"/>
      <c r="D85" s="152"/>
      <c r="E85" s="152"/>
      <c r="F85" s="152"/>
      <c r="G85" s="294" t="str">
        <f>IF(F85="At risk — talk now",IFERROR(VLOOKUP("M2",Scripts!A$3:D$60,3,FALSE),""),IF(F85="Watch",IFERROR(VLOOKUP("M1",Scripts!A$3:D$60,3,FALSE),""),""))</f>
        <v/>
      </c>
    </row>
    <row r="86" spans="1:7">
      <c r="A86" s="267"/>
      <c r="B86" s="148"/>
      <c r="C86" s="148"/>
      <c r="D86" s="148"/>
      <c r="E86" s="148"/>
      <c r="F86" s="148"/>
      <c r="G86" s="295" t="str">
        <f>IF(F86="At risk — talk now",IFERROR(VLOOKUP("M2",Scripts!A$3:D$60,3,FALSE),""),IF(F86="Watch",IFERROR(VLOOKUP("M1",Scripts!A$3:D$60,3,FALSE),""),""))</f>
        <v/>
      </c>
    </row>
    <row r="87" spans="1:7">
      <c r="A87" s="266"/>
      <c r="B87" s="152"/>
      <c r="C87" s="152"/>
      <c r="D87" s="152"/>
      <c r="E87" s="152"/>
      <c r="F87" s="152"/>
      <c r="G87" s="294" t="str">
        <f>IF(F87="At risk — talk now",IFERROR(VLOOKUP("M2",Scripts!A$3:D$60,3,FALSE),""),IF(F87="Watch",IFERROR(VLOOKUP("M1",Scripts!A$3:D$60,3,FALSE),""),""))</f>
        <v/>
      </c>
    </row>
    <row r="88" spans="1:7">
      <c r="A88" s="267"/>
      <c r="B88" s="148"/>
      <c r="C88" s="148"/>
      <c r="D88" s="148"/>
      <c r="E88" s="148"/>
      <c r="F88" s="148"/>
      <c r="G88" s="295" t="str">
        <f>IF(F88="At risk — talk now",IFERROR(VLOOKUP("M2",Scripts!A$3:D$60,3,FALSE),""),IF(F88="Watch",IFERROR(VLOOKUP("M1",Scripts!A$3:D$60,3,FALSE),""),""))</f>
        <v/>
      </c>
    </row>
    <row r="89" spans="1:7">
      <c r="A89" s="266"/>
      <c r="B89" s="152"/>
      <c r="C89" s="152"/>
      <c r="D89" s="152"/>
      <c r="E89" s="152"/>
      <c r="F89" s="152"/>
      <c r="G89" s="294" t="str">
        <f>IF(F89="At risk — talk now",IFERROR(VLOOKUP("M2",Scripts!A$3:D$60,3,FALSE),""),IF(F89="Watch",IFERROR(VLOOKUP("M1",Scripts!A$3:D$60,3,FALSE),""),""))</f>
        <v/>
      </c>
    </row>
    <row r="90" spans="1:7">
      <c r="A90" s="267"/>
      <c r="B90" s="148"/>
      <c r="C90" s="148"/>
      <c r="D90" s="148"/>
      <c r="E90" s="148"/>
      <c r="F90" s="148"/>
      <c r="G90" s="295" t="str">
        <f>IF(F90="At risk — talk now",IFERROR(VLOOKUP("M2",Scripts!A$3:D$60,3,FALSE),""),IF(F90="Watch",IFERROR(VLOOKUP("M1",Scripts!A$3:D$60,3,FALSE),""),""))</f>
        <v/>
      </c>
    </row>
    <row r="91" spans="1:7">
      <c r="A91" s="266"/>
      <c r="B91" s="152"/>
      <c r="C91" s="152"/>
      <c r="D91" s="152"/>
      <c r="E91" s="152"/>
      <c r="F91" s="152"/>
      <c r="G91" s="294" t="str">
        <f>IF(F91="At risk — talk now",IFERROR(VLOOKUP("M2",Scripts!A$3:D$60,3,FALSE),""),IF(F91="Watch",IFERROR(VLOOKUP("M1",Scripts!A$3:D$60,3,FALSE),""),""))</f>
        <v/>
      </c>
    </row>
    <row r="92" spans="1:7">
      <c r="A92" s="267"/>
      <c r="B92" s="148"/>
      <c r="C92" s="148"/>
      <c r="D92" s="148"/>
      <c r="E92" s="148"/>
      <c r="F92" s="148"/>
      <c r="G92" s="295" t="str">
        <f>IF(F92="At risk — talk now",IFERROR(VLOOKUP("M2",Scripts!A$3:D$60,3,FALSE),""),IF(F92="Watch",IFERROR(VLOOKUP("M1",Scripts!A$3:D$60,3,FALSE),""),""))</f>
        <v/>
      </c>
    </row>
    <row r="93" spans="1:7">
      <c r="A93" s="266"/>
      <c r="B93" s="152"/>
      <c r="C93" s="152"/>
      <c r="D93" s="152"/>
      <c r="E93" s="152"/>
      <c r="F93" s="152"/>
      <c r="G93" s="294" t="str">
        <f>IF(F93="At risk — talk now",IFERROR(VLOOKUP("M2",Scripts!A$3:D$60,3,FALSE),""),IF(F93="Watch",IFERROR(VLOOKUP("M1",Scripts!A$3:D$60,3,FALSE),""),""))</f>
        <v/>
      </c>
    </row>
    <row r="94" spans="1:7">
      <c r="A94" s="267"/>
      <c r="B94" s="148"/>
      <c r="C94" s="148"/>
      <c r="D94" s="148"/>
      <c r="E94" s="148"/>
      <c r="F94" s="148"/>
      <c r="G94" s="295" t="str">
        <f>IF(F94="At risk — talk now",IFERROR(VLOOKUP("M2",Scripts!A$3:D$60,3,FALSE),""),IF(F94="Watch",IFERROR(VLOOKUP("M1",Scripts!A$3:D$60,3,FALSE),""),""))</f>
        <v/>
      </c>
    </row>
    <row r="95" spans="1:7">
      <c r="A95" s="266"/>
      <c r="B95" s="152"/>
      <c r="C95" s="152"/>
      <c r="D95" s="152"/>
      <c r="E95" s="152"/>
      <c r="F95" s="152"/>
      <c r="G95" s="294" t="str">
        <f>IF(F95="At risk — talk now",IFERROR(VLOOKUP("M2",Scripts!A$3:D$60,3,FALSE),""),IF(F95="Watch",IFERROR(VLOOKUP("M1",Scripts!A$3:D$60,3,FALSE),""),""))</f>
        <v/>
      </c>
    </row>
    <row r="96" spans="1:7">
      <c r="A96" s="267"/>
      <c r="B96" s="148"/>
      <c r="C96" s="148"/>
      <c r="D96" s="148"/>
      <c r="E96" s="148"/>
      <c r="F96" s="148"/>
      <c r="G96" s="295" t="str">
        <f>IF(F96="At risk — talk now",IFERROR(VLOOKUP("M2",Scripts!A$3:D$60,3,FALSE),""),IF(F96="Watch",IFERROR(VLOOKUP("M1",Scripts!A$3:D$60,3,FALSE),""),""))</f>
        <v/>
      </c>
    </row>
    <row r="97" spans="1:7">
      <c r="A97" s="266"/>
      <c r="B97" s="152"/>
      <c r="C97" s="152"/>
      <c r="D97" s="152"/>
      <c r="E97" s="152"/>
      <c r="F97" s="152"/>
      <c r="G97" s="294" t="str">
        <f>IF(F97="At risk — talk now",IFERROR(VLOOKUP("M2",Scripts!A$3:D$60,3,FALSE),""),IF(F97="Watch",IFERROR(VLOOKUP("M1",Scripts!A$3:D$60,3,FALSE),""),""))</f>
        <v/>
      </c>
    </row>
    <row r="98" spans="1:7">
      <c r="A98" s="267"/>
      <c r="B98" s="148"/>
      <c r="C98" s="148"/>
      <c r="D98" s="148"/>
      <c r="E98" s="148"/>
      <c r="F98" s="148"/>
      <c r="G98" s="295" t="str">
        <f>IF(F98="At risk — talk now",IFERROR(VLOOKUP("M2",Scripts!A$3:D$60,3,FALSE),""),IF(F98="Watch",IFERROR(VLOOKUP("M1",Scripts!A$3:D$60,3,FALSE),""),""))</f>
        <v/>
      </c>
    </row>
    <row r="99" spans="1:7">
      <c r="A99" s="266"/>
      <c r="B99" s="152"/>
      <c r="C99" s="152"/>
      <c r="D99" s="152"/>
      <c r="E99" s="152"/>
      <c r="F99" s="152"/>
      <c r="G99" s="294" t="str">
        <f>IF(F99="At risk — talk now",IFERROR(VLOOKUP("M2",Scripts!A$3:D$60,3,FALSE),""),IF(F99="Watch",IFERROR(VLOOKUP("M1",Scripts!A$3:D$60,3,FALSE),""),""))</f>
        <v/>
      </c>
    </row>
    <row r="100" ht="14.55" spans="1:7">
      <c r="A100" s="268"/>
      <c r="B100" s="269"/>
      <c r="C100" s="269"/>
      <c r="D100" s="269"/>
      <c r="E100" s="269"/>
      <c r="F100" s="269"/>
      <c r="G100" s="296" t="str">
        <f>IF(F100="At risk — talk now",IFERROR(VLOOKUP("M2",Scripts!A$3:D$60,3,FALSE),""),IF(F100="Watch",IFERROR(VLOOKUP("M1",Scripts!A$3:D$60,3,FALSE),""),""))</f>
        <v/>
      </c>
    </row>
  </sheetData>
  <autoFilter xmlns:etc="http://www.wps.cn/officeDocument/2017/etCustomData" ref="A2:G100" etc:filterBottomFollowUsedRange="0">
    <extLst/>
  </autoFilter>
  <mergeCells count="1">
    <mergeCell ref="A1:G1"/>
  </mergeCells>
  <conditionalFormatting sqref="F3:F200">
    <cfRule type="cellIs" dxfId="1" priority="2" operator="equal">
      <formula>"流失风险-快聊"</formula>
    </cfRule>
  </conditionalFormatting>
  <dataValidations count="1">
    <dataValidation type="list" allowBlank="1" sqref="E3:E100">
      <formula1>"Yes,No"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5722"/>
    <pageSetUpPr fitToPage="1"/>
  </sheetPr>
  <dimension ref="A1:H32"/>
  <sheetViews>
    <sheetView showGridLines="0" workbookViewId="0">
      <pane ySplit="2" topLeftCell="A3" activePane="bottomLeft" state="frozen"/>
      <selection/>
      <selection pane="bottomLeft" activeCell="H1" sqref="H1"/>
    </sheetView>
  </sheetViews>
  <sheetFormatPr defaultColWidth="9" defaultRowHeight="13.8" outlineLevelCol="7"/>
  <cols>
    <col min="1" max="1" width="18" style="67" customWidth="1"/>
    <col min="2" max="2" width="30" style="67" customWidth="1"/>
    <col min="3" max="3" width="10" style="67" customWidth="1"/>
    <col min="4" max="6" width="12" style="67" customWidth="1"/>
    <col min="7" max="7" width="10" style="67" customWidth="1"/>
    <col min="8" max="16384" width="9" style="1" customWidth="1"/>
  </cols>
  <sheetData>
    <row r="1" ht="30" customHeight="1" spans="1:8">
      <c r="A1" s="129" t="s">
        <v>194</v>
      </c>
      <c r="B1" s="130"/>
      <c r="C1" s="130"/>
      <c r="D1" s="130"/>
      <c r="E1" s="130"/>
      <c r="F1" s="130"/>
      <c r="G1" s="131"/>
      <c r="H1" s="46" t="str">
        <f>HYPERLINK("#'Cover'!A1","←")</f>
        <v>←</v>
      </c>
    </row>
    <row r="2" spans="1:8">
      <c r="A2" s="272" t="s">
        <v>195</v>
      </c>
      <c r="B2" s="162" t="s">
        <v>48</v>
      </c>
      <c r="C2" s="162" t="s">
        <v>174</v>
      </c>
      <c r="D2" s="162" t="s">
        <v>196</v>
      </c>
      <c r="E2" s="162" t="s">
        <v>197</v>
      </c>
      <c r="F2" s="162" t="s">
        <v>136</v>
      </c>
      <c r="G2" s="273" t="s">
        <v>80</v>
      </c>
    </row>
    <row r="3" spans="1:8">
      <c r="A3" s="274" t="s">
        <v>198</v>
      </c>
      <c r="B3" s="26"/>
      <c r="C3" s="275">
        <v>30</v>
      </c>
      <c r="D3" s="275">
        <v>50</v>
      </c>
      <c r="E3" s="275">
        <f t="shared" ref="E3:E32" si="0">IF(C3="","",C3*D3)</f>
        <v>1500</v>
      </c>
      <c r="F3" s="275"/>
      <c r="G3" s="276"/>
    </row>
    <row r="4" spans="1:8">
      <c r="A4" s="277" t="s">
        <v>199</v>
      </c>
      <c r="B4" s="137" t="s">
        <v>200</v>
      </c>
      <c r="C4" s="278">
        <v>2</v>
      </c>
      <c r="D4" s="279">
        <v>2000</v>
      </c>
      <c r="E4" s="280">
        <f t="shared" si="0"/>
        <v>4000</v>
      </c>
      <c r="F4" s="278"/>
      <c r="G4" s="281" t="s">
        <v>82</v>
      </c>
    </row>
    <row r="5" spans="1:8">
      <c r="A5" s="274" t="s">
        <v>201</v>
      </c>
      <c r="B5" s="134" t="s">
        <v>202</v>
      </c>
      <c r="C5" s="282">
        <v>100</v>
      </c>
      <c r="D5" s="283">
        <v>15</v>
      </c>
      <c r="E5" s="284">
        <f t="shared" si="0"/>
        <v>1500</v>
      </c>
      <c r="F5" s="283" t="s">
        <v>82</v>
      </c>
      <c r="G5" s="285" t="s">
        <v>82</v>
      </c>
    </row>
    <row r="6" spans="1:8">
      <c r="A6" s="286"/>
      <c r="B6" s="143"/>
      <c r="C6" s="143"/>
      <c r="D6" s="143"/>
      <c r="E6" s="262" t="str">
        <f t="shared" si="0"/>
        <v/>
      </c>
      <c r="F6" s="143"/>
      <c r="G6" s="287"/>
    </row>
    <row r="7" spans="1:8">
      <c r="A7" s="288"/>
      <c r="B7" s="142"/>
      <c r="C7" s="142"/>
      <c r="D7" s="142"/>
      <c r="E7" s="264" t="str">
        <f t="shared" si="0"/>
        <v/>
      </c>
      <c r="F7" s="142"/>
      <c r="G7" s="289"/>
    </row>
    <row r="8" spans="1:8">
      <c r="A8" s="286"/>
      <c r="B8" s="143"/>
      <c r="C8" s="143"/>
      <c r="D8" s="143"/>
      <c r="E8" s="262" t="str">
        <f t="shared" si="0"/>
        <v/>
      </c>
      <c r="F8" s="143"/>
      <c r="G8" s="287"/>
    </row>
    <row r="9" spans="1:8">
      <c r="A9" s="288"/>
      <c r="B9" s="142"/>
      <c r="C9" s="142"/>
      <c r="D9" s="142"/>
      <c r="E9" s="264" t="str">
        <f t="shared" si="0"/>
        <v/>
      </c>
      <c r="F9" s="142"/>
      <c r="G9" s="289"/>
    </row>
    <row r="10" spans="1:8">
      <c r="A10" s="286"/>
      <c r="B10" s="143"/>
      <c r="C10" s="143"/>
      <c r="D10" s="143"/>
      <c r="E10" s="262" t="str">
        <f t="shared" si="0"/>
        <v/>
      </c>
      <c r="F10" s="143"/>
      <c r="G10" s="287"/>
    </row>
    <row r="11" spans="1:8">
      <c r="A11" s="288"/>
      <c r="B11" s="142"/>
      <c r="C11" s="142"/>
      <c r="D11" s="142"/>
      <c r="E11" s="264" t="str">
        <f t="shared" si="0"/>
        <v/>
      </c>
      <c r="F11" s="142"/>
      <c r="G11" s="289"/>
    </row>
    <row r="12" spans="1:8">
      <c r="A12" s="286"/>
      <c r="B12" s="143"/>
      <c r="C12" s="143"/>
      <c r="D12" s="143"/>
      <c r="E12" s="262" t="str">
        <f t="shared" si="0"/>
        <v/>
      </c>
      <c r="F12" s="143"/>
      <c r="G12" s="287"/>
    </row>
    <row r="13" spans="1:8">
      <c r="A13" s="288"/>
      <c r="B13" s="142"/>
      <c r="C13" s="142"/>
      <c r="D13" s="142"/>
      <c r="E13" s="264" t="str">
        <f t="shared" si="0"/>
        <v/>
      </c>
      <c r="F13" s="142"/>
      <c r="G13" s="289"/>
    </row>
    <row r="14" spans="1:8">
      <c r="A14" s="286"/>
      <c r="B14" s="143"/>
      <c r="C14" s="143"/>
      <c r="D14" s="143"/>
      <c r="E14" s="262" t="str">
        <f t="shared" si="0"/>
        <v/>
      </c>
      <c r="F14" s="143"/>
      <c r="G14" s="287"/>
    </row>
    <row r="15" spans="1:8">
      <c r="A15" s="288"/>
      <c r="B15" s="142"/>
      <c r="C15" s="142"/>
      <c r="D15" s="142"/>
      <c r="E15" s="264" t="str">
        <f t="shared" si="0"/>
        <v/>
      </c>
      <c r="F15" s="142"/>
      <c r="G15" s="289"/>
    </row>
    <row r="16" spans="1:8">
      <c r="A16" s="286"/>
      <c r="B16" s="143"/>
      <c r="C16" s="143"/>
      <c r="D16" s="143"/>
      <c r="E16" s="262" t="str">
        <f t="shared" si="0"/>
        <v/>
      </c>
      <c r="F16" s="143"/>
      <c r="G16" s="287"/>
    </row>
    <row r="17" spans="1:7">
      <c r="A17" s="288"/>
      <c r="B17" s="142"/>
      <c r="C17" s="142"/>
      <c r="D17" s="142"/>
      <c r="E17" s="264" t="str">
        <f t="shared" si="0"/>
        <v/>
      </c>
      <c r="F17" s="142"/>
      <c r="G17" s="289"/>
    </row>
    <row r="18" spans="1:7">
      <c r="A18" s="286"/>
      <c r="B18" s="143"/>
      <c r="C18" s="143"/>
      <c r="D18" s="143"/>
      <c r="E18" s="262" t="str">
        <f t="shared" si="0"/>
        <v/>
      </c>
      <c r="F18" s="143"/>
      <c r="G18" s="287"/>
    </row>
    <row r="19" spans="1:7">
      <c r="A19" s="288"/>
      <c r="B19" s="142"/>
      <c r="C19" s="142"/>
      <c r="D19" s="142"/>
      <c r="E19" s="264" t="str">
        <f t="shared" si="0"/>
        <v/>
      </c>
      <c r="F19" s="142"/>
      <c r="G19" s="289"/>
    </row>
    <row r="20" spans="1:7">
      <c r="A20" s="286"/>
      <c r="B20" s="143"/>
      <c r="C20" s="143"/>
      <c r="D20" s="143"/>
      <c r="E20" s="262" t="str">
        <f t="shared" si="0"/>
        <v/>
      </c>
      <c r="F20" s="143"/>
      <c r="G20" s="287"/>
    </row>
    <row r="21" spans="1:7">
      <c r="A21" s="288"/>
      <c r="B21" s="142"/>
      <c r="C21" s="142"/>
      <c r="D21" s="142"/>
      <c r="E21" s="264" t="str">
        <f t="shared" si="0"/>
        <v/>
      </c>
      <c r="F21" s="142"/>
      <c r="G21" s="289"/>
    </row>
    <row r="22" spans="1:7">
      <c r="A22" s="286"/>
      <c r="B22" s="143"/>
      <c r="C22" s="143"/>
      <c r="D22" s="143"/>
      <c r="E22" s="262" t="str">
        <f t="shared" si="0"/>
        <v/>
      </c>
      <c r="F22" s="143"/>
      <c r="G22" s="287"/>
    </row>
    <row r="23" spans="1:7">
      <c r="A23" s="288"/>
      <c r="B23" s="142"/>
      <c r="C23" s="142"/>
      <c r="D23" s="142"/>
      <c r="E23" s="264" t="str">
        <f t="shared" si="0"/>
        <v/>
      </c>
      <c r="F23" s="142"/>
      <c r="G23" s="289"/>
    </row>
    <row r="24" spans="1:7">
      <c r="A24" s="286"/>
      <c r="B24" s="143"/>
      <c r="C24" s="143"/>
      <c r="D24" s="143"/>
      <c r="E24" s="262" t="str">
        <f t="shared" si="0"/>
        <v/>
      </c>
      <c r="F24" s="143"/>
      <c r="G24" s="287"/>
    </row>
    <row r="25" spans="1:7">
      <c r="A25" s="288"/>
      <c r="B25" s="142"/>
      <c r="C25" s="142"/>
      <c r="D25" s="142"/>
      <c r="E25" s="264" t="str">
        <f t="shared" si="0"/>
        <v/>
      </c>
      <c r="F25" s="142"/>
      <c r="G25" s="289"/>
    </row>
    <row r="26" spans="1:7">
      <c r="A26" s="286"/>
      <c r="B26" s="143"/>
      <c r="C26" s="143"/>
      <c r="D26" s="143"/>
      <c r="E26" s="262" t="str">
        <f t="shared" si="0"/>
        <v/>
      </c>
      <c r="F26" s="143"/>
      <c r="G26" s="287"/>
    </row>
    <row r="27" spans="1:7">
      <c r="A27" s="288"/>
      <c r="B27" s="142"/>
      <c r="C27" s="142"/>
      <c r="D27" s="142"/>
      <c r="E27" s="264" t="str">
        <f t="shared" si="0"/>
        <v/>
      </c>
      <c r="F27" s="142"/>
      <c r="G27" s="289"/>
    </row>
    <row r="28" spans="1:7">
      <c r="A28" s="286"/>
      <c r="B28" s="143"/>
      <c r="C28" s="143"/>
      <c r="D28" s="143"/>
      <c r="E28" s="262" t="str">
        <f t="shared" si="0"/>
        <v/>
      </c>
      <c r="F28" s="143"/>
      <c r="G28" s="287"/>
    </row>
    <row r="29" spans="1:7">
      <c r="A29" s="288"/>
      <c r="B29" s="142"/>
      <c r="C29" s="142"/>
      <c r="D29" s="142"/>
      <c r="E29" s="264" t="str">
        <f t="shared" si="0"/>
        <v/>
      </c>
      <c r="F29" s="142"/>
      <c r="G29" s="289"/>
    </row>
    <row r="30" spans="1:7">
      <c r="A30" s="286"/>
      <c r="B30" s="143"/>
      <c r="C30" s="143"/>
      <c r="D30" s="143"/>
      <c r="E30" s="262" t="str">
        <f t="shared" si="0"/>
        <v/>
      </c>
      <c r="F30" s="143"/>
      <c r="G30" s="287"/>
    </row>
    <row r="31" spans="1:7">
      <c r="A31" s="288"/>
      <c r="B31" s="142"/>
      <c r="C31" s="142"/>
      <c r="D31" s="142"/>
      <c r="E31" s="264" t="str">
        <f t="shared" si="0"/>
        <v/>
      </c>
      <c r="F31" s="142"/>
      <c r="G31" s="289"/>
    </row>
    <row r="32" ht="14.55" spans="1:7">
      <c r="A32" s="290"/>
      <c r="B32" s="291"/>
      <c r="C32" s="291"/>
      <c r="D32" s="291"/>
      <c r="E32" s="292" t="str">
        <f t="shared" si="0"/>
        <v/>
      </c>
      <c r="F32" s="291"/>
      <c r="G32" s="293"/>
    </row>
  </sheetData>
  <mergeCells count="1">
    <mergeCell ref="A1:G1"/>
  </mergeCells>
  <dataValidations count="1">
    <dataValidation type="list" allowBlank="1" sqref="G3:G100">
      <formula1>"Yes,No"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9688"/>
    <pageSetUpPr fitToPage="1"/>
  </sheetPr>
  <dimension ref="A1:I100"/>
  <sheetViews>
    <sheetView showGridLines="0" workbookViewId="0">
      <pane ySplit="2" topLeftCell="A3" activePane="bottomLeft" state="frozen"/>
      <selection/>
      <selection pane="bottomLeft" activeCell="I1" sqref="I1"/>
    </sheetView>
  </sheetViews>
  <sheetFormatPr defaultColWidth="9" defaultRowHeight="13.8"/>
  <cols>
    <col min="1" max="1" width="13" style="67" customWidth="1"/>
    <col min="2" max="2" width="11" style="67" customWidth="1"/>
    <col min="3" max="3" width="14" style="67" customWidth="1"/>
    <col min="4" max="5" width="10" style="67" customWidth="1"/>
    <col min="6" max="6" width="9" style="67" customWidth="1"/>
    <col min="7" max="7" width="10" style="67" customWidth="1"/>
    <col min="8" max="8" width="22" style="67" customWidth="1"/>
    <col min="9" max="16384" width="4" style="1" customWidth="1"/>
  </cols>
  <sheetData>
    <row r="1" ht="30" customHeight="1" spans="1:9">
      <c r="A1" s="129" t="s">
        <v>203</v>
      </c>
      <c r="B1" s="130"/>
      <c r="C1" s="130"/>
      <c r="D1" s="130"/>
      <c r="E1" s="130"/>
      <c r="F1" s="130"/>
      <c r="G1" s="130"/>
      <c r="H1" s="131"/>
      <c r="I1" s="46" t="str">
        <f>HYPERLINK("#'Cover'!A1","←")</f>
        <v>←</v>
      </c>
    </row>
    <row r="2" spans="1:9">
      <c r="A2" s="219" t="s">
        <v>154</v>
      </c>
      <c r="B2" s="220" t="s">
        <v>102</v>
      </c>
      <c r="C2" s="220" t="s">
        <v>204</v>
      </c>
      <c r="D2" s="220" t="s">
        <v>205</v>
      </c>
      <c r="E2" s="220" t="s">
        <v>206</v>
      </c>
      <c r="F2" s="220" t="s">
        <v>176</v>
      </c>
      <c r="G2" s="220" t="s">
        <v>207</v>
      </c>
      <c r="H2" s="221" t="s">
        <v>50</v>
      </c>
    </row>
    <row r="3" spans="1:9">
      <c r="A3" s="212"/>
      <c r="E3" s="261" t="str">
        <f t="shared" ref="E3:E66" si="0">IF(A3="","",9000)</f>
        <v/>
      </c>
      <c r="H3" s="224"/>
    </row>
    <row r="4" spans="1:9">
      <c r="A4" s="210"/>
      <c r="B4" s="143"/>
      <c r="C4" s="143"/>
      <c r="D4" s="143"/>
      <c r="E4" s="262" t="str">
        <f t="shared" si="0"/>
        <v/>
      </c>
      <c r="F4" s="143"/>
      <c r="G4" s="137" t="str">
        <f t="shared" ref="G4:G67" si="1">IF(C4="","",IF(COUNTIF(C$3:C$50,C4)&gt;=4,"Full",""&amp;(4-COUNTIF(C$3:C$50,C4))&amp;" kids"))</f>
        <v/>
      </c>
      <c r="H4" s="263"/>
    </row>
    <row r="5" spans="1:9">
      <c r="A5" s="212"/>
      <c r="B5" s="142"/>
      <c r="C5" s="142"/>
      <c r="D5" s="142"/>
      <c r="E5" s="264" t="str">
        <f t="shared" si="0"/>
        <v/>
      </c>
      <c r="F5" s="142"/>
      <c r="G5" s="134" t="str">
        <f t="shared" si="1"/>
        <v/>
      </c>
      <c r="H5" s="265"/>
    </row>
    <row r="6" spans="1:9">
      <c r="A6" s="210"/>
      <c r="B6" s="143"/>
      <c r="C6" s="143"/>
      <c r="D6" s="143"/>
      <c r="E6" s="262" t="str">
        <f t="shared" si="0"/>
        <v/>
      </c>
      <c r="F6" s="143"/>
      <c r="G6" s="137" t="str">
        <f t="shared" si="1"/>
        <v/>
      </c>
      <c r="H6" s="263"/>
    </row>
    <row r="7" spans="1:9">
      <c r="A7" s="212"/>
      <c r="B7" s="142"/>
      <c r="C7" s="142"/>
      <c r="D7" s="142"/>
      <c r="E7" s="264" t="str">
        <f t="shared" si="0"/>
        <v/>
      </c>
      <c r="F7" s="142"/>
      <c r="G7" s="134" t="str">
        <f t="shared" si="1"/>
        <v/>
      </c>
      <c r="H7" s="265"/>
    </row>
    <row r="8" spans="1:9">
      <c r="A8" s="210"/>
      <c r="B8" s="143"/>
      <c r="C8" s="143"/>
      <c r="D8" s="143"/>
      <c r="E8" s="262" t="str">
        <f t="shared" si="0"/>
        <v/>
      </c>
      <c r="F8" s="143"/>
      <c r="G8" s="137" t="str">
        <f t="shared" si="1"/>
        <v/>
      </c>
      <c r="H8" s="263"/>
    </row>
    <row r="9" spans="1:9">
      <c r="A9" s="212"/>
      <c r="B9" s="142"/>
      <c r="C9" s="142"/>
      <c r="D9" s="142"/>
      <c r="E9" s="264" t="str">
        <f t="shared" si="0"/>
        <v/>
      </c>
      <c r="F9" s="142"/>
      <c r="G9" s="134" t="str">
        <f t="shared" si="1"/>
        <v/>
      </c>
      <c r="H9" s="265"/>
    </row>
    <row r="10" spans="1:9">
      <c r="A10" s="210"/>
      <c r="B10" s="143"/>
      <c r="C10" s="143"/>
      <c r="D10" s="143"/>
      <c r="E10" s="262" t="str">
        <f t="shared" si="0"/>
        <v/>
      </c>
      <c r="F10" s="143"/>
      <c r="G10" s="137" t="str">
        <f t="shared" si="1"/>
        <v/>
      </c>
      <c r="H10" s="263"/>
    </row>
    <row r="11" spans="1:9">
      <c r="A11" s="212"/>
      <c r="B11" s="142"/>
      <c r="C11" s="142"/>
      <c r="D11" s="142"/>
      <c r="E11" s="264" t="str">
        <f t="shared" si="0"/>
        <v/>
      </c>
      <c r="F11" s="142"/>
      <c r="G11" s="134" t="str">
        <f t="shared" si="1"/>
        <v/>
      </c>
      <c r="H11" s="265"/>
    </row>
    <row r="12" spans="1:9">
      <c r="A12" s="210"/>
      <c r="B12" s="143"/>
      <c r="C12" s="143"/>
      <c r="D12" s="143"/>
      <c r="E12" s="262" t="str">
        <f t="shared" si="0"/>
        <v/>
      </c>
      <c r="F12" s="143"/>
      <c r="G12" s="137" t="str">
        <f t="shared" si="1"/>
        <v/>
      </c>
      <c r="H12" s="263"/>
    </row>
    <row r="13" spans="1:9">
      <c r="A13" s="212"/>
      <c r="B13" s="142"/>
      <c r="C13" s="142"/>
      <c r="D13" s="142"/>
      <c r="E13" s="264" t="str">
        <f t="shared" si="0"/>
        <v/>
      </c>
      <c r="F13" s="142"/>
      <c r="G13" s="134" t="str">
        <f t="shared" si="1"/>
        <v/>
      </c>
      <c r="H13" s="265"/>
    </row>
    <row r="14" spans="1:9">
      <c r="A14" s="210"/>
      <c r="B14" s="143"/>
      <c r="C14" s="143"/>
      <c r="D14" s="143"/>
      <c r="E14" s="262" t="str">
        <f t="shared" si="0"/>
        <v/>
      </c>
      <c r="F14" s="143"/>
      <c r="G14" s="137" t="str">
        <f t="shared" si="1"/>
        <v/>
      </c>
      <c r="H14" s="263"/>
    </row>
    <row r="15" spans="1:9">
      <c r="A15" s="212"/>
      <c r="B15" s="142"/>
      <c r="C15" s="142"/>
      <c r="D15" s="142"/>
      <c r="E15" s="264" t="str">
        <f t="shared" si="0"/>
        <v/>
      </c>
      <c r="F15" s="142"/>
      <c r="G15" s="134" t="str">
        <f t="shared" si="1"/>
        <v/>
      </c>
      <c r="H15" s="265"/>
    </row>
    <row r="16" spans="1:9">
      <c r="A16" s="210"/>
      <c r="B16" s="143"/>
      <c r="C16" s="143"/>
      <c r="D16" s="143"/>
      <c r="E16" s="262" t="str">
        <f t="shared" si="0"/>
        <v/>
      </c>
      <c r="F16" s="143"/>
      <c r="G16" s="137" t="str">
        <f t="shared" si="1"/>
        <v/>
      </c>
      <c r="H16" s="263"/>
    </row>
    <row r="17" spans="1:8">
      <c r="A17" s="212"/>
      <c r="B17" s="142"/>
      <c r="C17" s="142"/>
      <c r="D17" s="142"/>
      <c r="E17" s="264" t="str">
        <f t="shared" si="0"/>
        <v/>
      </c>
      <c r="F17" s="142"/>
      <c r="G17" s="134" t="str">
        <f t="shared" si="1"/>
        <v/>
      </c>
      <c r="H17" s="265"/>
    </row>
    <row r="18" spans="1:8">
      <c r="A18" s="210"/>
      <c r="B18" s="143"/>
      <c r="C18" s="143"/>
      <c r="D18" s="143"/>
      <c r="E18" s="262" t="str">
        <f t="shared" si="0"/>
        <v/>
      </c>
      <c r="F18" s="143"/>
      <c r="G18" s="137" t="str">
        <f t="shared" si="1"/>
        <v/>
      </c>
      <c r="H18" s="263"/>
    </row>
    <row r="19" spans="1:8">
      <c r="A19" s="212"/>
      <c r="B19" s="142"/>
      <c r="C19" s="142"/>
      <c r="D19" s="142"/>
      <c r="E19" s="264" t="str">
        <f t="shared" si="0"/>
        <v/>
      </c>
      <c r="F19" s="142"/>
      <c r="G19" s="134" t="str">
        <f t="shared" si="1"/>
        <v/>
      </c>
      <c r="H19" s="265"/>
    </row>
    <row r="20" spans="1:8">
      <c r="A20" s="210"/>
      <c r="B20" s="143"/>
      <c r="C20" s="143"/>
      <c r="D20" s="143"/>
      <c r="E20" s="262" t="str">
        <f t="shared" si="0"/>
        <v/>
      </c>
      <c r="F20" s="143"/>
      <c r="G20" s="137" t="str">
        <f t="shared" si="1"/>
        <v/>
      </c>
      <c r="H20" s="263"/>
    </row>
    <row r="21" spans="1:8">
      <c r="A21" s="212"/>
      <c r="B21" s="142"/>
      <c r="C21" s="142"/>
      <c r="D21" s="142"/>
      <c r="E21" s="264" t="str">
        <f t="shared" si="0"/>
        <v/>
      </c>
      <c r="F21" s="142"/>
      <c r="G21" s="134" t="str">
        <f t="shared" si="1"/>
        <v/>
      </c>
      <c r="H21" s="265"/>
    </row>
    <row r="22" spans="1:8">
      <c r="A22" s="210"/>
      <c r="B22" s="143"/>
      <c r="C22" s="143"/>
      <c r="D22" s="143"/>
      <c r="E22" s="262" t="str">
        <f t="shared" si="0"/>
        <v/>
      </c>
      <c r="F22" s="143"/>
      <c r="G22" s="137" t="str">
        <f t="shared" si="1"/>
        <v/>
      </c>
      <c r="H22" s="263"/>
    </row>
    <row r="23" spans="1:8">
      <c r="A23" s="212"/>
      <c r="B23" s="142"/>
      <c r="C23" s="142"/>
      <c r="D23" s="142"/>
      <c r="E23" s="264" t="str">
        <f t="shared" si="0"/>
        <v/>
      </c>
      <c r="F23" s="142"/>
      <c r="G23" s="134" t="str">
        <f t="shared" si="1"/>
        <v/>
      </c>
      <c r="H23" s="265"/>
    </row>
    <row r="24" spans="1:8">
      <c r="A24" s="210"/>
      <c r="B24" s="143"/>
      <c r="C24" s="143"/>
      <c r="D24" s="143"/>
      <c r="E24" s="262" t="str">
        <f t="shared" si="0"/>
        <v/>
      </c>
      <c r="F24" s="143"/>
      <c r="G24" s="137" t="str">
        <f t="shared" si="1"/>
        <v/>
      </c>
      <c r="H24" s="263"/>
    </row>
    <row r="25" spans="1:8">
      <c r="A25" s="212"/>
      <c r="B25" s="142"/>
      <c r="C25" s="142"/>
      <c r="D25" s="142"/>
      <c r="E25" s="264" t="str">
        <f t="shared" si="0"/>
        <v/>
      </c>
      <c r="F25" s="142"/>
      <c r="G25" s="134" t="str">
        <f t="shared" si="1"/>
        <v/>
      </c>
      <c r="H25" s="265"/>
    </row>
    <row r="26" spans="1:8">
      <c r="A26" s="210"/>
      <c r="B26" s="143"/>
      <c r="C26" s="143"/>
      <c r="D26" s="143"/>
      <c r="E26" s="262" t="str">
        <f t="shared" si="0"/>
        <v/>
      </c>
      <c r="F26" s="143"/>
      <c r="G26" s="137" t="str">
        <f t="shared" si="1"/>
        <v/>
      </c>
      <c r="H26" s="263"/>
    </row>
    <row r="27" spans="1:8">
      <c r="A27" s="212"/>
      <c r="B27" s="142"/>
      <c r="C27" s="142"/>
      <c r="D27" s="142"/>
      <c r="E27" s="264" t="str">
        <f t="shared" si="0"/>
        <v/>
      </c>
      <c r="F27" s="142"/>
      <c r="G27" s="134" t="str">
        <f t="shared" si="1"/>
        <v/>
      </c>
      <c r="H27" s="265"/>
    </row>
    <row r="28" spans="1:8">
      <c r="A28" s="210"/>
      <c r="B28" s="143"/>
      <c r="C28" s="143"/>
      <c r="D28" s="143"/>
      <c r="E28" s="262" t="str">
        <f t="shared" si="0"/>
        <v/>
      </c>
      <c r="F28" s="143"/>
      <c r="G28" s="137" t="str">
        <f t="shared" si="1"/>
        <v/>
      </c>
      <c r="H28" s="263"/>
    </row>
    <row r="29" spans="1:8">
      <c r="A29" s="212"/>
      <c r="B29" s="142"/>
      <c r="C29" s="142"/>
      <c r="D29" s="142"/>
      <c r="E29" s="264" t="str">
        <f t="shared" si="0"/>
        <v/>
      </c>
      <c r="F29" s="142"/>
      <c r="G29" s="134" t="str">
        <f t="shared" si="1"/>
        <v/>
      </c>
      <c r="H29" s="265"/>
    </row>
    <row r="30" spans="1:8">
      <c r="A30" s="210"/>
      <c r="B30" s="143"/>
      <c r="C30" s="143"/>
      <c r="D30" s="143"/>
      <c r="E30" s="262" t="str">
        <f t="shared" si="0"/>
        <v/>
      </c>
      <c r="F30" s="143"/>
      <c r="G30" s="137" t="str">
        <f t="shared" si="1"/>
        <v/>
      </c>
      <c r="H30" s="263"/>
    </row>
    <row r="31" spans="1:8">
      <c r="A31" s="212"/>
      <c r="B31" s="142"/>
      <c r="C31" s="142"/>
      <c r="D31" s="142"/>
      <c r="E31" s="264" t="str">
        <f t="shared" si="0"/>
        <v/>
      </c>
      <c r="F31" s="142"/>
      <c r="G31" s="134" t="str">
        <f t="shared" si="1"/>
        <v/>
      </c>
      <c r="H31" s="265"/>
    </row>
    <row r="32" spans="1:8">
      <c r="A32" s="210"/>
      <c r="B32" s="143"/>
      <c r="C32" s="143"/>
      <c r="D32" s="143"/>
      <c r="E32" s="262" t="str">
        <f t="shared" si="0"/>
        <v/>
      </c>
      <c r="F32" s="143"/>
      <c r="G32" s="137" t="str">
        <f t="shared" si="1"/>
        <v/>
      </c>
      <c r="H32" s="263"/>
    </row>
    <row r="33" spans="1:8">
      <c r="A33" s="266"/>
      <c r="B33" s="152"/>
      <c r="C33" s="152"/>
      <c r="D33" s="152"/>
      <c r="E33" s="151" t="str">
        <f t="shared" si="0"/>
        <v/>
      </c>
      <c r="F33" s="152"/>
      <c r="G33" s="151" t="str">
        <f t="shared" si="1"/>
        <v/>
      </c>
      <c r="H33" s="265"/>
    </row>
    <row r="34" spans="1:8">
      <c r="A34" s="267"/>
      <c r="B34" s="148"/>
      <c r="C34" s="148"/>
      <c r="D34" s="148"/>
      <c r="E34" s="147" t="str">
        <f t="shared" si="0"/>
        <v/>
      </c>
      <c r="F34" s="148"/>
      <c r="G34" s="147" t="str">
        <f t="shared" si="1"/>
        <v/>
      </c>
      <c r="H34" s="263"/>
    </row>
    <row r="35" spans="1:8">
      <c r="A35" s="266"/>
      <c r="B35" s="152"/>
      <c r="C35" s="152"/>
      <c r="D35" s="152"/>
      <c r="E35" s="151" t="str">
        <f t="shared" si="0"/>
        <v/>
      </c>
      <c r="F35" s="152"/>
      <c r="G35" s="151" t="str">
        <f t="shared" si="1"/>
        <v/>
      </c>
      <c r="H35" s="265"/>
    </row>
    <row r="36" spans="1:8">
      <c r="A36" s="267"/>
      <c r="B36" s="148"/>
      <c r="C36" s="148"/>
      <c r="D36" s="148"/>
      <c r="E36" s="147" t="str">
        <f t="shared" si="0"/>
        <v/>
      </c>
      <c r="F36" s="148"/>
      <c r="G36" s="147" t="str">
        <f t="shared" si="1"/>
        <v/>
      </c>
      <c r="H36" s="263"/>
    </row>
    <row r="37" spans="1:8">
      <c r="A37" s="266"/>
      <c r="B37" s="152"/>
      <c r="C37" s="152"/>
      <c r="D37" s="152"/>
      <c r="E37" s="151" t="str">
        <f t="shared" si="0"/>
        <v/>
      </c>
      <c r="F37" s="152"/>
      <c r="G37" s="151" t="str">
        <f t="shared" si="1"/>
        <v/>
      </c>
      <c r="H37" s="265"/>
    </row>
    <row r="38" spans="1:8">
      <c r="A38" s="267"/>
      <c r="B38" s="148"/>
      <c r="C38" s="148"/>
      <c r="D38" s="148"/>
      <c r="E38" s="147" t="str">
        <f t="shared" si="0"/>
        <v/>
      </c>
      <c r="F38" s="148"/>
      <c r="G38" s="147" t="str">
        <f t="shared" si="1"/>
        <v/>
      </c>
      <c r="H38" s="263"/>
    </row>
    <row r="39" spans="1:8">
      <c r="A39" s="266"/>
      <c r="B39" s="152"/>
      <c r="C39" s="152"/>
      <c r="D39" s="152"/>
      <c r="E39" s="151" t="str">
        <f t="shared" si="0"/>
        <v/>
      </c>
      <c r="F39" s="152"/>
      <c r="G39" s="151" t="str">
        <f t="shared" si="1"/>
        <v/>
      </c>
      <c r="H39" s="265"/>
    </row>
    <row r="40" spans="1:8">
      <c r="A40" s="267"/>
      <c r="B40" s="148"/>
      <c r="C40" s="148"/>
      <c r="D40" s="148"/>
      <c r="E40" s="147" t="str">
        <f t="shared" si="0"/>
        <v/>
      </c>
      <c r="F40" s="148"/>
      <c r="G40" s="147" t="str">
        <f t="shared" si="1"/>
        <v/>
      </c>
      <c r="H40" s="263"/>
    </row>
    <row r="41" spans="1:8">
      <c r="A41" s="266"/>
      <c r="B41" s="152"/>
      <c r="C41" s="152"/>
      <c r="D41" s="152"/>
      <c r="E41" s="151" t="str">
        <f t="shared" si="0"/>
        <v/>
      </c>
      <c r="F41" s="152"/>
      <c r="G41" s="151" t="str">
        <f t="shared" si="1"/>
        <v/>
      </c>
      <c r="H41" s="265"/>
    </row>
    <row r="42" spans="1:8">
      <c r="A42" s="267"/>
      <c r="B42" s="148"/>
      <c r="C42" s="148"/>
      <c r="D42" s="148"/>
      <c r="E42" s="147" t="str">
        <f t="shared" si="0"/>
        <v/>
      </c>
      <c r="F42" s="148"/>
      <c r="G42" s="147" t="str">
        <f t="shared" si="1"/>
        <v/>
      </c>
      <c r="H42" s="263"/>
    </row>
    <row r="43" spans="1:8">
      <c r="A43" s="266"/>
      <c r="B43" s="152"/>
      <c r="C43" s="152"/>
      <c r="D43" s="152"/>
      <c r="E43" s="151" t="str">
        <f t="shared" si="0"/>
        <v/>
      </c>
      <c r="F43" s="152"/>
      <c r="G43" s="151" t="str">
        <f t="shared" si="1"/>
        <v/>
      </c>
      <c r="H43" s="265"/>
    </row>
    <row r="44" spans="1:8">
      <c r="A44" s="267"/>
      <c r="B44" s="148"/>
      <c r="C44" s="148"/>
      <c r="D44" s="148"/>
      <c r="E44" s="147" t="str">
        <f t="shared" si="0"/>
        <v/>
      </c>
      <c r="F44" s="148"/>
      <c r="G44" s="147" t="str">
        <f t="shared" si="1"/>
        <v/>
      </c>
      <c r="H44" s="263"/>
    </row>
    <row r="45" spans="1:8">
      <c r="A45" s="266"/>
      <c r="B45" s="152"/>
      <c r="C45" s="152"/>
      <c r="D45" s="152"/>
      <c r="E45" s="151" t="str">
        <f t="shared" si="0"/>
        <v/>
      </c>
      <c r="F45" s="152"/>
      <c r="G45" s="151" t="str">
        <f t="shared" si="1"/>
        <v/>
      </c>
      <c r="H45" s="265"/>
    </row>
    <row r="46" spans="1:8">
      <c r="A46" s="267"/>
      <c r="B46" s="148"/>
      <c r="C46" s="148"/>
      <c r="D46" s="148"/>
      <c r="E46" s="147" t="str">
        <f t="shared" si="0"/>
        <v/>
      </c>
      <c r="F46" s="148"/>
      <c r="G46" s="147" t="str">
        <f t="shared" si="1"/>
        <v/>
      </c>
      <c r="H46" s="263"/>
    </row>
    <row r="47" spans="1:8">
      <c r="A47" s="266"/>
      <c r="B47" s="152"/>
      <c r="C47" s="152"/>
      <c r="D47" s="152"/>
      <c r="E47" s="151" t="str">
        <f t="shared" si="0"/>
        <v/>
      </c>
      <c r="F47" s="152"/>
      <c r="G47" s="151" t="str">
        <f t="shared" si="1"/>
        <v/>
      </c>
      <c r="H47" s="265"/>
    </row>
    <row r="48" spans="1:8">
      <c r="A48" s="267"/>
      <c r="B48" s="148"/>
      <c r="C48" s="148"/>
      <c r="D48" s="148"/>
      <c r="E48" s="147" t="str">
        <f t="shared" si="0"/>
        <v/>
      </c>
      <c r="F48" s="148"/>
      <c r="G48" s="147" t="str">
        <f t="shared" si="1"/>
        <v/>
      </c>
      <c r="H48" s="263"/>
    </row>
    <row r="49" spans="1:8">
      <c r="A49" s="266"/>
      <c r="B49" s="152"/>
      <c r="C49" s="152"/>
      <c r="D49" s="152"/>
      <c r="E49" s="151" t="str">
        <f t="shared" si="0"/>
        <v/>
      </c>
      <c r="F49" s="152"/>
      <c r="G49" s="151" t="str">
        <f t="shared" si="1"/>
        <v/>
      </c>
      <c r="H49" s="265"/>
    </row>
    <row r="50" spans="1:8">
      <c r="A50" s="267"/>
      <c r="B50" s="148"/>
      <c r="C50" s="148"/>
      <c r="D50" s="148"/>
      <c r="E50" s="147" t="str">
        <f t="shared" si="0"/>
        <v/>
      </c>
      <c r="F50" s="148"/>
      <c r="G50" s="147" t="str">
        <f t="shared" si="1"/>
        <v/>
      </c>
      <c r="H50" s="263"/>
    </row>
    <row r="51" spans="1:8">
      <c r="A51" s="266"/>
      <c r="B51" s="152"/>
      <c r="C51" s="152"/>
      <c r="D51" s="152"/>
      <c r="E51" s="151" t="str">
        <f t="shared" si="0"/>
        <v/>
      </c>
      <c r="F51" s="152"/>
      <c r="G51" s="151" t="str">
        <f t="shared" si="1"/>
        <v/>
      </c>
      <c r="H51" s="265"/>
    </row>
    <row r="52" spans="1:8">
      <c r="A52" s="267"/>
      <c r="B52" s="148"/>
      <c r="C52" s="148"/>
      <c r="D52" s="148"/>
      <c r="E52" s="147" t="str">
        <f t="shared" si="0"/>
        <v/>
      </c>
      <c r="F52" s="148"/>
      <c r="G52" s="147" t="str">
        <f t="shared" si="1"/>
        <v/>
      </c>
      <c r="H52" s="263"/>
    </row>
    <row r="53" spans="1:8">
      <c r="A53" s="266"/>
      <c r="B53" s="152"/>
      <c r="C53" s="152"/>
      <c r="D53" s="152"/>
      <c r="E53" s="151" t="str">
        <f t="shared" si="0"/>
        <v/>
      </c>
      <c r="F53" s="152"/>
      <c r="G53" s="151" t="str">
        <f t="shared" si="1"/>
        <v/>
      </c>
      <c r="H53" s="265"/>
    </row>
    <row r="54" spans="1:8">
      <c r="A54" s="267"/>
      <c r="B54" s="148"/>
      <c r="C54" s="148"/>
      <c r="D54" s="148"/>
      <c r="E54" s="147" t="str">
        <f t="shared" si="0"/>
        <v/>
      </c>
      <c r="F54" s="148"/>
      <c r="G54" s="147" t="str">
        <f t="shared" si="1"/>
        <v/>
      </c>
      <c r="H54" s="263"/>
    </row>
    <row r="55" spans="1:8">
      <c r="A55" s="266"/>
      <c r="B55" s="152"/>
      <c r="C55" s="152"/>
      <c r="D55" s="152"/>
      <c r="E55" s="151" t="str">
        <f t="shared" si="0"/>
        <v/>
      </c>
      <c r="F55" s="152"/>
      <c r="G55" s="151" t="str">
        <f t="shared" si="1"/>
        <v/>
      </c>
      <c r="H55" s="265"/>
    </row>
    <row r="56" spans="1:8">
      <c r="A56" s="267"/>
      <c r="B56" s="148"/>
      <c r="C56" s="148"/>
      <c r="D56" s="148"/>
      <c r="E56" s="147" t="str">
        <f t="shared" si="0"/>
        <v/>
      </c>
      <c r="F56" s="148"/>
      <c r="G56" s="147" t="str">
        <f t="shared" si="1"/>
        <v/>
      </c>
      <c r="H56" s="263"/>
    </row>
    <row r="57" spans="1:8">
      <c r="A57" s="266"/>
      <c r="B57" s="152"/>
      <c r="C57" s="152"/>
      <c r="D57" s="152"/>
      <c r="E57" s="151" t="str">
        <f t="shared" si="0"/>
        <v/>
      </c>
      <c r="F57" s="152"/>
      <c r="G57" s="151" t="str">
        <f t="shared" si="1"/>
        <v/>
      </c>
      <c r="H57" s="265"/>
    </row>
    <row r="58" spans="1:8">
      <c r="A58" s="267"/>
      <c r="B58" s="148"/>
      <c r="C58" s="148"/>
      <c r="D58" s="148"/>
      <c r="E58" s="147" t="str">
        <f t="shared" si="0"/>
        <v/>
      </c>
      <c r="F58" s="148"/>
      <c r="G58" s="147" t="str">
        <f t="shared" si="1"/>
        <v/>
      </c>
      <c r="H58" s="263"/>
    </row>
    <row r="59" spans="1:8">
      <c r="A59" s="266"/>
      <c r="B59" s="152"/>
      <c r="C59" s="152"/>
      <c r="D59" s="152"/>
      <c r="E59" s="151" t="str">
        <f t="shared" si="0"/>
        <v/>
      </c>
      <c r="F59" s="152"/>
      <c r="G59" s="151" t="str">
        <f t="shared" si="1"/>
        <v/>
      </c>
      <c r="H59" s="265"/>
    </row>
    <row r="60" spans="1:8">
      <c r="A60" s="267"/>
      <c r="B60" s="148"/>
      <c r="C60" s="148"/>
      <c r="D60" s="148"/>
      <c r="E60" s="147" t="str">
        <f t="shared" si="0"/>
        <v/>
      </c>
      <c r="F60" s="148"/>
      <c r="G60" s="147" t="str">
        <f t="shared" si="1"/>
        <v/>
      </c>
      <c r="H60" s="263"/>
    </row>
    <row r="61" spans="1:8">
      <c r="A61" s="266"/>
      <c r="B61" s="152"/>
      <c r="C61" s="152"/>
      <c r="D61" s="152"/>
      <c r="E61" s="151" t="str">
        <f t="shared" si="0"/>
        <v/>
      </c>
      <c r="F61" s="152"/>
      <c r="G61" s="151" t="str">
        <f t="shared" si="1"/>
        <v/>
      </c>
      <c r="H61" s="265"/>
    </row>
    <row r="62" spans="1:8">
      <c r="A62" s="267"/>
      <c r="B62" s="148"/>
      <c r="C62" s="148"/>
      <c r="D62" s="148"/>
      <c r="E62" s="147" t="str">
        <f t="shared" si="0"/>
        <v/>
      </c>
      <c r="F62" s="148"/>
      <c r="G62" s="147" t="str">
        <f t="shared" si="1"/>
        <v/>
      </c>
      <c r="H62" s="263"/>
    </row>
    <row r="63" spans="1:8">
      <c r="A63" s="266"/>
      <c r="B63" s="152"/>
      <c r="C63" s="152"/>
      <c r="D63" s="152"/>
      <c r="E63" s="151" t="str">
        <f t="shared" si="0"/>
        <v/>
      </c>
      <c r="F63" s="152"/>
      <c r="G63" s="151" t="str">
        <f t="shared" si="1"/>
        <v/>
      </c>
      <c r="H63" s="265"/>
    </row>
    <row r="64" spans="1:8">
      <c r="A64" s="267"/>
      <c r="B64" s="148"/>
      <c r="C64" s="148"/>
      <c r="D64" s="148"/>
      <c r="E64" s="147" t="str">
        <f t="shared" si="0"/>
        <v/>
      </c>
      <c r="F64" s="148"/>
      <c r="G64" s="147" t="str">
        <f t="shared" si="1"/>
        <v/>
      </c>
      <c r="H64" s="263"/>
    </row>
    <row r="65" spans="1:8">
      <c r="A65" s="266"/>
      <c r="B65" s="152"/>
      <c r="C65" s="152"/>
      <c r="D65" s="152"/>
      <c r="E65" s="151" t="str">
        <f t="shared" si="0"/>
        <v/>
      </c>
      <c r="F65" s="152"/>
      <c r="G65" s="151" t="str">
        <f t="shared" si="1"/>
        <v/>
      </c>
      <c r="H65" s="265"/>
    </row>
    <row r="66" spans="1:8">
      <c r="A66" s="267"/>
      <c r="B66" s="148"/>
      <c r="C66" s="148"/>
      <c r="D66" s="148"/>
      <c r="E66" s="147" t="str">
        <f t="shared" si="0"/>
        <v/>
      </c>
      <c r="F66" s="148"/>
      <c r="G66" s="147" t="str">
        <f t="shared" si="1"/>
        <v/>
      </c>
      <c r="H66" s="263"/>
    </row>
    <row r="67" spans="1:8">
      <c r="A67" s="266"/>
      <c r="B67" s="152"/>
      <c r="C67" s="152"/>
      <c r="D67" s="152"/>
      <c r="E67" s="151" t="str">
        <f t="shared" ref="E67:E100" si="2">IF(A67="","",9000)</f>
        <v/>
      </c>
      <c r="F67" s="152"/>
      <c r="G67" s="151" t="str">
        <f t="shared" si="1"/>
        <v/>
      </c>
      <c r="H67" s="265"/>
    </row>
    <row r="68" spans="1:8">
      <c r="A68" s="267"/>
      <c r="B68" s="148"/>
      <c r="C68" s="148"/>
      <c r="D68" s="148"/>
      <c r="E68" s="147" t="str">
        <f t="shared" si="2"/>
        <v/>
      </c>
      <c r="F68" s="148"/>
      <c r="G68" s="147" t="str">
        <f t="shared" ref="G68:G100" si="3">IF(C68="","",IF(COUNTIF(C$3:C$50,C68)&gt;=4,"Full",""&amp;(4-COUNTIF(C$3:C$50,C68))&amp;" kids"))</f>
        <v/>
      </c>
      <c r="H68" s="263"/>
    </row>
    <row r="69" spans="1:8">
      <c r="A69" s="266"/>
      <c r="B69" s="152"/>
      <c r="C69" s="152"/>
      <c r="D69" s="152"/>
      <c r="E69" s="151" t="str">
        <f t="shared" si="2"/>
        <v/>
      </c>
      <c r="F69" s="152"/>
      <c r="G69" s="151" t="str">
        <f t="shared" si="3"/>
        <v/>
      </c>
      <c r="H69" s="265"/>
    </row>
    <row r="70" spans="1:8">
      <c r="A70" s="267"/>
      <c r="B70" s="148"/>
      <c r="C70" s="148"/>
      <c r="D70" s="148"/>
      <c r="E70" s="147" t="str">
        <f t="shared" si="2"/>
        <v/>
      </c>
      <c r="F70" s="148"/>
      <c r="G70" s="147" t="str">
        <f t="shared" si="3"/>
        <v/>
      </c>
      <c r="H70" s="263"/>
    </row>
    <row r="71" spans="1:8">
      <c r="A71" s="266"/>
      <c r="B71" s="152"/>
      <c r="C71" s="152"/>
      <c r="D71" s="152"/>
      <c r="E71" s="151" t="str">
        <f t="shared" si="2"/>
        <v/>
      </c>
      <c r="F71" s="152"/>
      <c r="G71" s="151" t="str">
        <f t="shared" si="3"/>
        <v/>
      </c>
      <c r="H71" s="265"/>
    </row>
    <row r="72" spans="1:8">
      <c r="A72" s="267"/>
      <c r="B72" s="148"/>
      <c r="C72" s="148"/>
      <c r="D72" s="148"/>
      <c r="E72" s="147" t="str">
        <f t="shared" si="2"/>
        <v/>
      </c>
      <c r="F72" s="148"/>
      <c r="G72" s="147" t="str">
        <f t="shared" si="3"/>
        <v/>
      </c>
      <c r="H72" s="263"/>
    </row>
    <row r="73" spans="1:8">
      <c r="A73" s="266"/>
      <c r="B73" s="152"/>
      <c r="C73" s="152"/>
      <c r="D73" s="152"/>
      <c r="E73" s="151" t="str">
        <f t="shared" si="2"/>
        <v/>
      </c>
      <c r="F73" s="152"/>
      <c r="G73" s="151" t="str">
        <f t="shared" si="3"/>
        <v/>
      </c>
      <c r="H73" s="265"/>
    </row>
    <row r="74" spans="1:8">
      <c r="A74" s="267"/>
      <c r="B74" s="148"/>
      <c r="C74" s="148"/>
      <c r="D74" s="148"/>
      <c r="E74" s="147" t="str">
        <f t="shared" si="2"/>
        <v/>
      </c>
      <c r="F74" s="148"/>
      <c r="G74" s="147" t="str">
        <f t="shared" si="3"/>
        <v/>
      </c>
      <c r="H74" s="263"/>
    </row>
    <row r="75" spans="1:8">
      <c r="A75" s="266"/>
      <c r="B75" s="152"/>
      <c r="C75" s="152"/>
      <c r="D75" s="152"/>
      <c r="E75" s="151" t="str">
        <f t="shared" si="2"/>
        <v/>
      </c>
      <c r="F75" s="152"/>
      <c r="G75" s="151" t="str">
        <f t="shared" si="3"/>
        <v/>
      </c>
      <c r="H75" s="265"/>
    </row>
    <row r="76" spans="1:8">
      <c r="A76" s="267"/>
      <c r="B76" s="148"/>
      <c r="C76" s="148"/>
      <c r="D76" s="148"/>
      <c r="E76" s="147" t="str">
        <f t="shared" si="2"/>
        <v/>
      </c>
      <c r="F76" s="148"/>
      <c r="G76" s="147" t="str">
        <f t="shared" si="3"/>
        <v/>
      </c>
      <c r="H76" s="263"/>
    </row>
    <row r="77" spans="1:8">
      <c r="A77" s="266"/>
      <c r="B77" s="152"/>
      <c r="C77" s="152"/>
      <c r="D77" s="152"/>
      <c r="E77" s="151" t="str">
        <f t="shared" si="2"/>
        <v/>
      </c>
      <c r="F77" s="152"/>
      <c r="G77" s="151" t="str">
        <f t="shared" si="3"/>
        <v/>
      </c>
      <c r="H77" s="265"/>
    </row>
    <row r="78" spans="1:8">
      <c r="A78" s="267"/>
      <c r="B78" s="148"/>
      <c r="C78" s="148"/>
      <c r="D78" s="148"/>
      <c r="E78" s="147" t="str">
        <f t="shared" si="2"/>
        <v/>
      </c>
      <c r="F78" s="148"/>
      <c r="G78" s="147" t="str">
        <f t="shared" si="3"/>
        <v/>
      </c>
      <c r="H78" s="263"/>
    </row>
    <row r="79" spans="1:8">
      <c r="A79" s="266"/>
      <c r="B79" s="152"/>
      <c r="C79" s="152"/>
      <c r="D79" s="152"/>
      <c r="E79" s="151" t="str">
        <f t="shared" si="2"/>
        <v/>
      </c>
      <c r="F79" s="152"/>
      <c r="G79" s="151" t="str">
        <f t="shared" si="3"/>
        <v/>
      </c>
      <c r="H79" s="265"/>
    </row>
    <row r="80" spans="1:8">
      <c r="A80" s="267"/>
      <c r="B80" s="148"/>
      <c r="C80" s="148"/>
      <c r="D80" s="148"/>
      <c r="E80" s="147" t="str">
        <f t="shared" si="2"/>
        <v/>
      </c>
      <c r="F80" s="148"/>
      <c r="G80" s="147" t="str">
        <f t="shared" si="3"/>
        <v/>
      </c>
      <c r="H80" s="263"/>
    </row>
    <row r="81" spans="1:8">
      <c r="A81" s="266"/>
      <c r="B81" s="152"/>
      <c r="C81" s="152"/>
      <c r="D81" s="152"/>
      <c r="E81" s="151" t="str">
        <f t="shared" si="2"/>
        <v/>
      </c>
      <c r="F81" s="152"/>
      <c r="G81" s="151" t="str">
        <f t="shared" si="3"/>
        <v/>
      </c>
      <c r="H81" s="265"/>
    </row>
    <row r="82" spans="1:8">
      <c r="A82" s="267"/>
      <c r="B82" s="148"/>
      <c r="C82" s="148"/>
      <c r="D82" s="148"/>
      <c r="E82" s="147" t="str">
        <f t="shared" si="2"/>
        <v/>
      </c>
      <c r="F82" s="148"/>
      <c r="G82" s="147" t="str">
        <f t="shared" si="3"/>
        <v/>
      </c>
      <c r="H82" s="263"/>
    </row>
    <row r="83" spans="1:8">
      <c r="A83" s="266"/>
      <c r="B83" s="152"/>
      <c r="C83" s="152"/>
      <c r="D83" s="152"/>
      <c r="E83" s="151" t="str">
        <f t="shared" si="2"/>
        <v/>
      </c>
      <c r="F83" s="152"/>
      <c r="G83" s="151" t="str">
        <f t="shared" si="3"/>
        <v/>
      </c>
      <c r="H83" s="265"/>
    </row>
    <row r="84" spans="1:8">
      <c r="A84" s="267"/>
      <c r="B84" s="148"/>
      <c r="C84" s="148"/>
      <c r="D84" s="148"/>
      <c r="E84" s="147" t="str">
        <f t="shared" si="2"/>
        <v/>
      </c>
      <c r="F84" s="148"/>
      <c r="G84" s="147" t="str">
        <f t="shared" si="3"/>
        <v/>
      </c>
      <c r="H84" s="263"/>
    </row>
    <row r="85" spans="1:8">
      <c r="A85" s="266"/>
      <c r="B85" s="152"/>
      <c r="C85" s="152"/>
      <c r="D85" s="152"/>
      <c r="E85" s="151" t="str">
        <f t="shared" si="2"/>
        <v/>
      </c>
      <c r="F85" s="152"/>
      <c r="G85" s="151" t="str">
        <f t="shared" si="3"/>
        <v/>
      </c>
      <c r="H85" s="265"/>
    </row>
    <row r="86" spans="1:8">
      <c r="A86" s="267"/>
      <c r="B86" s="148"/>
      <c r="C86" s="148"/>
      <c r="D86" s="148"/>
      <c r="E86" s="147" t="str">
        <f t="shared" si="2"/>
        <v/>
      </c>
      <c r="F86" s="148"/>
      <c r="G86" s="147" t="str">
        <f t="shared" si="3"/>
        <v/>
      </c>
      <c r="H86" s="263"/>
    </row>
    <row r="87" spans="1:8">
      <c r="A87" s="266"/>
      <c r="B87" s="152"/>
      <c r="C87" s="152"/>
      <c r="D87" s="152"/>
      <c r="E87" s="151" t="str">
        <f t="shared" si="2"/>
        <v/>
      </c>
      <c r="F87" s="152"/>
      <c r="G87" s="151" t="str">
        <f t="shared" si="3"/>
        <v/>
      </c>
      <c r="H87" s="265"/>
    </row>
    <row r="88" spans="1:8">
      <c r="A88" s="267"/>
      <c r="B88" s="148"/>
      <c r="C88" s="148"/>
      <c r="D88" s="148"/>
      <c r="E88" s="147" t="str">
        <f t="shared" si="2"/>
        <v/>
      </c>
      <c r="F88" s="148"/>
      <c r="G88" s="147" t="str">
        <f t="shared" si="3"/>
        <v/>
      </c>
      <c r="H88" s="263"/>
    </row>
    <row r="89" spans="1:8">
      <c r="A89" s="266"/>
      <c r="B89" s="152"/>
      <c r="C89" s="152"/>
      <c r="D89" s="152"/>
      <c r="E89" s="151" t="str">
        <f t="shared" si="2"/>
        <v/>
      </c>
      <c r="F89" s="152"/>
      <c r="G89" s="151" t="str">
        <f t="shared" si="3"/>
        <v/>
      </c>
      <c r="H89" s="265"/>
    </row>
    <row r="90" spans="1:8">
      <c r="A90" s="267"/>
      <c r="B90" s="148"/>
      <c r="C90" s="148"/>
      <c r="D90" s="148"/>
      <c r="E90" s="147" t="str">
        <f t="shared" si="2"/>
        <v/>
      </c>
      <c r="F90" s="148"/>
      <c r="G90" s="147" t="str">
        <f t="shared" si="3"/>
        <v/>
      </c>
      <c r="H90" s="263"/>
    </row>
    <row r="91" spans="1:8">
      <c r="A91" s="266"/>
      <c r="B91" s="152"/>
      <c r="C91" s="152"/>
      <c r="D91" s="152"/>
      <c r="E91" s="151" t="str">
        <f t="shared" si="2"/>
        <v/>
      </c>
      <c r="F91" s="152"/>
      <c r="G91" s="151" t="str">
        <f t="shared" si="3"/>
        <v/>
      </c>
      <c r="H91" s="265"/>
    </row>
    <row r="92" spans="1:8">
      <c r="A92" s="267"/>
      <c r="B92" s="148"/>
      <c r="C92" s="148"/>
      <c r="D92" s="148"/>
      <c r="E92" s="147" t="str">
        <f t="shared" si="2"/>
        <v/>
      </c>
      <c r="F92" s="148"/>
      <c r="G92" s="147" t="str">
        <f t="shared" si="3"/>
        <v/>
      </c>
      <c r="H92" s="263"/>
    </row>
    <row r="93" spans="1:8">
      <c r="A93" s="266"/>
      <c r="B93" s="152"/>
      <c r="C93" s="152"/>
      <c r="D93" s="152"/>
      <c r="E93" s="151" t="str">
        <f t="shared" si="2"/>
        <v/>
      </c>
      <c r="F93" s="152"/>
      <c r="G93" s="151" t="str">
        <f t="shared" si="3"/>
        <v/>
      </c>
      <c r="H93" s="265"/>
    </row>
    <row r="94" spans="1:8">
      <c r="A94" s="267"/>
      <c r="B94" s="148"/>
      <c r="C94" s="148"/>
      <c r="D94" s="148"/>
      <c r="E94" s="147" t="str">
        <f t="shared" si="2"/>
        <v/>
      </c>
      <c r="F94" s="148"/>
      <c r="G94" s="147" t="str">
        <f t="shared" si="3"/>
        <v/>
      </c>
      <c r="H94" s="263"/>
    </row>
    <row r="95" spans="1:8">
      <c r="A95" s="266"/>
      <c r="B95" s="152"/>
      <c r="C95" s="152"/>
      <c r="D95" s="152"/>
      <c r="E95" s="151" t="str">
        <f t="shared" si="2"/>
        <v/>
      </c>
      <c r="F95" s="152"/>
      <c r="G95" s="151" t="str">
        <f t="shared" si="3"/>
        <v/>
      </c>
      <c r="H95" s="265"/>
    </row>
    <row r="96" spans="1:8">
      <c r="A96" s="267"/>
      <c r="B96" s="148"/>
      <c r="C96" s="148"/>
      <c r="D96" s="148"/>
      <c r="E96" s="147" t="str">
        <f t="shared" si="2"/>
        <v/>
      </c>
      <c r="F96" s="148"/>
      <c r="G96" s="147" t="str">
        <f t="shared" si="3"/>
        <v/>
      </c>
      <c r="H96" s="263"/>
    </row>
    <row r="97" spans="1:8">
      <c r="A97" s="266"/>
      <c r="B97" s="152"/>
      <c r="C97" s="152"/>
      <c r="D97" s="152"/>
      <c r="E97" s="151" t="str">
        <f t="shared" si="2"/>
        <v/>
      </c>
      <c r="F97" s="152"/>
      <c r="G97" s="151" t="str">
        <f t="shared" si="3"/>
        <v/>
      </c>
      <c r="H97" s="265"/>
    </row>
    <row r="98" spans="1:8">
      <c r="A98" s="267"/>
      <c r="B98" s="148"/>
      <c r="C98" s="148"/>
      <c r="D98" s="148"/>
      <c r="E98" s="147" t="str">
        <f t="shared" si="2"/>
        <v/>
      </c>
      <c r="F98" s="148"/>
      <c r="G98" s="147" t="str">
        <f t="shared" si="3"/>
        <v/>
      </c>
      <c r="H98" s="263"/>
    </row>
    <row r="99" spans="1:8">
      <c r="A99" s="266"/>
      <c r="B99" s="152"/>
      <c r="C99" s="152"/>
      <c r="D99" s="152"/>
      <c r="E99" s="151" t="str">
        <f t="shared" si="2"/>
        <v/>
      </c>
      <c r="F99" s="152"/>
      <c r="G99" s="151" t="str">
        <f t="shared" si="3"/>
        <v/>
      </c>
      <c r="H99" s="265"/>
    </row>
    <row r="100" ht="14.55" spans="1:8">
      <c r="A100" s="268"/>
      <c r="B100" s="269"/>
      <c r="C100" s="269"/>
      <c r="D100" s="269"/>
      <c r="E100" s="270" t="str">
        <f t="shared" si="2"/>
        <v/>
      </c>
      <c r="F100" s="269"/>
      <c r="G100" s="270" t="str">
        <f t="shared" si="3"/>
        <v/>
      </c>
      <c r="H100" s="271"/>
    </row>
  </sheetData>
  <autoFilter xmlns:etc="http://www.wps.cn/officeDocument/2017/etCustomData" ref="A2:G100" etc:filterBottomFollowUsedRange="0">
    <extLst/>
  </autoFilter>
  <mergeCells count="1">
    <mergeCell ref="A1:H1"/>
  </mergeCells>
  <dataValidations count="3">
    <dataValidation type="list" allowBlank="1" sqref="C3:C100">
      <formula1>"W1 Christmas,W2 New Year,W3 After"</formula1>
    </dataValidation>
    <dataValidation type="list" allowBlank="1" sqref="D3:D100">
      <formula1>"Yes,No"</formula1>
    </dataValidation>
    <dataValidation type="list" allowBlank="1" sqref="F3:F100">
      <formula1>"Paid,Unpaid,Partial"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695C"/>
    <pageSetUpPr fitToPage="1"/>
  </sheetPr>
  <dimension ref="A1:G21"/>
  <sheetViews>
    <sheetView showGridLines="0" workbookViewId="0">
      <pane ySplit="2" topLeftCell="A3" activePane="bottomLeft" state="frozen"/>
      <selection/>
      <selection pane="bottomLeft" activeCell="G1" sqref="G1"/>
    </sheetView>
  </sheetViews>
  <sheetFormatPr defaultColWidth="9" defaultRowHeight="13.8" outlineLevelCol="6"/>
  <cols>
    <col min="1" max="1" width="14" style="67" customWidth="1"/>
    <col min="2" max="2" width="62" style="67" customWidth="1"/>
    <col min="3" max="4" width="8" style="67" customWidth="1"/>
    <col min="5" max="5" width="44" style="67" customWidth="1"/>
    <col min="6" max="6" width="10" style="67" customWidth="1"/>
    <col min="7" max="16383" width="9" style="1" customWidth="1"/>
    <col min="16384" max="16384" width="9" style="1"/>
  </cols>
  <sheetData>
    <row r="1" ht="30" customHeight="1" spans="1:7">
      <c r="A1" s="254" t="s">
        <v>208</v>
      </c>
      <c r="B1" s="255"/>
      <c r="C1" s="256"/>
      <c r="D1" s="255"/>
      <c r="E1" s="256"/>
      <c r="F1" s="256"/>
      <c r="G1" s="46" t="str">
        <f>HYPERLINK("#'Cover'!A1","←")</f>
        <v>←</v>
      </c>
    </row>
    <row r="2" spans="1:7">
      <c r="A2" s="206" t="s">
        <v>209</v>
      </c>
      <c r="B2" s="163" t="s">
        <v>48</v>
      </c>
      <c r="C2" s="162" t="s">
        <v>136</v>
      </c>
      <c r="D2" s="163" t="s">
        <v>80</v>
      </c>
      <c r="E2" s="162" t="s">
        <v>50</v>
      </c>
      <c r="F2" s="164" t="s">
        <v>159</v>
      </c>
    </row>
    <row r="3" spans="1:7">
      <c r="A3" s="257"/>
      <c r="B3" s="258" t="s">
        <v>210</v>
      </c>
      <c r="C3" s="258" t="s">
        <v>210</v>
      </c>
      <c r="D3" s="258" t="s">
        <v>210</v>
      </c>
      <c r="E3" s="258" t="s">
        <v>210</v>
      </c>
      <c r="F3" s="259" t="s">
        <v>210</v>
      </c>
    </row>
    <row r="4" spans="1:7">
      <c r="A4" s="116" t="s">
        <v>211</v>
      </c>
      <c r="B4" s="122" t="s">
        <v>212</v>
      </c>
      <c r="C4" s="122" t="s">
        <v>82</v>
      </c>
      <c r="D4" s="122" t="s">
        <v>82</v>
      </c>
      <c r="E4" s="122" t="s">
        <v>213</v>
      </c>
      <c r="F4" s="171" t="s">
        <v>82</v>
      </c>
    </row>
    <row r="5" spans="1:7">
      <c r="A5" s="119" t="s">
        <v>211</v>
      </c>
      <c r="B5" s="120" t="s">
        <v>214</v>
      </c>
      <c r="C5" s="120" t="s">
        <v>82</v>
      </c>
      <c r="D5" s="120" t="s">
        <v>82</v>
      </c>
      <c r="E5" s="120" t="s">
        <v>215</v>
      </c>
      <c r="F5" s="174" t="s">
        <v>82</v>
      </c>
    </row>
    <row r="6" spans="1:7">
      <c r="A6" s="116" t="s">
        <v>216</v>
      </c>
      <c r="B6" s="122" t="s">
        <v>217</v>
      </c>
      <c r="C6" s="122" t="s">
        <v>82</v>
      </c>
      <c r="D6" s="122" t="s">
        <v>82</v>
      </c>
      <c r="E6" s="122" t="s">
        <v>218</v>
      </c>
      <c r="F6" s="171" t="s">
        <v>82</v>
      </c>
    </row>
    <row r="7" spans="1:7">
      <c r="A7" s="116" t="s">
        <v>219</v>
      </c>
      <c r="B7" s="122" t="s">
        <v>220</v>
      </c>
      <c r="C7" s="122" t="s">
        <v>82</v>
      </c>
      <c r="D7" s="122" t="s">
        <v>82</v>
      </c>
      <c r="E7" s="122" t="s">
        <v>221</v>
      </c>
      <c r="F7" s="171" t="s">
        <v>82</v>
      </c>
    </row>
    <row r="8" ht="27.6" spans="1:7">
      <c r="A8" s="9" t="s">
        <v>219</v>
      </c>
      <c r="B8" s="10" t="s">
        <v>222</v>
      </c>
      <c r="C8" s="10" t="s">
        <v>82</v>
      </c>
      <c r="D8" s="10" t="s">
        <v>82</v>
      </c>
      <c r="E8" s="10" t="s">
        <v>223</v>
      </c>
      <c r="F8" s="11" t="s">
        <v>82</v>
      </c>
    </row>
    <row r="9" spans="1:7">
      <c r="A9" s="9" t="s">
        <v>219</v>
      </c>
      <c r="B9" s="10" t="s">
        <v>224</v>
      </c>
      <c r="C9" s="10" t="s">
        <v>82</v>
      </c>
      <c r="D9" s="10" t="s">
        <v>82</v>
      </c>
      <c r="E9" s="10" t="s">
        <v>82</v>
      </c>
      <c r="F9" s="11" t="s">
        <v>210</v>
      </c>
    </row>
    <row r="10" ht="27.6" spans="1:7">
      <c r="A10" s="9" t="s">
        <v>219</v>
      </c>
      <c r="B10" s="10" t="s">
        <v>225</v>
      </c>
      <c r="C10" s="10" t="s">
        <v>226</v>
      </c>
      <c r="D10" s="10" t="s">
        <v>82</v>
      </c>
      <c r="E10" s="10" t="s">
        <v>227</v>
      </c>
      <c r="F10" s="11" t="s">
        <v>228</v>
      </c>
    </row>
    <row r="11" ht="27.6" spans="1:7">
      <c r="A11" s="9" t="s">
        <v>229</v>
      </c>
      <c r="B11" s="10" t="s">
        <v>230</v>
      </c>
      <c r="C11" s="10" t="s">
        <v>82</v>
      </c>
      <c r="D11" s="10" t="s">
        <v>82</v>
      </c>
      <c r="E11" s="10" t="s">
        <v>231</v>
      </c>
      <c r="F11" s="11" t="s">
        <v>232</v>
      </c>
    </row>
    <row r="12" spans="1:7">
      <c r="A12" s="9" t="s">
        <v>233</v>
      </c>
      <c r="B12" s="10" t="s">
        <v>234</v>
      </c>
      <c r="C12" s="10" t="s">
        <v>82</v>
      </c>
      <c r="D12" s="10" t="s">
        <v>82</v>
      </c>
      <c r="E12" s="10" t="s">
        <v>82</v>
      </c>
      <c r="F12" s="11" t="s">
        <v>210</v>
      </c>
    </row>
    <row r="13" ht="27.6" spans="1:7">
      <c r="A13" s="9" t="s">
        <v>235</v>
      </c>
      <c r="B13" s="10" t="s">
        <v>236</v>
      </c>
      <c r="C13" s="10" t="s">
        <v>82</v>
      </c>
      <c r="D13" s="10" t="s">
        <v>82</v>
      </c>
      <c r="E13" s="10" t="s">
        <v>237</v>
      </c>
      <c r="F13" s="11" t="s">
        <v>82</v>
      </c>
    </row>
    <row r="14" spans="1:7">
      <c r="A14" s="9" t="s">
        <v>235</v>
      </c>
      <c r="B14" s="10" t="s">
        <v>238</v>
      </c>
      <c r="C14" s="10" t="s">
        <v>82</v>
      </c>
      <c r="D14" s="10" t="s">
        <v>82</v>
      </c>
      <c r="E14" s="10" t="s">
        <v>82</v>
      </c>
      <c r="F14" s="11" t="s">
        <v>210</v>
      </c>
    </row>
    <row r="15" spans="1:7">
      <c r="A15" s="9" t="s">
        <v>239</v>
      </c>
      <c r="B15" s="10" t="s">
        <v>240</v>
      </c>
      <c r="C15" s="10" t="s">
        <v>82</v>
      </c>
      <c r="D15" s="10" t="s">
        <v>82</v>
      </c>
      <c r="E15" s="10" t="s">
        <v>241</v>
      </c>
      <c r="F15" s="11" t="s">
        <v>242</v>
      </c>
    </row>
    <row r="16" ht="14.55" spans="1:7">
      <c r="A16" s="12" t="s">
        <v>243</v>
      </c>
      <c r="B16" s="13" t="s">
        <v>244</v>
      </c>
      <c r="C16" s="13" t="s">
        <v>82</v>
      </c>
      <c r="D16" s="13" t="s">
        <v>82</v>
      </c>
      <c r="E16" s="13" t="s">
        <v>245</v>
      </c>
      <c r="F16" s="14" t="s">
        <v>164</v>
      </c>
    </row>
    <row r="21" spans="2:2">
      <c r="B21" s="260"/>
    </row>
  </sheetData>
  <mergeCells count="1">
    <mergeCell ref="A1:F1"/>
  </mergeCells>
  <dataValidations count="1">
    <dataValidation type="list" allowBlank="1" sqref="D7 D3:D6">
      <formula1>"Yes,No"</formula1>
    </dataValidation>
  </dataValidations>
  <pageMargins left="0.75" right="0.75" top="1" bottom="1" header="0.5" footer="0.5"/>
  <pageSetup paperSize="1" scale="79" fitToHeight="0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91E63"/>
    <pageSetUpPr fitToPage="1"/>
  </sheetPr>
  <dimension ref="A1:E18"/>
  <sheetViews>
    <sheetView showGridLines="0" workbookViewId="0">
      <pane ySplit="2" topLeftCell="A3" activePane="bottomLeft" state="frozen"/>
      <selection/>
      <selection pane="bottomLeft" activeCell="E1" sqref="E1"/>
    </sheetView>
  </sheetViews>
  <sheetFormatPr defaultColWidth="9" defaultRowHeight="13.8" outlineLevelCol="4"/>
  <cols>
    <col min="1" max="1" width="7" style="67" customWidth="1"/>
    <col min="2" max="2" width="19.5555555555556" style="67" customWidth="1"/>
    <col min="3" max="4" width="60" style="67" customWidth="1"/>
    <col min="5" max="5" width="9" style="67" customWidth="1"/>
    <col min="6" max="16384" width="9" style="1" customWidth="1"/>
  </cols>
  <sheetData>
    <row r="1" ht="30" customHeight="1" spans="1:5">
      <c r="A1" s="181" t="s">
        <v>246</v>
      </c>
      <c r="B1" s="3"/>
      <c r="C1" s="3"/>
      <c r="D1" s="4"/>
      <c r="E1" s="46" t="str">
        <f>HYPERLINK("#'Cover'!A1","←")</f>
        <v>←</v>
      </c>
    </row>
    <row r="2" spans="1:5">
      <c r="A2" s="245" t="s">
        <v>247</v>
      </c>
      <c r="B2" s="246" t="s">
        <v>248</v>
      </c>
      <c r="C2" s="246" t="s">
        <v>249</v>
      </c>
      <c r="D2" s="247" t="s">
        <v>250</v>
      </c>
    </row>
    <row r="3" ht="41.4" spans="1:5">
      <c r="A3" s="119" t="s">
        <v>182</v>
      </c>
      <c r="B3" s="120" t="s">
        <v>251</v>
      </c>
      <c r="C3" s="120" t="s">
        <v>252</v>
      </c>
      <c r="D3" s="248" t="s">
        <v>253</v>
      </c>
    </row>
    <row r="4" ht="41.4" spans="1:5">
      <c r="A4" s="116" t="s">
        <v>254</v>
      </c>
      <c r="B4" s="122" t="s">
        <v>255</v>
      </c>
      <c r="C4" s="122" t="s">
        <v>256</v>
      </c>
      <c r="D4" s="249" t="s">
        <v>257</v>
      </c>
    </row>
    <row r="5" ht="41.4" spans="1:5">
      <c r="A5" s="119" t="s">
        <v>164</v>
      </c>
      <c r="B5" s="120" t="s">
        <v>258</v>
      </c>
      <c r="C5" s="120" t="s">
        <v>259</v>
      </c>
      <c r="D5" s="248" t="s">
        <v>260</v>
      </c>
    </row>
    <row r="6" ht="41.4" spans="1:5">
      <c r="A6" s="116" t="s">
        <v>169</v>
      </c>
      <c r="B6" s="122" t="s">
        <v>261</v>
      </c>
      <c r="C6" s="122" t="s">
        <v>262</v>
      </c>
      <c r="D6" s="250" t="s">
        <v>263</v>
      </c>
    </row>
    <row r="7" ht="41.4" spans="1:5">
      <c r="A7" s="119" t="s">
        <v>264</v>
      </c>
      <c r="B7" s="120" t="s">
        <v>265</v>
      </c>
      <c r="C7" s="120" t="s">
        <v>266</v>
      </c>
      <c r="D7" s="251" t="s">
        <v>267</v>
      </c>
    </row>
    <row r="8" ht="27.6" spans="1:5">
      <c r="A8" s="116" t="s">
        <v>268</v>
      </c>
      <c r="B8" s="122" t="s">
        <v>269</v>
      </c>
      <c r="C8" s="122" t="s">
        <v>270</v>
      </c>
      <c r="D8" s="250" t="s">
        <v>271</v>
      </c>
    </row>
    <row r="9" ht="41.4" spans="1:5">
      <c r="A9" s="119" t="s">
        <v>272</v>
      </c>
      <c r="B9" s="120" t="s">
        <v>273</v>
      </c>
      <c r="C9" s="120" t="s">
        <v>274</v>
      </c>
      <c r="D9" s="251" t="s">
        <v>275</v>
      </c>
    </row>
    <row r="10" ht="55.2" spans="1:5">
      <c r="A10" s="116" t="s">
        <v>276</v>
      </c>
      <c r="B10" s="122" t="s">
        <v>277</v>
      </c>
      <c r="C10" s="122" t="s">
        <v>278</v>
      </c>
      <c r="D10" s="250" t="s">
        <v>279</v>
      </c>
    </row>
    <row r="11" ht="41.4" spans="1:5">
      <c r="A11" s="119" t="s">
        <v>280</v>
      </c>
      <c r="B11" s="120" t="s">
        <v>281</v>
      </c>
      <c r="C11" s="120" t="s">
        <v>282</v>
      </c>
      <c r="D11" s="251" t="s">
        <v>283</v>
      </c>
    </row>
    <row r="12" ht="41.4" spans="1:5">
      <c r="A12" s="116" t="s">
        <v>242</v>
      </c>
      <c r="B12" s="122" t="s">
        <v>284</v>
      </c>
      <c r="C12" s="122" t="s">
        <v>285</v>
      </c>
      <c r="D12" s="250" t="s">
        <v>286</v>
      </c>
    </row>
    <row r="13" ht="41.4" spans="1:5">
      <c r="A13" s="119" t="s">
        <v>287</v>
      </c>
      <c r="B13" s="120" t="s">
        <v>288</v>
      </c>
      <c r="C13" s="120" t="s">
        <v>289</v>
      </c>
      <c r="D13" s="251" t="s">
        <v>290</v>
      </c>
    </row>
    <row r="14" ht="41.4" spans="1:5">
      <c r="A14" s="116" t="s">
        <v>291</v>
      </c>
      <c r="B14" s="122" t="s">
        <v>292</v>
      </c>
      <c r="C14" s="122" t="s">
        <v>293</v>
      </c>
      <c r="D14" s="250" t="s">
        <v>294</v>
      </c>
    </row>
    <row r="15" ht="55.2" spans="1:5">
      <c r="A15" s="9" t="s">
        <v>228</v>
      </c>
      <c r="B15" s="10" t="s">
        <v>295</v>
      </c>
      <c r="C15" s="10" t="s">
        <v>296</v>
      </c>
      <c r="D15" s="252" t="s">
        <v>297</v>
      </c>
    </row>
    <row r="16" ht="55.2" spans="1:5">
      <c r="A16" s="9" t="s">
        <v>232</v>
      </c>
      <c r="B16" s="10" t="s">
        <v>298</v>
      </c>
      <c r="C16" s="10" t="s">
        <v>299</v>
      </c>
      <c r="D16" s="252" t="s">
        <v>300</v>
      </c>
    </row>
    <row r="17" ht="41.4" spans="1:4">
      <c r="A17" s="9" t="s">
        <v>301</v>
      </c>
      <c r="B17" s="10" t="s">
        <v>302</v>
      </c>
      <c r="C17" s="10" t="s">
        <v>303</v>
      </c>
      <c r="D17" s="252" t="s">
        <v>304</v>
      </c>
    </row>
    <row r="18" ht="41.4" spans="1:4">
      <c r="A18" s="12" t="s">
        <v>305</v>
      </c>
      <c r="B18" s="13" t="s">
        <v>306</v>
      </c>
      <c r="C18" s="13" t="s">
        <v>307</v>
      </c>
      <c r="D18" s="253" t="s">
        <v>308</v>
      </c>
    </row>
  </sheetData>
  <mergeCells count="1">
    <mergeCell ref="A1:D1"/>
  </mergeCells>
  <pageMargins left="0.75" right="0.75" top="1" bottom="1" header="0.5" footer="0.5"/>
  <pageSetup paperSize="1" scale="79" fitToHeight="0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2185B"/>
    <pageSetUpPr fitToPage="1"/>
  </sheetPr>
  <dimension ref="A1:E8"/>
  <sheetViews>
    <sheetView showGridLines="0" workbookViewId="0">
      <pane ySplit="2" topLeftCell="A3" activePane="bottomLeft" state="frozen"/>
      <selection/>
      <selection pane="bottomLeft" activeCell="E1" sqref="E1"/>
    </sheetView>
  </sheetViews>
  <sheetFormatPr defaultColWidth="9" defaultRowHeight="14.4" outlineLevelRow="7" outlineLevelCol="4"/>
  <cols>
    <col min="1" max="1" width="15.2222222222222" style="67" customWidth="1"/>
    <col min="2" max="2" width="25.3333333333333" style="67" customWidth="1"/>
    <col min="3" max="4" width="20" style="67" customWidth="1"/>
    <col min="5" max="16384" width="9" style="111" customWidth="1"/>
  </cols>
  <sheetData>
    <row r="1" ht="30" customHeight="1" spans="1:5">
      <c r="A1" s="181" t="s">
        <v>309</v>
      </c>
      <c r="B1" s="3"/>
      <c r="C1" s="3"/>
      <c r="D1" s="4"/>
      <c r="E1" s="46" t="str">
        <f>HYPERLINK("#'Cover'!A1","←")</f>
        <v>←</v>
      </c>
    </row>
    <row r="2" ht="30" customHeight="1" spans="1:5">
      <c r="A2" s="6" t="s">
        <v>310</v>
      </c>
      <c r="B2" s="7" t="s">
        <v>311</v>
      </c>
      <c r="C2" s="233"/>
      <c r="D2" s="234"/>
    </row>
    <row r="3" spans="1:5">
      <c r="A3" s="235" t="s">
        <v>312</v>
      </c>
      <c r="B3" s="142" t="str">
        <f>IF($B$2="","",CHOOSE(MATCH($B$2,{"First touch";"Trial invite";"Post-trial";"Invoice";"Renewal";"CCA convert";"Referral"},0),"C1: Scripts C1 bilingual","T1: Scripts T1","T1 enrolled / T2 passed: Scripts","P1: Scripts P1","R1: Scripts R1","C1: Scripts C1","G1: Scripts G1"))</f>
        <v>T1: Scripts T1</v>
      </c>
      <c r="C3" s="233"/>
      <c r="D3" s="234"/>
    </row>
    <row r="4" spans="1:5">
      <c r="A4" s="236" t="s">
        <v>313</v>
      </c>
      <c r="B4" s="143" t="str">
        <f>IF($B$2="","",CHOOSE(MATCH($B$2,{"First touch";"Trial invite";"Post-trial";"Invoice";"Renewal";"CCA convert";"Referral"},0),"M-01 trial flyer","M-01 trial flyer","M-01 + M-03 booklet","M-03 booklet + invoice no.","M-02 calendar + new invoice","M-01 + M-06 closing gift","M-04 referral card"))</f>
        <v>M-01 trial flyer</v>
      </c>
      <c r="C4" s="233"/>
      <c r="D4" s="234"/>
    </row>
    <row r="5" spans="1:5">
      <c r="A5" s="235" t="s">
        <v>314</v>
      </c>
      <c r="B5" s="142" t="str">
        <f>IF($B$2="","",CHOOSE(MATCH($B$2,{"First touch";"Trial invite";"Post-trial";"Invoice";"Renewal";"CCA convert";"Referral"},0),"No invoice yet","No invoice yet","Optional","Invoice no. in Invoices","New invoice","No invoice yet","Invoice on sign-up"))</f>
        <v>No invoice yet</v>
      </c>
      <c r="C5" s="233"/>
      <c r="D5" s="234"/>
    </row>
    <row r="6" spans="1:5">
      <c r="A6" s="236" t="s">
        <v>315</v>
      </c>
      <c r="B6" s="143" t="str">
        <f>IF($B$2="","",CHOOSE(MATCH($B$2,{"First touch";"Trial invite";"Post-trial";"Invoice";"Renewal";"CCA convert";"Referral"},0),"Ask age/school/time/budget","Lock room + teacher + reminder","Follow up in 24h, log reason","Discount signed?","2 sessions left, renew now","Consent signed?","10% explained?"))</f>
        <v>Lock room + teacher + reminder</v>
      </c>
      <c r="C6" s="233"/>
      <c r="D6" s="234"/>
    </row>
    <row r="7" spans="1:5">
      <c r="A7" s="237" t="s">
        <v>316</v>
      </c>
      <c r="B7" s="238" t="str">
        <f>B5</f>
        <v>No invoice yet</v>
      </c>
      <c r="C7" s="239"/>
      <c r="D7" s="240"/>
    </row>
    <row r="8" ht="15.15" customHeight="1" spans="1:5">
      <c r="A8" s="241" t="s">
        <v>317</v>
      </c>
      <c r="B8" s="242" t="str">
        <f>B6</f>
        <v>Lock room + teacher + reminder</v>
      </c>
      <c r="C8" s="243"/>
      <c r="D8" s="244"/>
    </row>
  </sheetData>
  <mergeCells count="6">
    <mergeCell ref="A1:D1"/>
    <mergeCell ref="B2:D2"/>
    <mergeCell ref="B3:D3"/>
    <mergeCell ref="B4:D4"/>
    <mergeCell ref="B5:D5"/>
    <mergeCell ref="B6:D6"/>
  </mergeCells>
  <dataValidations count="1">
    <dataValidation type="list" allowBlank="1" sqref="B2">
      <formula1>"First touch,Trial invite,Post-trial,Invoice,Renewal,CCA convert,Referral"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A3A3"/>
    <pageSetUpPr fitToPage="1"/>
  </sheetPr>
  <dimension ref="A1:H33"/>
  <sheetViews>
    <sheetView showGridLines="0" workbookViewId="0">
      <pane ySplit="2" topLeftCell="A3" activePane="bottomLeft" state="frozen"/>
      <selection/>
      <selection pane="bottomLeft" activeCell="H1" sqref="H1"/>
    </sheetView>
  </sheetViews>
  <sheetFormatPr defaultColWidth="9" defaultRowHeight="13.8" outlineLevelCol="7"/>
  <cols>
    <col min="1" max="1" width="11.3333333333333" style="67" customWidth="1"/>
    <col min="2" max="2" width="18.8888888888889" style="67" customWidth="1"/>
    <col min="3" max="3" width="15.3333333333333" style="67" customWidth="1"/>
    <col min="4" max="4" width="7" style="67" customWidth="1"/>
    <col min="5" max="5" width="9.22222222222222" style="67" customWidth="1"/>
    <col min="6" max="6" width="7.22222222222222" style="67" customWidth="1"/>
    <col min="7" max="7" width="20.3333333333333" style="67" customWidth="1"/>
    <col min="8" max="16384" width="9" style="1" customWidth="1"/>
  </cols>
  <sheetData>
    <row r="1" ht="30" customHeight="1" spans="1:8">
      <c r="A1" s="181" t="s">
        <v>20</v>
      </c>
      <c r="B1" s="3"/>
      <c r="C1" s="3"/>
      <c r="D1" s="3"/>
      <c r="E1" s="3"/>
      <c r="F1" s="3"/>
      <c r="G1" s="4"/>
      <c r="H1" s="46" t="str">
        <f>HYPERLINK("#'Cover'!A1","←")</f>
        <v>←</v>
      </c>
    </row>
    <row r="2" ht="30" customHeight="1" spans="1:8">
      <c r="A2" s="6" t="s">
        <v>117</v>
      </c>
      <c r="B2" s="7" t="s">
        <v>318</v>
      </c>
      <c r="C2" s="7" t="s">
        <v>319</v>
      </c>
      <c r="D2" s="7" t="s">
        <v>320</v>
      </c>
      <c r="E2" s="7" t="s">
        <v>132</v>
      </c>
      <c r="F2" s="7" t="s">
        <v>206</v>
      </c>
      <c r="G2" s="8" t="s">
        <v>50</v>
      </c>
    </row>
    <row r="3" spans="1:8">
      <c r="A3" s="223" t="s">
        <v>321</v>
      </c>
      <c r="G3" s="224"/>
    </row>
    <row r="4" spans="1:8">
      <c r="A4" s="225" t="s">
        <v>321</v>
      </c>
      <c r="B4" s="137" t="s">
        <v>322</v>
      </c>
      <c r="C4" s="137" t="s">
        <v>323</v>
      </c>
      <c r="D4" s="143">
        <v>8</v>
      </c>
      <c r="E4" s="137" t="s">
        <v>324</v>
      </c>
      <c r="F4" s="137" t="s">
        <v>82</v>
      </c>
      <c r="G4" s="226" t="s">
        <v>325</v>
      </c>
    </row>
    <row r="5" spans="1:8">
      <c r="A5" s="223" t="s">
        <v>326</v>
      </c>
      <c r="B5" s="134" t="s">
        <v>327</v>
      </c>
      <c r="C5" s="134" t="s">
        <v>328</v>
      </c>
      <c r="D5" s="142">
        <v>12</v>
      </c>
      <c r="E5" s="134" t="s">
        <v>329</v>
      </c>
      <c r="F5" s="134" t="s">
        <v>82</v>
      </c>
      <c r="G5" s="227" t="s">
        <v>221</v>
      </c>
    </row>
    <row r="6" spans="1:8">
      <c r="A6" s="225" t="s">
        <v>326</v>
      </c>
      <c r="B6" s="137" t="s">
        <v>330</v>
      </c>
      <c r="C6" s="137" t="s">
        <v>331</v>
      </c>
      <c r="D6" s="143">
        <v>8</v>
      </c>
      <c r="E6" s="137" t="s">
        <v>329</v>
      </c>
      <c r="F6" s="137" t="s">
        <v>82</v>
      </c>
      <c r="G6" s="226" t="s">
        <v>332</v>
      </c>
    </row>
    <row r="7" spans="1:8">
      <c r="A7" s="223" t="s">
        <v>333</v>
      </c>
      <c r="B7" s="134" t="s">
        <v>334</v>
      </c>
      <c r="C7" s="134" t="s">
        <v>335</v>
      </c>
      <c r="D7" s="142">
        <v>8</v>
      </c>
      <c r="E7" s="134" t="s">
        <v>336</v>
      </c>
      <c r="F7" s="134" t="s">
        <v>82</v>
      </c>
      <c r="G7" s="227" t="s">
        <v>337</v>
      </c>
    </row>
    <row r="8" spans="1:8">
      <c r="A8" s="225" t="s">
        <v>333</v>
      </c>
      <c r="B8" s="137" t="s">
        <v>338</v>
      </c>
      <c r="C8" s="137" t="s">
        <v>328</v>
      </c>
      <c r="D8" s="143">
        <v>8</v>
      </c>
      <c r="E8" s="137" t="s">
        <v>336</v>
      </c>
      <c r="F8" s="137" t="s">
        <v>82</v>
      </c>
      <c r="G8" s="226" t="s">
        <v>339</v>
      </c>
    </row>
    <row r="9" spans="1:8">
      <c r="A9" s="212"/>
      <c r="B9" s="142"/>
      <c r="C9" s="142"/>
      <c r="D9" s="142"/>
      <c r="E9" s="142"/>
      <c r="F9" s="142"/>
      <c r="G9" s="213"/>
    </row>
    <row r="10" spans="1:8">
      <c r="A10" s="210"/>
      <c r="B10" s="143"/>
      <c r="C10" s="143"/>
      <c r="D10" s="143"/>
      <c r="E10" s="143"/>
      <c r="F10" s="143"/>
      <c r="G10" s="211"/>
    </row>
    <row r="11" spans="1:8">
      <c r="A11" s="212"/>
      <c r="B11" s="142"/>
      <c r="C11" s="142"/>
      <c r="D11" s="142"/>
      <c r="E11" s="142"/>
      <c r="F11" s="142"/>
      <c r="G11" s="213"/>
    </row>
    <row r="12" spans="1:8">
      <c r="A12" s="210"/>
      <c r="B12" s="143"/>
      <c r="C12" s="143"/>
      <c r="D12" s="143"/>
      <c r="E12" s="143"/>
      <c r="F12" s="143"/>
      <c r="G12" s="211"/>
    </row>
    <row r="13" spans="1:8">
      <c r="A13" s="212"/>
      <c r="B13" s="142"/>
      <c r="C13" s="142"/>
      <c r="D13" s="142"/>
      <c r="E13" s="142"/>
      <c r="F13" s="142"/>
      <c r="G13" s="213"/>
    </row>
    <row r="14" spans="1:8">
      <c r="A14" s="210"/>
      <c r="B14" s="143"/>
      <c r="C14" s="143"/>
      <c r="D14" s="143"/>
      <c r="E14" s="143"/>
      <c r="F14" s="143"/>
      <c r="G14" s="211"/>
    </row>
    <row r="15" spans="1:8">
      <c r="A15" s="212"/>
      <c r="B15" s="142"/>
      <c r="C15" s="142"/>
      <c r="D15" s="142"/>
      <c r="E15" s="142"/>
      <c r="F15" s="142"/>
      <c r="G15" s="213"/>
    </row>
    <row r="16" spans="1:8">
      <c r="A16" s="210"/>
      <c r="B16" s="143"/>
      <c r="C16" s="143"/>
      <c r="D16" s="143"/>
      <c r="E16" s="143"/>
      <c r="F16" s="143"/>
      <c r="G16" s="211"/>
    </row>
    <row r="17" spans="1:7">
      <c r="A17" s="212"/>
      <c r="B17" s="142"/>
      <c r="C17" s="142"/>
      <c r="D17" s="142"/>
      <c r="E17" s="142"/>
      <c r="F17" s="142"/>
      <c r="G17" s="213"/>
    </row>
    <row r="18" spans="1:7">
      <c r="A18" s="210"/>
      <c r="B18" s="143"/>
      <c r="C18" s="143"/>
      <c r="D18" s="143"/>
      <c r="E18" s="143"/>
      <c r="F18" s="143"/>
      <c r="G18" s="211"/>
    </row>
    <row r="19" spans="1:7">
      <c r="A19" s="212"/>
      <c r="B19" s="142"/>
      <c r="C19" s="142"/>
      <c r="D19" s="142"/>
      <c r="E19" s="142"/>
      <c r="F19" s="142"/>
      <c r="G19" s="213"/>
    </row>
    <row r="20" spans="1:7">
      <c r="A20" s="210"/>
      <c r="B20" s="143"/>
      <c r="C20" s="143"/>
      <c r="D20" s="143"/>
      <c r="E20" s="143"/>
      <c r="F20" s="143"/>
      <c r="G20" s="211"/>
    </row>
    <row r="21" spans="1:7">
      <c r="A21" s="212"/>
      <c r="B21" s="142"/>
      <c r="C21" s="142"/>
      <c r="D21" s="142"/>
      <c r="E21" s="142"/>
      <c r="F21" s="142"/>
      <c r="G21" s="213"/>
    </row>
    <row r="22" spans="1:7">
      <c r="A22" s="210"/>
      <c r="B22" s="143"/>
      <c r="C22" s="143"/>
      <c r="D22" s="143"/>
      <c r="E22" s="143"/>
      <c r="F22" s="143"/>
      <c r="G22" s="211"/>
    </row>
    <row r="23" spans="1:7">
      <c r="A23" s="212"/>
      <c r="B23" s="142"/>
      <c r="C23" s="142"/>
      <c r="D23" s="142"/>
      <c r="E23" s="142"/>
      <c r="F23" s="142"/>
      <c r="G23" s="213"/>
    </row>
    <row r="24" spans="1:7">
      <c r="A24" s="210"/>
      <c r="B24" s="143"/>
      <c r="C24" s="143"/>
      <c r="D24" s="143"/>
      <c r="E24" s="143"/>
      <c r="F24" s="143"/>
      <c r="G24" s="211"/>
    </row>
    <row r="25" spans="1:7">
      <c r="A25" s="212"/>
      <c r="B25" s="142"/>
      <c r="C25" s="142"/>
      <c r="D25" s="142"/>
      <c r="E25" s="142"/>
      <c r="F25" s="142"/>
      <c r="G25" s="213"/>
    </row>
    <row r="26" spans="1:7">
      <c r="A26" s="210"/>
      <c r="B26" s="143"/>
      <c r="C26" s="143"/>
      <c r="D26" s="143"/>
      <c r="E26" s="143"/>
      <c r="F26" s="143"/>
      <c r="G26" s="211"/>
    </row>
    <row r="27" spans="1:7">
      <c r="A27" s="212"/>
      <c r="B27" s="142"/>
      <c r="C27" s="142"/>
      <c r="D27" s="142"/>
      <c r="E27" s="142"/>
      <c r="F27" s="142"/>
      <c r="G27" s="213"/>
    </row>
    <row r="28" spans="1:7">
      <c r="A28" s="210"/>
      <c r="B28" s="143"/>
      <c r="C28" s="143"/>
      <c r="D28" s="143"/>
      <c r="E28" s="143"/>
      <c r="F28" s="143"/>
      <c r="G28" s="211"/>
    </row>
    <row r="29" spans="1:7">
      <c r="A29" s="212"/>
      <c r="B29" s="142"/>
      <c r="C29" s="142"/>
      <c r="D29" s="142"/>
      <c r="E29" s="142"/>
      <c r="F29" s="142"/>
      <c r="G29" s="213"/>
    </row>
    <row r="30" spans="1:7">
      <c r="A30" s="210"/>
      <c r="B30" s="143"/>
      <c r="C30" s="143"/>
      <c r="D30" s="143"/>
      <c r="E30" s="143"/>
      <c r="F30" s="143"/>
      <c r="G30" s="211"/>
    </row>
    <row r="31" spans="1:7">
      <c r="A31" s="212"/>
      <c r="B31" s="142"/>
      <c r="C31" s="142"/>
      <c r="D31" s="142"/>
      <c r="E31" s="142"/>
      <c r="F31" s="142"/>
      <c r="G31" s="213"/>
    </row>
    <row r="32" spans="1:7">
      <c r="A32" s="210"/>
      <c r="B32" s="143"/>
      <c r="C32" s="143"/>
      <c r="D32" s="143"/>
      <c r="E32" s="143"/>
      <c r="F32" s="143"/>
      <c r="G32" s="211"/>
    </row>
    <row r="33" ht="14.55" spans="1:7">
      <c r="A33" s="228" t="s">
        <v>340</v>
      </c>
      <c r="B33" s="229" t="s">
        <v>341</v>
      </c>
      <c r="C33" s="230">
        <f ca="1">TODAY()</f>
        <v>46309</v>
      </c>
      <c r="D33" s="231"/>
      <c r="E33" s="231"/>
      <c r="F33" s="231"/>
      <c r="G33" s="232"/>
    </row>
  </sheetData>
  <autoFilter xmlns:etc="http://www.wps.cn/officeDocument/2017/etCustomData" ref="A2:G33" etc:filterBottomFollowUsedRange="0">
    <extLst/>
  </autoFilter>
  <mergeCells count="1">
    <mergeCell ref="A1:G1"/>
  </mergeCells>
  <dataValidations count="1">
    <dataValidation type="list" allowBlank="1" sqref="E3:E100">
      <formula1>"Idea,Planned,Running,Done"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383C"/>
    <pageSetUpPr fitToPage="1"/>
  </sheetPr>
  <dimension ref="A1:K32"/>
  <sheetViews>
    <sheetView showGridLines="0" workbookViewId="0">
      <pane ySplit="2" topLeftCell="A3" activePane="bottomLeft" state="frozen"/>
      <selection/>
      <selection pane="bottomLeft" activeCell="K1" sqref="K1"/>
    </sheetView>
  </sheetViews>
  <sheetFormatPr defaultColWidth="9" defaultRowHeight="13.8"/>
  <cols>
    <col min="1" max="1" width="12.4444444444444" style="1" customWidth="1"/>
    <col min="2" max="2" width="7.33333333333333" style="1" customWidth="1"/>
    <col min="3" max="3" width="17.5555555555556" style="1" customWidth="1"/>
    <col min="4" max="4" width="4" style="1" customWidth="1"/>
    <col min="5" max="5" width="12.3333333333333" style="1" customWidth="1"/>
    <col min="6" max="6" width="10.1111111111111" style="1" customWidth="1"/>
    <col min="7" max="7" width="11.7777777777778" style="1" customWidth="1"/>
    <col min="8" max="8" width="16.1111111111111" style="1" customWidth="1"/>
    <col min="9" max="9" width="12.4444444444444" style="1" customWidth="1"/>
    <col min="10" max="10" width="7.44444444444444" style="1" customWidth="1"/>
    <col min="11" max="16384" width="9" style="1" customWidth="1"/>
  </cols>
  <sheetData>
    <row r="1" ht="30" customHeight="1" spans="1:11">
      <c r="A1" s="34" t="s">
        <v>21</v>
      </c>
      <c r="B1" s="217"/>
      <c r="C1" s="217"/>
      <c r="D1" s="217"/>
      <c r="E1" s="217"/>
      <c r="F1" s="217"/>
      <c r="G1" s="217"/>
      <c r="H1" s="217"/>
      <c r="I1" s="217"/>
      <c r="J1" s="218"/>
      <c r="K1" s="46" t="str">
        <f>HYPERLINK("#'Cover'!A1","←")</f>
        <v>←</v>
      </c>
    </row>
    <row r="2" spans="1:11">
      <c r="A2" s="219" t="s">
        <v>100</v>
      </c>
      <c r="B2" s="220" t="s">
        <v>155</v>
      </c>
      <c r="C2" s="220" t="s">
        <v>342</v>
      </c>
      <c r="D2" s="220" t="s">
        <v>343</v>
      </c>
      <c r="E2" s="220" t="s">
        <v>344</v>
      </c>
      <c r="F2" s="220" t="s">
        <v>345</v>
      </c>
      <c r="G2" s="220" t="s">
        <v>346</v>
      </c>
      <c r="H2" s="220" t="s">
        <v>132</v>
      </c>
      <c r="I2" s="220" t="s">
        <v>347</v>
      </c>
      <c r="J2" s="221" t="s">
        <v>348</v>
      </c>
    </row>
    <row r="3" spans="1:11">
      <c r="A3" s="119" t="s">
        <v>349</v>
      </c>
      <c r="J3" s="222"/>
    </row>
    <row r="4" spans="1:11">
      <c r="A4" s="116" t="s">
        <v>350</v>
      </c>
      <c r="B4" s="122" t="s">
        <v>351</v>
      </c>
      <c r="C4" s="122" t="s">
        <v>352</v>
      </c>
      <c r="D4" s="122" t="s">
        <v>82</v>
      </c>
      <c r="E4" s="122" t="s">
        <v>353</v>
      </c>
      <c r="F4" s="170"/>
      <c r="G4" s="122" t="s">
        <v>82</v>
      </c>
      <c r="H4" s="122" t="s">
        <v>354</v>
      </c>
      <c r="I4" s="170"/>
      <c r="J4" s="175"/>
    </row>
    <row r="5" spans="1:11">
      <c r="A5" s="172"/>
      <c r="B5" s="173"/>
      <c r="C5" s="173"/>
      <c r="D5" s="173"/>
      <c r="E5" s="173"/>
      <c r="F5" s="173"/>
      <c r="G5" s="173"/>
      <c r="H5" s="173"/>
      <c r="I5" s="173"/>
      <c r="J5" s="176"/>
    </row>
    <row r="6" spans="1:11">
      <c r="A6" s="169"/>
      <c r="B6" s="170"/>
      <c r="C6" s="170"/>
      <c r="D6" s="170"/>
      <c r="E6" s="170"/>
      <c r="F6" s="170"/>
      <c r="G6" s="170"/>
      <c r="H6" s="170"/>
      <c r="I6" s="170"/>
      <c r="J6" s="175"/>
    </row>
    <row r="7" spans="1:11">
      <c r="A7" s="172"/>
      <c r="B7" s="173"/>
      <c r="C7" s="173"/>
      <c r="D7" s="173"/>
      <c r="E7" s="173"/>
      <c r="F7" s="173"/>
      <c r="G7" s="173"/>
      <c r="H7" s="173"/>
      <c r="I7" s="173"/>
      <c r="J7" s="176"/>
    </row>
    <row r="8" spans="1:11">
      <c r="A8" s="169"/>
      <c r="B8" s="170"/>
      <c r="C8" s="170"/>
      <c r="D8" s="170"/>
      <c r="E8" s="170"/>
      <c r="F8" s="170"/>
      <c r="G8" s="170"/>
      <c r="H8" s="170"/>
      <c r="I8" s="170"/>
      <c r="J8" s="175"/>
    </row>
    <row r="9" spans="1:11">
      <c r="A9" s="172"/>
      <c r="B9" s="173"/>
      <c r="C9" s="173"/>
      <c r="D9" s="173"/>
      <c r="E9" s="173"/>
      <c r="F9" s="173"/>
      <c r="G9" s="173"/>
      <c r="H9" s="173"/>
      <c r="I9" s="173"/>
      <c r="J9" s="176"/>
    </row>
    <row r="10" spans="1:11">
      <c r="A10" s="169"/>
      <c r="B10" s="170"/>
      <c r="C10" s="170"/>
      <c r="D10" s="170"/>
      <c r="E10" s="170"/>
      <c r="F10" s="170"/>
      <c r="G10" s="170"/>
      <c r="H10" s="170"/>
      <c r="I10" s="170"/>
      <c r="J10" s="175"/>
    </row>
    <row r="11" spans="1:11">
      <c r="A11" s="172"/>
      <c r="B11" s="173"/>
      <c r="C11" s="173"/>
      <c r="D11" s="173"/>
      <c r="E11" s="173"/>
      <c r="F11" s="173"/>
      <c r="G11" s="173"/>
      <c r="H11" s="173"/>
      <c r="I11" s="173"/>
      <c r="J11" s="176"/>
    </row>
    <row r="12" spans="1:11">
      <c r="A12" s="169"/>
      <c r="B12" s="170"/>
      <c r="C12" s="170"/>
      <c r="D12" s="170"/>
      <c r="E12" s="170"/>
      <c r="F12" s="170"/>
      <c r="G12" s="170"/>
      <c r="H12" s="170"/>
      <c r="I12" s="170"/>
      <c r="J12" s="175"/>
    </row>
    <row r="13" spans="1:11">
      <c r="A13" s="172"/>
      <c r="B13" s="173"/>
      <c r="C13" s="173"/>
      <c r="D13" s="173"/>
      <c r="E13" s="173"/>
      <c r="F13" s="173"/>
      <c r="G13" s="173"/>
      <c r="H13" s="173"/>
      <c r="I13" s="173"/>
      <c r="J13" s="176"/>
    </row>
    <row r="14" spans="1:11">
      <c r="A14" s="169"/>
      <c r="B14" s="170"/>
      <c r="C14" s="170"/>
      <c r="D14" s="170"/>
      <c r="E14" s="170"/>
      <c r="F14" s="170"/>
      <c r="G14" s="170"/>
      <c r="H14" s="170"/>
      <c r="I14" s="170"/>
      <c r="J14" s="175"/>
    </row>
    <row r="15" spans="1:11">
      <c r="A15" s="172"/>
      <c r="B15" s="173"/>
      <c r="C15" s="173"/>
      <c r="D15" s="173"/>
      <c r="E15" s="173"/>
      <c r="F15" s="173"/>
      <c r="G15" s="173"/>
      <c r="H15" s="173"/>
      <c r="I15" s="173"/>
      <c r="J15" s="176"/>
    </row>
    <row r="16" spans="1:11">
      <c r="A16" s="169"/>
      <c r="B16" s="170"/>
      <c r="C16" s="170"/>
      <c r="D16" s="170"/>
      <c r="E16" s="170"/>
      <c r="F16" s="170"/>
      <c r="G16" s="170"/>
      <c r="H16" s="170"/>
      <c r="I16" s="170"/>
      <c r="J16" s="175"/>
    </row>
    <row r="17" spans="1:10">
      <c r="A17" s="172"/>
      <c r="B17" s="173"/>
      <c r="C17" s="173"/>
      <c r="D17" s="173"/>
      <c r="E17" s="173"/>
      <c r="F17" s="173"/>
      <c r="G17" s="173"/>
      <c r="H17" s="173"/>
      <c r="I17" s="173"/>
      <c r="J17" s="176"/>
    </row>
    <row r="18" spans="1:10">
      <c r="A18" s="169"/>
      <c r="B18" s="170"/>
      <c r="C18" s="170"/>
      <c r="D18" s="170"/>
      <c r="E18" s="170"/>
      <c r="F18" s="170"/>
      <c r="G18" s="170"/>
      <c r="H18" s="170"/>
      <c r="I18" s="170"/>
      <c r="J18" s="175"/>
    </row>
    <row r="19" spans="1:10">
      <c r="A19" s="172"/>
      <c r="B19" s="173"/>
      <c r="C19" s="173"/>
      <c r="D19" s="173"/>
      <c r="E19" s="173"/>
      <c r="F19" s="173"/>
      <c r="G19" s="173"/>
      <c r="H19" s="173"/>
      <c r="I19" s="173"/>
      <c r="J19" s="176"/>
    </row>
    <row r="20" spans="1:10">
      <c r="A20" s="169"/>
      <c r="B20" s="170"/>
      <c r="C20" s="170"/>
      <c r="D20" s="170"/>
      <c r="E20" s="170"/>
      <c r="F20" s="170"/>
      <c r="G20" s="170"/>
      <c r="H20" s="170"/>
      <c r="I20" s="170"/>
      <c r="J20" s="175"/>
    </row>
    <row r="21" spans="1:10">
      <c r="A21" s="172"/>
      <c r="B21" s="173"/>
      <c r="C21" s="173"/>
      <c r="D21" s="173"/>
      <c r="E21" s="173"/>
      <c r="F21" s="173"/>
      <c r="G21" s="173"/>
      <c r="H21" s="173"/>
      <c r="I21" s="173"/>
      <c r="J21" s="176"/>
    </row>
    <row r="22" spans="1:10">
      <c r="A22" s="169"/>
      <c r="B22" s="170"/>
      <c r="C22" s="170"/>
      <c r="D22" s="170"/>
      <c r="E22" s="170"/>
      <c r="F22" s="170"/>
      <c r="G22" s="170"/>
      <c r="H22" s="170"/>
      <c r="I22" s="170"/>
      <c r="J22" s="175"/>
    </row>
    <row r="23" spans="1:10">
      <c r="A23" s="172"/>
      <c r="B23" s="173"/>
      <c r="C23" s="173"/>
      <c r="D23" s="173"/>
      <c r="E23" s="173"/>
      <c r="F23" s="173"/>
      <c r="G23" s="173"/>
      <c r="H23" s="173"/>
      <c r="I23" s="173"/>
      <c r="J23" s="176"/>
    </row>
    <row r="24" spans="1:10">
      <c r="A24" s="169"/>
      <c r="B24" s="170"/>
      <c r="C24" s="170"/>
      <c r="D24" s="170"/>
      <c r="E24" s="170"/>
      <c r="F24" s="170"/>
      <c r="G24" s="170"/>
      <c r="H24" s="170"/>
      <c r="I24" s="170"/>
      <c r="J24" s="175"/>
    </row>
    <row r="25" spans="1:10">
      <c r="A25" s="172"/>
      <c r="B25" s="173"/>
      <c r="C25" s="173"/>
      <c r="D25" s="173"/>
      <c r="E25" s="173"/>
      <c r="F25" s="173"/>
      <c r="G25" s="173"/>
      <c r="H25" s="173"/>
      <c r="I25" s="173"/>
      <c r="J25" s="176"/>
    </row>
    <row r="26" spans="1:10">
      <c r="A26" s="169"/>
      <c r="B26" s="170"/>
      <c r="C26" s="170"/>
      <c r="D26" s="170"/>
      <c r="E26" s="170"/>
      <c r="F26" s="170"/>
      <c r="G26" s="170"/>
      <c r="H26" s="170"/>
      <c r="I26" s="170"/>
      <c r="J26" s="175"/>
    </row>
    <row r="27" spans="1:10">
      <c r="A27" s="172"/>
      <c r="B27" s="173"/>
      <c r="C27" s="173"/>
      <c r="D27" s="173"/>
      <c r="E27" s="173"/>
      <c r="F27" s="173"/>
      <c r="G27" s="173"/>
      <c r="H27" s="173"/>
      <c r="I27" s="173"/>
      <c r="J27" s="176"/>
    </row>
    <row r="28" spans="1:10">
      <c r="A28" s="169"/>
      <c r="B28" s="170"/>
      <c r="C28" s="170"/>
      <c r="D28" s="170"/>
      <c r="E28" s="170"/>
      <c r="F28" s="170"/>
      <c r="G28" s="170"/>
      <c r="H28" s="170"/>
      <c r="I28" s="170"/>
      <c r="J28" s="175"/>
    </row>
    <row r="29" spans="1:10">
      <c r="A29" s="172"/>
      <c r="B29" s="173"/>
      <c r="C29" s="173"/>
      <c r="D29" s="173"/>
      <c r="E29" s="173"/>
      <c r="F29" s="173"/>
      <c r="G29" s="173"/>
      <c r="H29" s="173"/>
      <c r="I29" s="173"/>
      <c r="J29" s="176"/>
    </row>
    <row r="30" spans="1:10">
      <c r="A30" s="169"/>
      <c r="B30" s="170"/>
      <c r="C30" s="170"/>
      <c r="D30" s="170"/>
      <c r="E30" s="170"/>
      <c r="F30" s="170"/>
      <c r="G30" s="170"/>
      <c r="H30" s="170"/>
      <c r="I30" s="170"/>
      <c r="J30" s="175"/>
    </row>
    <row r="31" spans="1:10">
      <c r="A31" s="172"/>
      <c r="B31" s="173"/>
      <c r="C31" s="173"/>
      <c r="D31" s="173"/>
      <c r="E31" s="173"/>
      <c r="F31" s="173"/>
      <c r="G31" s="173"/>
      <c r="H31" s="173"/>
      <c r="I31" s="173"/>
      <c r="J31" s="176"/>
    </row>
    <row r="32" ht="14.55" spans="1:10">
      <c r="A32" s="178"/>
      <c r="B32" s="179"/>
      <c r="C32" s="179"/>
      <c r="D32" s="179"/>
      <c r="E32" s="179"/>
      <c r="F32" s="179"/>
      <c r="G32" s="179"/>
      <c r="H32" s="179"/>
      <c r="I32" s="179"/>
      <c r="J32" s="180"/>
    </row>
  </sheetData>
  <mergeCells count="1">
    <mergeCell ref="A1:J1"/>
  </mergeCells>
  <dataValidations count="3">
    <dataValidation type="list" allowBlank="1" sqref="E3:E100">
      <formula1>"Regular,Exhibition-only"</formula1>
    </dataValidation>
    <dataValidation type="list" allowBlank="1" sqref="H3:H100">
      <formula1>"Idea,Planned,Ready,Done"</formula1>
    </dataValidation>
    <dataValidation type="list" allowBlank="1" sqref="J3:J100">
      <formula1>"Yes,No"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A3D"/>
    <pageSetUpPr fitToPage="1"/>
  </sheetPr>
  <dimension ref="A1:G32"/>
  <sheetViews>
    <sheetView showGridLines="0" workbookViewId="0">
      <pane ySplit="2" topLeftCell="A3" activePane="bottomLeft" state="frozen"/>
      <selection/>
      <selection pane="bottomLeft" activeCell="G1" sqref="G1"/>
    </sheetView>
  </sheetViews>
  <sheetFormatPr defaultColWidth="9" defaultRowHeight="13.8" outlineLevelCol="6"/>
  <cols>
    <col min="1" max="1" width="13" style="67" customWidth="1"/>
    <col min="2" max="2" width="18" style="67" customWidth="1"/>
    <col min="3" max="3" width="9" style="67" customWidth="1"/>
    <col min="4" max="4" width="14" style="67" customWidth="1"/>
    <col min="5" max="5" width="11" style="67" customWidth="1"/>
    <col min="6" max="6" width="9" style="67" customWidth="1"/>
    <col min="7" max="16384" width="4" style="1" customWidth="1"/>
  </cols>
  <sheetData>
    <row r="1" ht="30" customHeight="1" spans="1:7">
      <c r="A1" s="204" t="s">
        <v>355</v>
      </c>
      <c r="B1" s="130"/>
      <c r="C1" s="130"/>
      <c r="D1" s="205"/>
      <c r="E1" s="205"/>
      <c r="F1" s="131"/>
      <c r="G1" s="46" t="str">
        <f>HYPERLINK("#'Cover'!A1","←")</f>
        <v>←</v>
      </c>
    </row>
    <row r="2" spans="1:7">
      <c r="A2" s="206" t="s">
        <v>172</v>
      </c>
      <c r="B2" s="207" t="s">
        <v>318</v>
      </c>
      <c r="C2" s="207" t="s">
        <v>320</v>
      </c>
      <c r="D2" s="163" t="s">
        <v>319</v>
      </c>
      <c r="E2" s="163" t="s">
        <v>356</v>
      </c>
      <c r="F2" s="208" t="s">
        <v>357</v>
      </c>
    </row>
    <row r="3" spans="1:7">
      <c r="A3" s="209" t="s">
        <v>358</v>
      </c>
      <c r="B3" s="166" t="s">
        <v>359</v>
      </c>
      <c r="C3" s="167">
        <v>8</v>
      </c>
      <c r="D3" s="166" t="s">
        <v>335</v>
      </c>
      <c r="E3" s="167"/>
      <c r="F3" s="182"/>
    </row>
    <row r="4" spans="1:7">
      <c r="A4" s="210"/>
      <c r="B4" s="143"/>
      <c r="C4" s="143"/>
      <c r="D4" s="143"/>
      <c r="E4" s="143"/>
      <c r="F4" s="211"/>
    </row>
    <row r="5" spans="1:7">
      <c r="A5" s="212"/>
      <c r="B5" s="142"/>
      <c r="C5" s="142"/>
      <c r="D5" s="142"/>
      <c r="E5" s="142"/>
      <c r="F5" s="213"/>
    </row>
    <row r="6" spans="1:7">
      <c r="A6" s="210"/>
      <c r="B6" s="143"/>
      <c r="C6" s="143"/>
      <c r="D6" s="143"/>
      <c r="E6" s="143"/>
      <c r="F6" s="211"/>
    </row>
    <row r="7" spans="1:7">
      <c r="A7" s="212"/>
      <c r="B7" s="142"/>
      <c r="C7" s="142"/>
      <c r="D7" s="142"/>
      <c r="E7" s="142"/>
      <c r="F7" s="213"/>
    </row>
    <row r="8" spans="1:7">
      <c r="A8" s="210"/>
      <c r="B8" s="143"/>
      <c r="C8" s="143"/>
      <c r="D8" s="143"/>
      <c r="E8" s="143"/>
      <c r="F8" s="211"/>
    </row>
    <row r="9" spans="1:7">
      <c r="A9" s="212"/>
      <c r="B9" s="142"/>
      <c r="C9" s="142"/>
      <c r="D9" s="142"/>
      <c r="E9" s="142"/>
      <c r="F9" s="213"/>
    </row>
    <row r="10" spans="1:7">
      <c r="A10" s="210"/>
      <c r="B10" s="143"/>
      <c r="C10" s="143"/>
      <c r="D10" s="143"/>
      <c r="E10" s="143"/>
      <c r="F10" s="211"/>
    </row>
    <row r="11" spans="1:7">
      <c r="A11" s="212"/>
      <c r="B11" s="142"/>
      <c r="C11" s="142"/>
      <c r="D11" s="142"/>
      <c r="E11" s="142"/>
      <c r="F11" s="213"/>
    </row>
    <row r="12" spans="1:7">
      <c r="A12" s="210"/>
      <c r="B12" s="143"/>
      <c r="C12" s="143"/>
      <c r="D12" s="143"/>
      <c r="E12" s="143"/>
      <c r="F12" s="211"/>
    </row>
    <row r="13" spans="1:7">
      <c r="A13" s="212"/>
      <c r="B13" s="142"/>
      <c r="C13" s="142"/>
      <c r="D13" s="142"/>
      <c r="E13" s="142"/>
      <c r="F13" s="213"/>
    </row>
    <row r="14" spans="1:7">
      <c r="A14" s="210"/>
      <c r="B14" s="143"/>
      <c r="C14" s="143"/>
      <c r="D14" s="143"/>
      <c r="E14" s="143"/>
      <c r="F14" s="211"/>
    </row>
    <row r="15" spans="1:7">
      <c r="A15" s="212"/>
      <c r="B15" s="142"/>
      <c r="C15" s="142"/>
      <c r="D15" s="142"/>
      <c r="E15" s="142"/>
      <c r="F15" s="213"/>
    </row>
    <row r="16" spans="1:7">
      <c r="A16" s="210"/>
      <c r="B16" s="143"/>
      <c r="C16" s="143"/>
      <c r="D16" s="143"/>
      <c r="E16" s="143"/>
      <c r="F16" s="211"/>
    </row>
    <row r="17" spans="1:6">
      <c r="A17" s="212"/>
      <c r="B17" s="142"/>
      <c r="C17" s="142"/>
      <c r="D17" s="142"/>
      <c r="E17" s="142"/>
      <c r="F17" s="213"/>
    </row>
    <row r="18" spans="1:6">
      <c r="A18" s="210"/>
      <c r="B18" s="143"/>
      <c r="C18" s="143"/>
      <c r="D18" s="143"/>
      <c r="E18" s="143"/>
      <c r="F18" s="211"/>
    </row>
    <row r="19" spans="1:6">
      <c r="A19" s="212"/>
      <c r="B19" s="142"/>
      <c r="C19" s="142"/>
      <c r="D19" s="142"/>
      <c r="E19" s="142"/>
      <c r="F19" s="213"/>
    </row>
    <row r="20" spans="1:6">
      <c r="A20" s="210"/>
      <c r="B20" s="143"/>
      <c r="C20" s="143"/>
      <c r="D20" s="143"/>
      <c r="E20" s="143"/>
      <c r="F20" s="211"/>
    </row>
    <row r="21" spans="1:6">
      <c r="A21" s="212"/>
      <c r="B21" s="142"/>
      <c r="C21" s="142"/>
      <c r="D21" s="142"/>
      <c r="E21" s="142"/>
      <c r="F21" s="213"/>
    </row>
    <row r="22" spans="1:6">
      <c r="A22" s="210"/>
      <c r="B22" s="143"/>
      <c r="C22" s="143"/>
      <c r="D22" s="143"/>
      <c r="E22" s="143"/>
      <c r="F22" s="211"/>
    </row>
    <row r="23" spans="1:6">
      <c r="A23" s="212"/>
      <c r="B23" s="142"/>
      <c r="C23" s="142"/>
      <c r="D23" s="142"/>
      <c r="E23" s="142"/>
      <c r="F23" s="213"/>
    </row>
    <row r="24" spans="1:6">
      <c r="A24" s="210"/>
      <c r="B24" s="143"/>
      <c r="C24" s="143"/>
      <c r="D24" s="143"/>
      <c r="E24" s="143"/>
      <c r="F24" s="211"/>
    </row>
    <row r="25" spans="1:6">
      <c r="A25" s="212"/>
      <c r="B25" s="142"/>
      <c r="C25" s="142"/>
      <c r="D25" s="142"/>
      <c r="E25" s="142"/>
      <c r="F25" s="213"/>
    </row>
    <row r="26" spans="1:6">
      <c r="A26" s="210"/>
      <c r="B26" s="143"/>
      <c r="C26" s="143"/>
      <c r="D26" s="143"/>
      <c r="E26" s="143"/>
      <c r="F26" s="211"/>
    </row>
    <row r="27" spans="1:6">
      <c r="A27" s="212"/>
      <c r="B27" s="142"/>
      <c r="C27" s="142"/>
      <c r="D27" s="142"/>
      <c r="E27" s="142"/>
      <c r="F27" s="213"/>
    </row>
    <row r="28" spans="1:6">
      <c r="A28" s="210"/>
      <c r="B28" s="143"/>
      <c r="C28" s="143"/>
      <c r="D28" s="143"/>
      <c r="E28" s="143"/>
      <c r="F28" s="211"/>
    </row>
    <row r="29" spans="1:6">
      <c r="A29" s="212"/>
      <c r="B29" s="142"/>
      <c r="C29" s="142"/>
      <c r="D29" s="142"/>
      <c r="E29" s="142"/>
      <c r="F29" s="213"/>
    </row>
    <row r="30" spans="1:6">
      <c r="A30" s="210"/>
      <c r="B30" s="143"/>
      <c r="C30" s="143"/>
      <c r="D30" s="143"/>
      <c r="E30" s="143"/>
      <c r="F30" s="211"/>
    </row>
    <row r="31" spans="1:6">
      <c r="A31" s="212"/>
      <c r="B31" s="142"/>
      <c r="C31" s="142"/>
      <c r="D31" s="142"/>
      <c r="E31" s="142"/>
      <c r="F31" s="213"/>
    </row>
    <row r="32" ht="14.55" spans="1:6">
      <c r="A32" s="214"/>
      <c r="B32" s="215"/>
      <c r="C32" s="215"/>
      <c r="D32" s="215"/>
      <c r="E32" s="215"/>
      <c r="F32" s="216"/>
    </row>
  </sheetData>
  <mergeCells count="1">
    <mergeCell ref="A1:F1"/>
  </mergeCells>
  <dataValidations count="1">
    <dataValidation type="list" allowBlank="1" sqref="F3:F100">
      <formula1>"Yes,No"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CAF50"/>
    <pageSetUpPr fitToPage="1"/>
  </sheetPr>
  <dimension ref="A1:I24"/>
  <sheetViews>
    <sheetView showGridLines="0" workbookViewId="0">
      <pane ySplit="2" topLeftCell="A3" activePane="bottomLeft" state="frozen"/>
      <selection/>
      <selection pane="bottomLeft" activeCell="I1" sqref="I1"/>
    </sheetView>
  </sheetViews>
  <sheetFormatPr defaultColWidth="9" defaultRowHeight="13.8"/>
  <cols>
    <col min="1" max="1" width="14" style="67" customWidth="1"/>
    <col min="2" max="2" width="9" style="67" customWidth="1"/>
    <col min="3" max="3" width="11" style="67" customWidth="1"/>
    <col min="4" max="4" width="12" style="67" customWidth="1"/>
    <col min="5" max="5" width="10" style="67" customWidth="1"/>
    <col min="6" max="7" width="9" style="67" customWidth="1"/>
    <col min="8" max="8" width="12" style="67" customWidth="1"/>
    <col min="9" max="16384" width="4" style="67" customWidth="1"/>
  </cols>
  <sheetData>
    <row r="1" ht="30" customHeight="1" spans="1:9">
      <c r="A1" s="129" t="s">
        <v>360</v>
      </c>
      <c r="B1" s="183"/>
      <c r="C1" s="183"/>
      <c r="D1" s="183"/>
      <c r="E1" s="183"/>
      <c r="F1" s="183"/>
      <c r="G1" s="183"/>
      <c r="H1" s="184"/>
      <c r="I1" s="46" t="str">
        <f>HYPERLINK("#'Cover'!A1","←")</f>
        <v>←</v>
      </c>
    </row>
    <row r="2" ht="30" customHeight="1" spans="1:9">
      <c r="A2" s="132" t="s">
        <v>130</v>
      </c>
      <c r="B2" s="7" t="s">
        <v>126</v>
      </c>
      <c r="C2" s="7" t="s">
        <v>149</v>
      </c>
      <c r="D2" s="7" t="s">
        <v>361</v>
      </c>
      <c r="E2" s="7" t="s">
        <v>143</v>
      </c>
      <c r="F2" s="7" t="s">
        <v>362</v>
      </c>
      <c r="G2" s="7" t="s">
        <v>363</v>
      </c>
      <c r="H2" s="115" t="s">
        <v>364</v>
      </c>
    </row>
    <row r="3" ht="30" customHeight="1" spans="1:9">
      <c r="A3" s="185" t="s">
        <v>147</v>
      </c>
      <c r="B3" s="26">
        <f>COUNTIF(Leads!E3:E100,A3)</f>
        <v>1</v>
      </c>
      <c r="C3" s="26">
        <f>COUNTIFS(Leads!E3:E100,A3,Leads!G3:G100,"Contacting")</f>
        <v>1</v>
      </c>
      <c r="D3" s="26">
        <f>COUNTIFS(Leads!E3:E100,A3,Leads!G3:G100,"Trial booked")</f>
        <v>0</v>
      </c>
      <c r="E3" s="26">
        <f>COUNTIFS(Leads!E3:E100,A3,Leads!G3:G100,"Enrolled")</f>
        <v>0</v>
      </c>
      <c r="F3" s="26">
        <f>COUNTIFS(Leads!E3:E100,A3,Leads!G3:G100,"Parked")</f>
        <v>0</v>
      </c>
      <c r="G3" s="98">
        <f t="shared" ref="G3:G11" si="0">IFERROR(E3/B3,0)</f>
        <v>0</v>
      </c>
      <c r="H3" s="19">
        <f>SUMIFS(Invoices!H3:H34,Invoices!M3:M34,A3,Invoices!I3:I34,"Paid")</f>
        <v>0</v>
      </c>
    </row>
    <row r="4" spans="1:9">
      <c r="A4" s="186" t="s">
        <v>365</v>
      </c>
      <c r="B4" s="148">
        <f>COUNTIF(Leads!E3:E100,A4)</f>
        <v>0</v>
      </c>
      <c r="C4" s="148">
        <f>COUNTIFS(Leads!E3:E100,A4,Leads!G3:G100,"Contacting")</f>
        <v>0</v>
      </c>
      <c r="D4" s="148">
        <f>COUNTIFS(Leads!E3:E100,A4,Leads!G3:G100,"Trial booked")</f>
        <v>0</v>
      </c>
      <c r="E4" s="148">
        <f>COUNTIFS(Leads!E3:E100,A4,Leads!G3:G100,"Enrolled")</f>
        <v>0</v>
      </c>
      <c r="F4" s="148">
        <f>COUNTIFS(Leads!E3:E100,A4,Leads!G3:G100,"Parked")</f>
        <v>0</v>
      </c>
      <c r="G4" s="79">
        <f t="shared" si="0"/>
        <v>0</v>
      </c>
      <c r="H4" s="187">
        <f>SUMIFS(Invoices!H3:H34,Invoices!M3:M34,A4,Invoices!I3:I34,"Paid")</f>
        <v>0</v>
      </c>
    </row>
    <row r="5" spans="1:9">
      <c r="A5" s="188" t="s">
        <v>141</v>
      </c>
      <c r="B5" s="152">
        <f>COUNTIF(Leads!E3:E100,A5)</f>
        <v>1</v>
      </c>
      <c r="C5" s="152">
        <f>COUNTIFS(Leads!E3:E100,A5,Leads!G3:G100,"Contacting")</f>
        <v>0</v>
      </c>
      <c r="D5" s="152">
        <f>COUNTIFS(Leads!E3:E100,A5,Leads!G3:G100,"Trial booked")</f>
        <v>0</v>
      </c>
      <c r="E5" s="152">
        <f>COUNTIFS(Leads!E3:E100,A5,Leads!G3:G100,"Enrolled")</f>
        <v>1</v>
      </c>
      <c r="F5" s="152">
        <f>COUNTIFS(Leads!E3:E100,A5,Leads!G3:G100,"Parked")</f>
        <v>0</v>
      </c>
      <c r="G5" s="93">
        <f t="shared" si="0"/>
        <v>1</v>
      </c>
      <c r="H5" s="189">
        <f>SUMIFS(Invoices!H3:H34,Invoices!M3:M34,A5,Invoices!I3:I34,"Paid")</f>
        <v>8000</v>
      </c>
    </row>
    <row r="6" spans="1:9">
      <c r="A6" s="186" t="s">
        <v>366</v>
      </c>
      <c r="B6" s="148">
        <f>COUNTIF(Leads!E3:E100,A6)</f>
        <v>0</v>
      </c>
      <c r="C6" s="148">
        <f>COUNTIFS(Leads!E3:E100,A6,Leads!G3:G100,"Contacting")</f>
        <v>0</v>
      </c>
      <c r="D6" s="148">
        <f>COUNTIFS(Leads!E3:E100,A6,Leads!G3:G100,"Trial booked")</f>
        <v>0</v>
      </c>
      <c r="E6" s="148">
        <f>COUNTIFS(Leads!E3:E100,A6,Leads!G3:G100,"Enrolled")</f>
        <v>0</v>
      </c>
      <c r="F6" s="148">
        <f>COUNTIFS(Leads!E3:E100,A6,Leads!G3:G100,"Parked")</f>
        <v>0</v>
      </c>
      <c r="G6" s="79">
        <f t="shared" si="0"/>
        <v>0</v>
      </c>
      <c r="H6" s="187">
        <f>SUMIFS(Invoices!H3:H34,Invoices!M3:M34,A6,Invoices!I3:I34,"Paid")</f>
        <v>0</v>
      </c>
    </row>
    <row r="7" spans="1:9">
      <c r="A7" s="188" t="s">
        <v>367</v>
      </c>
      <c r="B7" s="152">
        <f>COUNTIF(Leads!E3:E100,A7)</f>
        <v>0</v>
      </c>
      <c r="C7" s="152">
        <f>COUNTIFS(Leads!E3:E100,A7,Leads!G3:G100,"Contacting")</f>
        <v>0</v>
      </c>
      <c r="D7" s="152">
        <f>COUNTIFS(Leads!E3:E100,A7,Leads!G3:G100,"Trial booked")</f>
        <v>0</v>
      </c>
      <c r="E7" s="152">
        <f>COUNTIFS(Leads!E3:E100,A7,Leads!G3:G100,"Enrolled")</f>
        <v>0</v>
      </c>
      <c r="F7" s="152">
        <f>COUNTIFS(Leads!E3:E100,A7,Leads!G3:G100,"Parked")</f>
        <v>0</v>
      </c>
      <c r="G7" s="93">
        <f t="shared" si="0"/>
        <v>0</v>
      </c>
      <c r="H7" s="189">
        <f>SUMIFS(Invoices!H3:H34,Invoices!M3:M34,A7,Invoices!I3:I34,"Paid")</f>
        <v>0</v>
      </c>
    </row>
    <row r="8" spans="1:9">
      <c r="A8" s="186" t="s">
        <v>368</v>
      </c>
      <c r="B8" s="148">
        <f>COUNTIF(Leads!E3:E100,A8)</f>
        <v>0</v>
      </c>
      <c r="C8" s="148">
        <f>COUNTIFS(Leads!E3:E100,A8,Leads!G3:G100,"Contacting")</f>
        <v>0</v>
      </c>
      <c r="D8" s="148">
        <f>COUNTIFS(Leads!E3:E100,A8,Leads!G3:G100,"Trial booked")</f>
        <v>0</v>
      </c>
      <c r="E8" s="148">
        <f>COUNTIFS(Leads!E3:E100,A8,Leads!G3:G100,"Enrolled")</f>
        <v>0</v>
      </c>
      <c r="F8" s="148">
        <f>COUNTIFS(Leads!E3:E100,A8,Leads!G3:G100,"Parked")</f>
        <v>0</v>
      </c>
      <c r="G8" s="79">
        <f t="shared" si="0"/>
        <v>0</v>
      </c>
      <c r="H8" s="187">
        <f>SUMIFS(Invoices!H3:H34,Invoices!M3:M34,A8,Invoices!I3:I34,"Paid")</f>
        <v>0</v>
      </c>
    </row>
    <row r="9" spans="1:9">
      <c r="A9" s="188" t="s">
        <v>369</v>
      </c>
      <c r="B9" s="152">
        <f>COUNTIF(Leads!E3:E100,A9)</f>
        <v>0</v>
      </c>
      <c r="C9" s="152">
        <f>COUNTIFS(Leads!E3:E100,A9,Leads!G3:G100,"Contacting")</f>
        <v>0</v>
      </c>
      <c r="D9" s="152">
        <f>COUNTIFS(Leads!E3:E100,A9,Leads!G3:G100,"Trial booked")</f>
        <v>0</v>
      </c>
      <c r="E9" s="152">
        <f>COUNTIFS(Leads!E3:E100,A9,Leads!G3:G100,"Enrolled")</f>
        <v>0</v>
      </c>
      <c r="F9" s="152">
        <f>COUNTIFS(Leads!E3:E100,A9,Leads!G3:G100,"Parked")</f>
        <v>0</v>
      </c>
      <c r="G9" s="93">
        <f t="shared" si="0"/>
        <v>0</v>
      </c>
      <c r="H9" s="189">
        <f>SUMIFS(Invoices!H3:H34,Invoices!M3:M34,A9,Invoices!I3:I34,"Paid")</f>
        <v>0</v>
      </c>
    </row>
    <row r="10" spans="1:9">
      <c r="A10" s="186" t="s">
        <v>370</v>
      </c>
      <c r="B10" s="148">
        <f>COUNTIF(Leads!E3:E100,A10)</f>
        <v>0</v>
      </c>
      <c r="C10" s="148">
        <f>COUNTIFS(Leads!E3:E100,A10,Leads!G3:G100,"Contacting")</f>
        <v>0</v>
      </c>
      <c r="D10" s="148">
        <f>COUNTIFS(Leads!E3:E100,A10,Leads!G3:G100,"Trial booked")</f>
        <v>0</v>
      </c>
      <c r="E10" s="148">
        <f>COUNTIFS(Leads!E3:E100,A10,Leads!G3:G100,"Enrolled")</f>
        <v>0</v>
      </c>
      <c r="F10" s="148">
        <f>COUNTIFS(Leads!E3:E100,A10,Leads!G3:G100,"Parked")</f>
        <v>0</v>
      </c>
      <c r="G10" s="79">
        <f t="shared" si="0"/>
        <v>0</v>
      </c>
      <c r="H10" s="187">
        <f>SUMIFS(Invoices!H3:H34,Invoices!M3:M34,A10,Invoices!I3:I34,"Paid")</f>
        <v>0</v>
      </c>
    </row>
    <row r="11" spans="1:9">
      <c r="A11" s="188" t="s">
        <v>183</v>
      </c>
      <c r="B11" s="185">
        <f>SUM(B3:B10)</f>
        <v>2</v>
      </c>
      <c r="C11" s="185">
        <f>SUM(C3:C10)</f>
        <v>1</v>
      </c>
      <c r="D11" s="185">
        <f>SUM(D3:D10)</f>
        <v>0</v>
      </c>
      <c r="E11" s="185">
        <f>SUM(E3:E10)</f>
        <v>1</v>
      </c>
      <c r="F11" s="185">
        <f>SUM(F3:F10)</f>
        <v>0</v>
      </c>
      <c r="G11" s="190">
        <f t="shared" si="0"/>
        <v>0.5</v>
      </c>
      <c r="H11" s="191">
        <f>SUM(H3:H10)</f>
        <v>8000</v>
      </c>
    </row>
    <row r="12" ht="18" customHeight="1" spans="1:9">
      <c r="A12" s="192" t="s">
        <v>371</v>
      </c>
      <c r="B12" s="193" t="s">
        <v>372</v>
      </c>
      <c r="C12" s="193"/>
      <c r="D12" s="193"/>
      <c r="E12" s="193"/>
      <c r="F12" s="193"/>
      <c r="G12" s="193"/>
      <c r="H12" s="194"/>
    </row>
    <row r="13" spans="1:9">
      <c r="A13" s="195" t="s">
        <v>373</v>
      </c>
      <c r="B13" s="196">
        <f>SUMIFS(Invoices!H3:H34,Invoices!B3:B34,"&gt;="&amp;DATE(2026,10,1),Invoices!B3:B34,"&lt;"&amp;DATE(2026,11,1),Invoices!I3:I34,"Paid")</f>
        <v>0</v>
      </c>
      <c r="C13" s="152"/>
      <c r="D13" s="152"/>
      <c r="E13" s="152"/>
      <c r="F13" s="152"/>
      <c r="G13" s="152"/>
      <c r="H13" s="153"/>
    </row>
    <row r="14" spans="1:9">
      <c r="A14" s="197" t="s">
        <v>374</v>
      </c>
      <c r="B14" s="198">
        <f>SUMIFS(Invoices!H3:H34,Invoices!B3:B34,"&gt;="&amp;DATE(2026,11,1),Invoices!B3:B34,"&lt;"&amp;DATE(2026,12,1),Invoices!I3:I34,"Paid")</f>
        <v>0</v>
      </c>
      <c r="C14" s="148"/>
      <c r="D14" s="148"/>
      <c r="E14" s="148"/>
      <c r="F14" s="148"/>
      <c r="G14" s="148"/>
      <c r="H14" s="199"/>
    </row>
    <row r="15" spans="1:9">
      <c r="A15" s="195" t="s">
        <v>375</v>
      </c>
      <c r="B15" s="196">
        <f>SUMIFS(Invoices!H3:H34,Invoices!B3:B34,"&gt;="&amp;DATE(2026,12,1),Invoices!B3:B34,"&lt;"&amp;DATE(2027,1,1),Invoices!I3:I34,"Paid")</f>
        <v>0</v>
      </c>
      <c r="C15" s="152"/>
      <c r="D15" s="152"/>
      <c r="E15" s="152"/>
      <c r="F15" s="152"/>
      <c r="G15" s="152"/>
      <c r="H15" s="153"/>
    </row>
    <row r="16" spans="1:9">
      <c r="A16" s="197" t="s">
        <v>351</v>
      </c>
      <c r="B16" s="198">
        <f>SUMIFS(Invoices!H3:H34,Invoices!B3:B34,"&gt;="&amp;DATE(2027,1,1),Invoices!B3:B34,"&lt;"&amp;DATE(2027,2,1),Invoices!I3:I34,"Paid")</f>
        <v>0</v>
      </c>
      <c r="C16" s="148"/>
      <c r="D16" s="148"/>
      <c r="E16" s="148"/>
      <c r="F16" s="148"/>
      <c r="G16" s="148"/>
      <c r="H16" s="199"/>
    </row>
    <row r="17" spans="1:8">
      <c r="A17" s="195" t="s">
        <v>376</v>
      </c>
      <c r="B17" s="196">
        <f>SUMIFS(Invoices!H3:H34,Invoices!B3:B34,"&gt;="&amp;DATE(2027,2,1),Invoices!B3:B34,"&lt;"&amp;DATE(2027,3,1),Invoices!I3:I34,"Paid")</f>
        <v>0</v>
      </c>
      <c r="C17" s="152"/>
      <c r="D17" s="152"/>
      <c r="E17" s="152"/>
      <c r="F17" s="152"/>
      <c r="G17" s="152"/>
      <c r="H17" s="153"/>
    </row>
    <row r="18" spans="1:8">
      <c r="A18" s="197" t="s">
        <v>377</v>
      </c>
      <c r="B18" s="198">
        <f>SUMIFS(Invoices!H3:H34,Invoices!B3:B34,"&gt;="&amp;DATE(2027,3,1),Invoices!B3:B34,"&lt;"&amp;DATE(2027,4,1),Invoices!I3:I34,"Paid")</f>
        <v>0</v>
      </c>
      <c r="C18" s="148"/>
      <c r="D18" s="148"/>
      <c r="E18" s="148"/>
      <c r="F18" s="148"/>
      <c r="G18" s="148"/>
      <c r="H18" s="199"/>
    </row>
    <row r="19" spans="1:8">
      <c r="A19" s="195" t="s">
        <v>378</v>
      </c>
      <c r="B19" s="196">
        <f>SUMIFS(Invoices!H3:H34,Invoices!B3:B34,"&gt;="&amp;DATE(2027,4,1),Invoices!B3:B34,"&lt;"&amp;DATE(2027,5,1),Invoices!I3:I34,"Paid")</f>
        <v>0</v>
      </c>
      <c r="C19" s="152"/>
      <c r="D19" s="152"/>
      <c r="E19" s="152"/>
      <c r="F19" s="152"/>
      <c r="G19" s="152"/>
      <c r="H19" s="153"/>
    </row>
    <row r="20" spans="1:8">
      <c r="A20" s="197" t="s">
        <v>379</v>
      </c>
      <c r="B20" s="198">
        <f>SUMIFS(Invoices!H3:H34,Invoices!B3:B34,"&gt;="&amp;DATE(2027,5,1),Invoices!B3:B34,"&lt;"&amp;DATE(2027,6,1),Invoices!I3:I34,"Paid")</f>
        <v>0</v>
      </c>
      <c r="C20" s="148"/>
      <c r="D20" s="148"/>
      <c r="E20" s="148"/>
      <c r="F20" s="148"/>
      <c r="G20" s="148"/>
      <c r="H20" s="199"/>
    </row>
    <row r="21" spans="1:8">
      <c r="A21" s="195" t="s">
        <v>380</v>
      </c>
      <c r="B21" s="196">
        <f>SUMIFS(Invoices!H3:H34,Invoices!B3:B34,"&gt;="&amp;DATE(2027,6,1),Invoices!B3:B34,"&lt;"&amp;DATE(2027,7,1),Invoices!I3:I34,"Paid")</f>
        <v>0</v>
      </c>
      <c r="C21" s="152"/>
      <c r="D21" s="152"/>
      <c r="E21" s="152"/>
      <c r="F21" s="152"/>
      <c r="G21" s="152"/>
      <c r="H21" s="153"/>
    </row>
    <row r="22" spans="1:8">
      <c r="A22" s="197" t="s">
        <v>381</v>
      </c>
      <c r="B22" s="198">
        <f>SUMIFS(Invoices!H3:H34,Invoices!B3:B34,"&gt;="&amp;DATE(2027,7,1),Invoices!B3:B34,"&lt;"&amp;DATE(2027,8,1),Invoices!I3:I34,"Paid")</f>
        <v>0</v>
      </c>
      <c r="C22" s="148"/>
      <c r="D22" s="148"/>
      <c r="E22" s="148"/>
      <c r="F22" s="148"/>
      <c r="G22" s="148"/>
      <c r="H22" s="199"/>
    </row>
    <row r="23" spans="1:8">
      <c r="A23" s="195" t="s">
        <v>382</v>
      </c>
      <c r="B23" s="196">
        <f>SUMIFS(Invoices!H3:H34,Invoices!B3:B34,"&gt;="&amp;DATE(2027,8,1),Invoices!B3:B34,"&lt;"&amp;DATE(2027,9,1),Invoices!I3:I34,"Paid")</f>
        <v>0</v>
      </c>
      <c r="C23" s="152"/>
      <c r="D23" s="152"/>
      <c r="E23" s="152"/>
      <c r="F23" s="152"/>
      <c r="G23" s="152"/>
      <c r="H23" s="153"/>
    </row>
    <row r="24" ht="14.55" customHeight="1" spans="1:8">
      <c r="A24" s="200" t="s">
        <v>383</v>
      </c>
      <c r="B24" s="201">
        <f>SUMIFS(Invoices!H3:H34,Invoices!B3:B34,"&gt;="&amp;DATE(2027,9,1),Invoices!B3:B34,"&lt;"&amp;DATE(2027,10,1),Invoices!I3:I34,"Paid")</f>
        <v>0</v>
      </c>
      <c r="C24" s="202"/>
      <c r="D24" s="202"/>
      <c r="E24" s="202"/>
      <c r="F24" s="202"/>
      <c r="G24" s="202"/>
      <c r="H24" s="203"/>
    </row>
  </sheetData>
  <mergeCells count="1">
    <mergeCell ref="A1:H1"/>
  </mergeCells>
  <pageMargins left="0.75" right="0.75" top="1" bottom="1" header="0.5" footer="0.5"/>
  <pageSetup paperSize="1" scale="72" fitToHeight="0" orientation="landscape"/>
  <headerFooter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71C1C"/>
    <pageSetUpPr fitToPage="1"/>
  </sheetPr>
  <dimension ref="A1:F5"/>
  <sheetViews>
    <sheetView showGridLines="0" workbookViewId="0">
      <pane ySplit="2" topLeftCell="A3" activePane="bottomLeft" state="frozen"/>
      <selection/>
      <selection pane="bottomLeft" activeCell="F1" sqref="F1"/>
    </sheetView>
  </sheetViews>
  <sheetFormatPr defaultColWidth="9" defaultRowHeight="13.8" outlineLevelRow="4" outlineLevelCol="5"/>
  <cols>
    <col min="1" max="1" width="16.6666666666667" style="1" customWidth="1"/>
    <col min="2" max="2" width="19.1111111111111" style="1" customWidth="1"/>
    <col min="3" max="3" width="7.88888888888889" style="1" customWidth="1"/>
    <col min="4" max="4" width="26.2222222222222" style="1" customWidth="1"/>
    <col min="5" max="5" width="22.3333333333333" style="1" customWidth="1"/>
    <col min="6" max="16384" width="9" style="1" customWidth="1"/>
  </cols>
  <sheetData>
    <row r="1" ht="30" customHeight="1" spans="1:6">
      <c r="A1" s="129" t="s">
        <v>384</v>
      </c>
      <c r="B1" s="130"/>
      <c r="C1" s="130"/>
      <c r="D1" s="130"/>
      <c r="E1" s="131"/>
      <c r="F1" s="46" t="str">
        <f>HYPERLINK("#'Cover'!A1","←")</f>
        <v>←</v>
      </c>
    </row>
    <row r="2" ht="30" customHeight="1" spans="1:6">
      <c r="A2" s="132" t="s">
        <v>385</v>
      </c>
      <c r="B2" s="7" t="s">
        <v>386</v>
      </c>
      <c r="C2" s="7" t="s">
        <v>387</v>
      </c>
      <c r="D2" s="7" t="s">
        <v>388</v>
      </c>
      <c r="E2" s="115" t="s">
        <v>389</v>
      </c>
    </row>
    <row r="3" ht="16" customHeight="1" spans="1:6">
      <c r="A3" s="133" t="s">
        <v>390</v>
      </c>
      <c r="B3" s="134" t="s">
        <v>391</v>
      </c>
      <c r="C3" s="134" t="s">
        <v>392</v>
      </c>
      <c r="D3" s="134" t="s">
        <v>393</v>
      </c>
      <c r="E3" s="135" t="s">
        <v>394</v>
      </c>
    </row>
    <row r="4" ht="16" customHeight="1" spans="1:6">
      <c r="A4" s="136" t="s">
        <v>395</v>
      </c>
      <c r="B4" s="137" t="s">
        <v>369</v>
      </c>
      <c r="C4" s="137" t="s">
        <v>396</v>
      </c>
      <c r="D4" s="137" t="s">
        <v>397</v>
      </c>
      <c r="E4" s="138" t="s">
        <v>398</v>
      </c>
    </row>
    <row r="5" ht="16" customHeight="1" spans="1:6">
      <c r="A5" s="154" t="s">
        <v>399</v>
      </c>
      <c r="B5" s="155" t="s">
        <v>400</v>
      </c>
      <c r="C5" s="155" t="s">
        <v>396</v>
      </c>
      <c r="D5" s="155" t="s">
        <v>401</v>
      </c>
      <c r="E5" s="158" t="s">
        <v>402</v>
      </c>
    </row>
  </sheetData>
  <mergeCells count="1">
    <mergeCell ref="A1:E1"/>
  </mergeCells>
  <pageMargins left="0.75" right="0.75" top="1" bottom="1" header="0.5" footer="0.5"/>
  <pageSetup paperSize="1" fitToHeight="0" orientation="landscape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D32"/>
    <pageSetUpPr fitToPage="1"/>
  </sheetPr>
  <dimension ref="A1:H32"/>
  <sheetViews>
    <sheetView showGridLines="0" workbookViewId="0">
      <pane ySplit="2" topLeftCell="A3" activePane="bottomLeft" state="frozen"/>
      <selection/>
      <selection pane="bottomLeft" activeCell="H1" sqref="H1"/>
    </sheetView>
  </sheetViews>
  <sheetFormatPr defaultColWidth="9" defaultRowHeight="13.8" outlineLevelCol="7"/>
  <cols>
    <col min="1" max="1" width="13" style="1" customWidth="1"/>
    <col min="2" max="3" width="9" style="1" customWidth="1"/>
    <col min="4" max="4" width="11" style="1" customWidth="1"/>
    <col min="5" max="5" width="13" style="1" customWidth="1"/>
    <col min="6" max="7" width="12" style="1" customWidth="1"/>
    <col min="8" max="16384" width="4" style="1" customWidth="1"/>
  </cols>
  <sheetData>
    <row r="1" ht="15.6" spans="1:8">
      <c r="A1" s="181" t="s">
        <v>403</v>
      </c>
      <c r="B1" s="3"/>
      <c r="C1" s="3"/>
      <c r="D1" s="3"/>
      <c r="E1" s="3"/>
      <c r="F1" s="3"/>
      <c r="G1" s="4"/>
      <c r="H1" s="46" t="str">
        <f>HYPERLINK("#'Cover'!A1","←")</f>
        <v>←</v>
      </c>
    </row>
    <row r="2" spans="1:8">
      <c r="A2" s="6" t="s">
        <v>172</v>
      </c>
      <c r="B2" s="7" t="s">
        <v>404</v>
      </c>
      <c r="C2" s="7" t="s">
        <v>405</v>
      </c>
      <c r="D2" s="7" t="s">
        <v>406</v>
      </c>
      <c r="E2" s="7" t="s">
        <v>407</v>
      </c>
      <c r="F2" s="7" t="s">
        <v>408</v>
      </c>
      <c r="G2" s="8" t="s">
        <v>409</v>
      </c>
    </row>
    <row r="3" spans="1:8">
      <c r="A3" s="165" t="s">
        <v>410</v>
      </c>
      <c r="B3" s="166" t="s">
        <v>148</v>
      </c>
      <c r="C3" s="166" t="s">
        <v>148</v>
      </c>
      <c r="D3" s="166" t="s">
        <v>148</v>
      </c>
      <c r="E3" s="166" t="s">
        <v>142</v>
      </c>
      <c r="F3" s="166" t="s">
        <v>411</v>
      </c>
      <c r="G3" s="182"/>
    </row>
    <row r="4" spans="1:8">
      <c r="A4" s="169"/>
      <c r="B4" s="170"/>
      <c r="C4" s="170"/>
      <c r="D4" s="170"/>
      <c r="E4" s="170"/>
      <c r="F4" s="170"/>
      <c r="G4" s="175"/>
    </row>
    <row r="5" spans="1:8">
      <c r="A5" s="172"/>
      <c r="B5" s="173"/>
      <c r="C5" s="173"/>
      <c r="D5" s="173"/>
      <c r="E5" s="173"/>
      <c r="F5" s="173"/>
      <c r="G5" s="176"/>
    </row>
    <row r="6" spans="1:8">
      <c r="A6" s="169"/>
      <c r="B6" s="170"/>
      <c r="C6" s="170"/>
      <c r="D6" s="170"/>
      <c r="E6" s="170"/>
      <c r="F6" s="170"/>
      <c r="G6" s="175"/>
    </row>
    <row r="7" spans="1:8">
      <c r="A7" s="172"/>
      <c r="B7" s="173"/>
      <c r="C7" s="173"/>
      <c r="D7" s="173"/>
      <c r="E7" s="173"/>
      <c r="F7" s="173"/>
      <c r="G7" s="176"/>
    </row>
    <row r="8" spans="1:8">
      <c r="A8" s="169"/>
      <c r="B8" s="170"/>
      <c r="C8" s="170"/>
      <c r="D8" s="170"/>
      <c r="E8" s="170"/>
      <c r="F8" s="170"/>
      <c r="G8" s="175"/>
    </row>
    <row r="9" spans="1:8">
      <c r="A9" s="172"/>
      <c r="B9" s="173"/>
      <c r="C9" s="173"/>
      <c r="D9" s="173"/>
      <c r="E9" s="173"/>
      <c r="F9" s="173"/>
      <c r="G9" s="176"/>
    </row>
    <row r="10" spans="1:8">
      <c r="A10" s="169"/>
      <c r="B10" s="170"/>
      <c r="C10" s="170"/>
      <c r="D10" s="170"/>
      <c r="E10" s="170"/>
      <c r="F10" s="170"/>
      <c r="G10" s="175"/>
    </row>
    <row r="11" spans="1:8">
      <c r="A11" s="172"/>
      <c r="B11" s="173"/>
      <c r="C11" s="173"/>
      <c r="D11" s="173"/>
      <c r="E11" s="173"/>
      <c r="F11" s="173"/>
      <c r="G11" s="176"/>
    </row>
    <row r="12" spans="1:8">
      <c r="A12" s="169"/>
      <c r="B12" s="170"/>
      <c r="C12" s="170"/>
      <c r="D12" s="170"/>
      <c r="E12" s="170"/>
      <c r="F12" s="170"/>
      <c r="G12" s="175"/>
    </row>
    <row r="13" spans="1:8">
      <c r="A13" s="172"/>
      <c r="B13" s="173"/>
      <c r="C13" s="173"/>
      <c r="D13" s="173"/>
      <c r="E13" s="173"/>
      <c r="F13" s="173"/>
      <c r="G13" s="176"/>
    </row>
    <row r="14" spans="1:8">
      <c r="A14" s="169"/>
      <c r="B14" s="170"/>
      <c r="C14" s="170"/>
      <c r="D14" s="170"/>
      <c r="E14" s="170"/>
      <c r="F14" s="170"/>
      <c r="G14" s="175"/>
    </row>
    <row r="15" spans="1:8">
      <c r="A15" s="172"/>
      <c r="B15" s="173"/>
      <c r="C15" s="173"/>
      <c r="D15" s="173"/>
      <c r="E15" s="173"/>
      <c r="F15" s="173"/>
      <c r="G15" s="176"/>
    </row>
    <row r="16" spans="1:8">
      <c r="A16" s="169"/>
      <c r="B16" s="170"/>
      <c r="C16" s="170"/>
      <c r="D16" s="170"/>
      <c r="E16" s="170"/>
      <c r="F16" s="170"/>
      <c r="G16" s="175"/>
    </row>
    <row r="17" spans="1:7">
      <c r="A17" s="172"/>
      <c r="B17" s="173"/>
      <c r="C17" s="173"/>
      <c r="D17" s="173"/>
      <c r="E17" s="173"/>
      <c r="F17" s="173"/>
      <c r="G17" s="176"/>
    </row>
    <row r="18" spans="1:7">
      <c r="A18" s="169"/>
      <c r="B18" s="170"/>
      <c r="C18" s="170"/>
      <c r="D18" s="170"/>
      <c r="E18" s="170"/>
      <c r="F18" s="170"/>
      <c r="G18" s="175"/>
    </row>
    <row r="19" spans="1:7">
      <c r="A19" s="172"/>
      <c r="B19" s="173"/>
      <c r="C19" s="173"/>
      <c r="D19" s="173"/>
      <c r="E19" s="173"/>
      <c r="F19" s="173"/>
      <c r="G19" s="176"/>
    </row>
    <row r="20" spans="1:7">
      <c r="A20" s="169"/>
      <c r="B20" s="170"/>
      <c r="C20" s="170"/>
      <c r="D20" s="170"/>
      <c r="E20" s="170"/>
      <c r="F20" s="170"/>
      <c r="G20" s="175"/>
    </row>
    <row r="21" spans="1:7">
      <c r="A21" s="172"/>
      <c r="B21" s="173"/>
      <c r="C21" s="173"/>
      <c r="D21" s="173"/>
      <c r="E21" s="173"/>
      <c r="F21" s="173"/>
      <c r="G21" s="176"/>
    </row>
    <row r="22" spans="1:7">
      <c r="A22" s="169"/>
      <c r="B22" s="170"/>
      <c r="C22" s="170"/>
      <c r="D22" s="170"/>
      <c r="E22" s="170"/>
      <c r="F22" s="170"/>
      <c r="G22" s="175"/>
    </row>
    <row r="23" spans="1:7">
      <c r="A23" s="172"/>
      <c r="B23" s="173"/>
      <c r="C23" s="173"/>
      <c r="D23" s="173"/>
      <c r="E23" s="173"/>
      <c r="F23" s="173"/>
      <c r="G23" s="176"/>
    </row>
    <row r="24" spans="1:7">
      <c r="A24" s="169"/>
      <c r="B24" s="170"/>
      <c r="C24" s="170"/>
      <c r="D24" s="170"/>
      <c r="E24" s="170"/>
      <c r="F24" s="170"/>
      <c r="G24" s="175"/>
    </row>
    <row r="25" spans="1:7">
      <c r="A25" s="172"/>
      <c r="B25" s="173"/>
      <c r="C25" s="173"/>
      <c r="D25" s="173"/>
      <c r="E25" s="173"/>
      <c r="F25" s="173"/>
      <c r="G25" s="176"/>
    </row>
    <row r="26" spans="1:7">
      <c r="A26" s="169"/>
      <c r="B26" s="170"/>
      <c r="C26" s="170"/>
      <c r="D26" s="170"/>
      <c r="E26" s="170"/>
      <c r="F26" s="170"/>
      <c r="G26" s="175"/>
    </row>
    <row r="27" spans="1:7">
      <c r="A27" s="172"/>
      <c r="B27" s="173"/>
      <c r="C27" s="173"/>
      <c r="D27" s="173"/>
      <c r="E27" s="173"/>
      <c r="F27" s="173"/>
      <c r="G27" s="176"/>
    </row>
    <row r="28" spans="1:7">
      <c r="A28" s="169"/>
      <c r="B28" s="170"/>
      <c r="C28" s="170"/>
      <c r="D28" s="170"/>
      <c r="E28" s="170"/>
      <c r="F28" s="170"/>
      <c r="G28" s="175"/>
    </row>
    <row r="29" spans="1:7">
      <c r="A29" s="172"/>
      <c r="B29" s="173"/>
      <c r="C29" s="173"/>
      <c r="D29" s="173"/>
      <c r="E29" s="173"/>
      <c r="F29" s="173"/>
      <c r="G29" s="176"/>
    </row>
    <row r="30" spans="1:7">
      <c r="A30" s="169"/>
      <c r="B30" s="170"/>
      <c r="C30" s="170"/>
      <c r="D30" s="170"/>
      <c r="E30" s="170"/>
      <c r="F30" s="170"/>
      <c r="G30" s="175"/>
    </row>
    <row r="31" spans="1:7">
      <c r="A31" s="172"/>
      <c r="B31" s="173"/>
      <c r="C31" s="173"/>
      <c r="D31" s="173"/>
      <c r="E31" s="173"/>
      <c r="F31" s="173"/>
      <c r="G31" s="176"/>
    </row>
    <row r="32" ht="14.55" spans="1:7">
      <c r="A32" s="178"/>
      <c r="B32" s="179"/>
      <c r="C32" s="179"/>
      <c r="D32" s="179"/>
      <c r="E32" s="179"/>
      <c r="F32" s="179"/>
      <c r="G32" s="180"/>
    </row>
  </sheetData>
  <mergeCells count="1">
    <mergeCell ref="A1:G1"/>
  </mergeCells>
  <dataValidations count="1">
    <dataValidation type="list" allowBlank="1" sqref="B3:E100">
      <formula1>"Yes,No"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5100"/>
    <pageSetUpPr fitToPage="1"/>
  </sheetPr>
  <dimension ref="A1:L32"/>
  <sheetViews>
    <sheetView showGridLines="0" workbookViewId="0">
      <pane ySplit="2" topLeftCell="A3" activePane="bottomLeft" state="frozen"/>
      <selection/>
      <selection pane="bottomLeft" activeCell="H1" sqref="H1"/>
    </sheetView>
  </sheetViews>
  <sheetFormatPr defaultColWidth="9" defaultRowHeight="13.8"/>
  <cols>
    <col min="1" max="1" width="11" style="1" customWidth="1"/>
    <col min="2" max="2" width="24" style="1" customWidth="1"/>
    <col min="3" max="3" width="16" style="1" customWidth="1"/>
    <col min="4" max="4" width="22" style="1" customWidth="1"/>
    <col min="5" max="5" width="12" style="1" customWidth="1"/>
    <col min="6" max="6" width="10" style="1" customWidth="1"/>
    <col min="7" max="7" width="11" style="1" customWidth="1"/>
    <col min="8" max="16384" width="4" style="1" customWidth="1"/>
  </cols>
  <sheetData>
    <row r="1" ht="28" customHeight="1" spans="1:12">
      <c r="A1" s="2" t="s">
        <v>226</v>
      </c>
      <c r="B1" s="159"/>
      <c r="C1" s="3"/>
      <c r="D1" s="3"/>
      <c r="E1" s="159"/>
      <c r="F1" s="159"/>
      <c r="G1" s="4"/>
      <c r="H1" s="46" t="str">
        <f>HYPERLINK("#'Cover'!A1","←")</f>
        <v>←</v>
      </c>
    </row>
    <row r="2" ht="27.6" spans="1:12">
      <c r="A2" s="160" t="s">
        <v>155</v>
      </c>
      <c r="B2" s="161" t="s">
        <v>180</v>
      </c>
      <c r="C2" s="162" t="s">
        <v>412</v>
      </c>
      <c r="D2" s="162" t="s">
        <v>413</v>
      </c>
      <c r="E2" s="163" t="s">
        <v>414</v>
      </c>
      <c r="F2" s="163" t="s">
        <v>179</v>
      </c>
      <c r="G2" s="164" t="s">
        <v>132</v>
      </c>
    </row>
    <row r="3" spans="1:12">
      <c r="A3" s="165" t="s">
        <v>411</v>
      </c>
      <c r="B3" s="166" t="s">
        <v>415</v>
      </c>
      <c r="C3" s="166" t="s">
        <v>416</v>
      </c>
      <c r="D3" s="166" t="s">
        <v>417</v>
      </c>
      <c r="E3" s="167"/>
      <c r="F3" s="167"/>
      <c r="G3" s="168" t="s">
        <v>418</v>
      </c>
    </row>
    <row r="4" ht="41.4" spans="1:12">
      <c r="A4" s="169"/>
      <c r="B4" s="122" t="s">
        <v>419</v>
      </c>
      <c r="C4" s="122" t="s">
        <v>420</v>
      </c>
      <c r="D4" s="122" t="s">
        <v>421</v>
      </c>
      <c r="E4" s="170"/>
      <c r="F4" s="170"/>
      <c r="G4" s="171" t="s">
        <v>418</v>
      </c>
    </row>
    <row r="5" ht="41.4" spans="1:12">
      <c r="A5" s="172"/>
      <c r="B5" s="120" t="s">
        <v>422</v>
      </c>
      <c r="C5" s="120" t="s">
        <v>423</v>
      </c>
      <c r="D5" s="120" t="s">
        <v>424</v>
      </c>
      <c r="E5" s="173"/>
      <c r="F5" s="173"/>
      <c r="G5" s="174" t="s">
        <v>418</v>
      </c>
    </row>
    <row r="6" spans="1:12">
      <c r="A6" s="169"/>
      <c r="B6" s="170"/>
      <c r="C6" s="170"/>
      <c r="D6" s="170"/>
      <c r="E6" s="170"/>
      <c r="F6" s="170"/>
      <c r="G6" s="175"/>
    </row>
    <row r="7" spans="1:12">
      <c r="A7" s="172"/>
      <c r="B7" s="173"/>
      <c r="C7" s="173"/>
      <c r="D7" s="173"/>
      <c r="E7" s="173"/>
      <c r="F7" s="173"/>
      <c r="G7" s="176"/>
      <c r="L7" s="177"/>
    </row>
    <row r="8" spans="1:12">
      <c r="A8" s="169"/>
      <c r="B8" s="170"/>
      <c r="C8" s="170"/>
      <c r="D8" s="170"/>
      <c r="E8" s="170"/>
      <c r="F8" s="170"/>
      <c r="G8" s="175"/>
    </row>
    <row r="9" spans="1:12">
      <c r="A9" s="172"/>
      <c r="B9" s="173"/>
      <c r="C9" s="173"/>
      <c r="D9" s="173"/>
      <c r="E9" s="173"/>
      <c r="F9" s="173"/>
      <c r="G9" s="176"/>
    </row>
    <row r="10" spans="1:12">
      <c r="A10" s="169"/>
      <c r="B10" s="170"/>
      <c r="C10" s="170"/>
      <c r="D10" s="170"/>
      <c r="E10" s="170"/>
      <c r="F10" s="170"/>
      <c r="G10" s="175"/>
    </row>
    <row r="11" spans="1:12">
      <c r="A11" s="172"/>
      <c r="B11" s="173"/>
      <c r="C11" s="173"/>
      <c r="D11" s="173"/>
      <c r="E11" s="173"/>
      <c r="F11" s="173"/>
      <c r="G11" s="176"/>
    </row>
    <row r="12" spans="1:12">
      <c r="A12" s="169"/>
      <c r="B12" s="170"/>
      <c r="C12" s="170"/>
      <c r="D12" s="170"/>
      <c r="E12" s="170"/>
      <c r="F12" s="170"/>
      <c r="G12" s="175"/>
    </row>
    <row r="13" spans="1:12">
      <c r="A13" s="172"/>
      <c r="B13" s="173"/>
      <c r="C13" s="173"/>
      <c r="D13" s="173"/>
      <c r="E13" s="173"/>
      <c r="F13" s="173"/>
      <c r="G13" s="176"/>
    </row>
    <row r="14" spans="1:12">
      <c r="A14" s="169"/>
      <c r="B14" s="170"/>
      <c r="C14" s="170"/>
      <c r="D14" s="170"/>
      <c r="E14" s="170"/>
      <c r="F14" s="170"/>
      <c r="G14" s="175"/>
    </row>
    <row r="15" spans="1:12">
      <c r="A15" s="172"/>
      <c r="B15" s="173"/>
      <c r="C15" s="173"/>
      <c r="D15" s="173"/>
      <c r="E15" s="173"/>
      <c r="F15" s="173"/>
      <c r="G15" s="176"/>
    </row>
    <row r="16" spans="1:12">
      <c r="A16" s="169"/>
      <c r="B16" s="170"/>
      <c r="C16" s="170"/>
      <c r="D16" s="170"/>
      <c r="E16" s="170"/>
      <c r="F16" s="170"/>
      <c r="G16" s="175"/>
    </row>
    <row r="17" spans="1:7">
      <c r="A17" s="172"/>
      <c r="B17" s="173"/>
      <c r="C17" s="173"/>
      <c r="D17" s="173"/>
      <c r="E17" s="173"/>
      <c r="F17" s="173"/>
      <c r="G17" s="176"/>
    </row>
    <row r="18" spans="1:7">
      <c r="A18" s="169"/>
      <c r="B18" s="170"/>
      <c r="C18" s="170"/>
      <c r="D18" s="170"/>
      <c r="E18" s="170"/>
      <c r="F18" s="170"/>
      <c r="G18" s="175"/>
    </row>
    <row r="19" spans="1:7">
      <c r="A19" s="172"/>
      <c r="B19" s="173"/>
      <c r="C19" s="173"/>
      <c r="D19" s="173"/>
      <c r="E19" s="173"/>
      <c r="F19" s="173"/>
      <c r="G19" s="176"/>
    </row>
    <row r="20" spans="1:7">
      <c r="A20" s="169"/>
      <c r="B20" s="170"/>
      <c r="C20" s="170"/>
      <c r="D20" s="170"/>
      <c r="E20" s="170"/>
      <c r="F20" s="170"/>
      <c r="G20" s="175"/>
    </row>
    <row r="21" spans="1:7">
      <c r="A21" s="172"/>
      <c r="B21" s="173"/>
      <c r="C21" s="173"/>
      <c r="D21" s="173"/>
      <c r="E21" s="173"/>
      <c r="F21" s="173"/>
      <c r="G21" s="176"/>
    </row>
    <row r="22" spans="1:7">
      <c r="A22" s="169"/>
      <c r="B22" s="170"/>
      <c r="C22" s="170"/>
      <c r="D22" s="170"/>
      <c r="E22" s="170"/>
      <c r="F22" s="170"/>
      <c r="G22" s="175"/>
    </row>
    <row r="23" spans="1:7">
      <c r="A23" s="172"/>
      <c r="B23" s="173"/>
      <c r="C23" s="173"/>
      <c r="D23" s="173"/>
      <c r="E23" s="173"/>
      <c r="F23" s="173"/>
      <c r="G23" s="176"/>
    </row>
    <row r="24" spans="1:7">
      <c r="A24" s="169"/>
      <c r="B24" s="170"/>
      <c r="C24" s="170"/>
      <c r="D24" s="170"/>
      <c r="E24" s="170"/>
      <c r="F24" s="170"/>
      <c r="G24" s="175"/>
    </row>
    <row r="25" spans="1:7">
      <c r="A25" s="172"/>
      <c r="B25" s="173"/>
      <c r="C25" s="173"/>
      <c r="D25" s="173"/>
      <c r="E25" s="173"/>
      <c r="F25" s="173"/>
      <c r="G25" s="176"/>
    </row>
    <row r="26" spans="1:7">
      <c r="A26" s="169"/>
      <c r="B26" s="170"/>
      <c r="C26" s="170"/>
      <c r="D26" s="170"/>
      <c r="E26" s="170"/>
      <c r="F26" s="170"/>
      <c r="G26" s="175"/>
    </row>
    <row r="27" spans="1:7">
      <c r="A27" s="172"/>
      <c r="B27" s="173"/>
      <c r="C27" s="173"/>
      <c r="D27" s="173"/>
      <c r="E27" s="173"/>
      <c r="F27" s="173"/>
      <c r="G27" s="176"/>
    </row>
    <row r="28" spans="1:7">
      <c r="A28" s="169"/>
      <c r="B28" s="170"/>
      <c r="C28" s="170"/>
      <c r="D28" s="170"/>
      <c r="E28" s="170"/>
      <c r="F28" s="170"/>
      <c r="G28" s="175"/>
    </row>
    <row r="29" spans="1:7">
      <c r="A29" s="172"/>
      <c r="B29" s="173"/>
      <c r="C29" s="173"/>
      <c r="D29" s="173"/>
      <c r="E29" s="173"/>
      <c r="F29" s="173"/>
      <c r="G29" s="176"/>
    </row>
    <row r="30" spans="1:7">
      <c r="A30" s="169"/>
      <c r="B30" s="170"/>
      <c r="C30" s="170"/>
      <c r="D30" s="170"/>
      <c r="E30" s="170"/>
      <c r="F30" s="170"/>
      <c r="G30" s="175"/>
    </row>
    <row r="31" spans="1:7">
      <c r="A31" s="172"/>
      <c r="B31" s="173"/>
      <c r="C31" s="173"/>
      <c r="D31" s="173"/>
      <c r="E31" s="173"/>
      <c r="F31" s="173"/>
      <c r="G31" s="176"/>
    </row>
    <row r="32" ht="14.55" spans="1:7">
      <c r="A32" s="178"/>
      <c r="B32" s="179"/>
      <c r="C32" s="179"/>
      <c r="D32" s="179"/>
      <c r="E32" s="179"/>
      <c r="F32" s="179"/>
      <c r="G32" s="180"/>
    </row>
  </sheetData>
  <mergeCells count="1">
    <mergeCell ref="A1:G1"/>
  </mergeCells>
  <dataValidations count="3">
    <dataValidation type="list" allowBlank="1" sqref="B3:B100">
      <formula1>"Discount (early bird/loyal),Refund,Exhibition cut,Partnership"</formula1>
    </dataValidation>
    <dataValidation type="list" allowBlank="1" sqref="F3:F100">
      <formula1>"Danny,Nicole"</formula1>
    </dataValidation>
    <dataValidation type="list" allowBlank="1" sqref="G3:G100">
      <formula1>"Requested,Approved,Rejected"</formula1>
    </dataValidation>
  </dataValidations>
  <pageMargins left="0.75" right="0.75" top="1" bottom="1" header="0.5" footer="0.5"/>
  <pageSetup paperSize="1" fitToHeight="0" orientation="landscape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0000"/>
    <pageSetUpPr fitToPage="1"/>
  </sheetPr>
  <dimension ref="A1:E7"/>
  <sheetViews>
    <sheetView showGridLines="0" workbookViewId="0">
      <pane ySplit="2" topLeftCell="A3" activePane="bottomLeft" state="frozen"/>
      <selection/>
      <selection pane="bottomLeft" activeCell="E1" sqref="E1"/>
    </sheetView>
  </sheetViews>
  <sheetFormatPr defaultColWidth="9" defaultRowHeight="13.8" outlineLevelRow="6" outlineLevelCol="4"/>
  <cols>
    <col min="1" max="1" width="30.7777777777778" style="1" customWidth="1"/>
    <col min="2" max="2" width="12" style="1" customWidth="1"/>
    <col min="3" max="3" width="13" style="1" customWidth="1"/>
    <col min="4" max="4" width="14.4444444444444" style="1" customWidth="1"/>
    <col min="5" max="16384" width="9" style="1" customWidth="1"/>
  </cols>
  <sheetData>
    <row r="1" ht="30" customHeight="1" spans="1:5">
      <c r="A1" s="129" t="s">
        <v>425</v>
      </c>
      <c r="B1" s="130"/>
      <c r="C1" s="130"/>
      <c r="D1" s="131"/>
      <c r="E1" s="46" t="str">
        <f>HYPERLINK("#'Cover'!A1","←")</f>
        <v>←</v>
      </c>
    </row>
    <row r="2" spans="1:5">
      <c r="A2" s="132" t="s">
        <v>426</v>
      </c>
      <c r="B2" s="7" t="s">
        <v>136</v>
      </c>
      <c r="C2" s="7" t="s">
        <v>191</v>
      </c>
      <c r="D2" s="115" t="s">
        <v>155</v>
      </c>
    </row>
    <row r="3" spans="1:5">
      <c r="A3" s="133" t="s">
        <v>427</v>
      </c>
      <c r="B3" s="142"/>
      <c r="C3" s="134" t="s">
        <v>82</v>
      </c>
      <c r="D3" s="135" t="s">
        <v>82</v>
      </c>
    </row>
    <row r="4" spans="1:5">
      <c r="A4" s="136" t="s">
        <v>428</v>
      </c>
      <c r="B4" s="143"/>
      <c r="C4" s="137" t="s">
        <v>82</v>
      </c>
      <c r="D4" s="138" t="s">
        <v>82</v>
      </c>
    </row>
    <row r="5" spans="1:5">
      <c r="A5" s="133" t="s">
        <v>429</v>
      </c>
      <c r="B5" s="142"/>
      <c r="C5" s="134" t="s">
        <v>82</v>
      </c>
      <c r="D5" s="135" t="s">
        <v>82</v>
      </c>
    </row>
    <row r="6" spans="1:5">
      <c r="A6" s="136" t="s">
        <v>430</v>
      </c>
      <c r="B6" s="143"/>
      <c r="C6" s="137" t="s">
        <v>82</v>
      </c>
      <c r="D6" s="138" t="s">
        <v>82</v>
      </c>
    </row>
    <row r="7" ht="14.55" spans="1:5">
      <c r="A7" s="154" t="s">
        <v>431</v>
      </c>
      <c r="B7" s="156"/>
      <c r="C7" s="155" t="s">
        <v>82</v>
      </c>
      <c r="D7" s="158" t="s">
        <v>82</v>
      </c>
    </row>
  </sheetData>
  <mergeCells count="1">
    <mergeCell ref="A1:D1"/>
  </mergeCells>
  <pageMargins left="0.75" right="0.75" top="1" bottom="1" header="0.5" footer="0.5"/>
  <pageSetup paperSize="1" fitToHeight="0" orientation="landscape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6F00"/>
    <pageSetUpPr fitToPage="1"/>
  </sheetPr>
  <dimension ref="A1:J17"/>
  <sheetViews>
    <sheetView showGridLines="0" workbookViewId="0">
      <pane ySplit="2" topLeftCell="A3" activePane="bottomLeft" state="frozen"/>
      <selection/>
      <selection pane="bottomLeft" activeCell="J1" sqref="J1"/>
    </sheetView>
  </sheetViews>
  <sheetFormatPr defaultColWidth="9" defaultRowHeight="13.8"/>
  <cols>
    <col min="1" max="1" width="5.88888888888889" style="67" customWidth="1"/>
    <col min="2" max="2" width="27.2222222222222" style="67" customWidth="1"/>
    <col min="3" max="3" width="13" style="67" customWidth="1"/>
    <col min="4" max="4" width="18.5555555555556" style="67" customWidth="1"/>
    <col min="5" max="5" width="9.66666666666667" style="67" customWidth="1"/>
    <col min="6" max="6" width="5.22222222222222" style="67" customWidth="1"/>
    <col min="7" max="7" width="36.2222222222222" style="67" customWidth="1"/>
    <col min="8" max="8" width="30.7777777777778" style="67" customWidth="1"/>
    <col min="9" max="9" width="6.33333333333333" style="67" customWidth="1"/>
    <col min="10" max="16384" width="9" style="1" customWidth="1"/>
  </cols>
  <sheetData>
    <row r="1" ht="30" customHeight="1" spans="1:10">
      <c r="A1" s="129" t="s">
        <v>432</v>
      </c>
      <c r="B1" s="130"/>
      <c r="C1" s="130"/>
      <c r="D1" s="130"/>
      <c r="E1" s="130"/>
      <c r="F1" s="130"/>
      <c r="G1" s="130"/>
      <c r="H1" s="130"/>
      <c r="I1" s="131"/>
      <c r="J1" s="46" t="str">
        <f>HYPERLINK("#'Cover'!A1","←")</f>
        <v>←</v>
      </c>
    </row>
    <row r="2" ht="30" customHeight="1" spans="1:10">
      <c r="A2" s="132" t="s">
        <v>247</v>
      </c>
      <c r="B2" s="7" t="s">
        <v>48</v>
      </c>
      <c r="C2" s="7" t="s">
        <v>433</v>
      </c>
      <c r="D2" s="7" t="s">
        <v>434</v>
      </c>
      <c r="E2" s="7" t="s">
        <v>435</v>
      </c>
      <c r="F2" s="7" t="s">
        <v>159</v>
      </c>
      <c r="G2" s="7" t="s">
        <v>50</v>
      </c>
      <c r="H2" s="7" t="s">
        <v>436</v>
      </c>
      <c r="I2" s="115" t="s">
        <v>132</v>
      </c>
    </row>
    <row r="3" spans="1:10">
      <c r="A3" s="133" t="s">
        <v>437</v>
      </c>
      <c r="B3" s="134" t="s">
        <v>438</v>
      </c>
      <c r="C3" s="134" t="s">
        <v>439</v>
      </c>
      <c r="D3" s="134" t="s">
        <v>440</v>
      </c>
      <c r="E3" s="134" t="s">
        <v>441</v>
      </c>
      <c r="F3" s="142">
        <f ca="1">IF(F3="","",VLOOKUP(F3,Scripts!A$3:D$20,3,FALSE))</f>
        <v>0</v>
      </c>
      <c r="G3" s="134" t="s">
        <v>442</v>
      </c>
      <c r="H3" s="134" t="s">
        <v>443</v>
      </c>
      <c r="I3" s="135" t="s">
        <v>444</v>
      </c>
    </row>
    <row r="4" spans="1:10">
      <c r="A4" s="136" t="s">
        <v>445</v>
      </c>
      <c r="B4" s="137" t="s">
        <v>446</v>
      </c>
      <c r="C4" s="137" t="s">
        <v>447</v>
      </c>
      <c r="D4" s="137" t="s">
        <v>448</v>
      </c>
      <c r="E4" s="137" t="s">
        <v>441</v>
      </c>
      <c r="F4" s="143">
        <f ca="1">IF(F4="","",VLOOKUP(F4,Scripts!A$3:D$20,3,FALSE))</f>
        <v>0</v>
      </c>
      <c r="G4" s="137" t="s">
        <v>449</v>
      </c>
      <c r="H4" s="143"/>
      <c r="I4" s="138" t="s">
        <v>444</v>
      </c>
    </row>
    <row r="5" spans="1:10">
      <c r="A5" s="133" t="s">
        <v>450</v>
      </c>
      <c r="B5" s="134" t="s">
        <v>451</v>
      </c>
      <c r="C5" s="134" t="s">
        <v>452</v>
      </c>
      <c r="D5" s="134" t="s">
        <v>440</v>
      </c>
      <c r="E5" s="134" t="s">
        <v>441</v>
      </c>
      <c r="F5" s="142">
        <f ca="1">IF(F5="","",VLOOKUP(F5,Scripts!A$3:D$20,3,FALSE))</f>
        <v>0</v>
      </c>
      <c r="G5" s="134" t="s">
        <v>453</v>
      </c>
      <c r="H5" s="142"/>
      <c r="I5" s="144"/>
    </row>
    <row r="6" spans="1:10">
      <c r="A6" s="136" t="s">
        <v>454</v>
      </c>
      <c r="B6" s="137" t="s">
        <v>455</v>
      </c>
      <c r="C6" s="137" t="s">
        <v>456</v>
      </c>
      <c r="D6" s="137" t="s">
        <v>457</v>
      </c>
      <c r="E6" s="137" t="s">
        <v>441</v>
      </c>
      <c r="F6" s="143">
        <f ca="1">IF(F6="","",VLOOKUP(F6,Scripts!A$3:D$20,3,FALSE))</f>
        <v>0</v>
      </c>
      <c r="G6" s="137" t="s">
        <v>458</v>
      </c>
      <c r="H6" s="143"/>
      <c r="I6" s="145"/>
    </row>
    <row r="7" spans="1:10">
      <c r="A7" s="133" t="s">
        <v>459</v>
      </c>
      <c r="B7" s="134" t="s">
        <v>460</v>
      </c>
      <c r="C7" s="134" t="s">
        <v>461</v>
      </c>
      <c r="D7" s="134" t="s">
        <v>462</v>
      </c>
      <c r="E7" s="134" t="s">
        <v>441</v>
      </c>
      <c r="F7" s="142">
        <f ca="1">IF(F7="","",VLOOKUP(F7,Scripts!A$3:D$20,3,FALSE))</f>
        <v>0</v>
      </c>
      <c r="G7" s="134" t="s">
        <v>463</v>
      </c>
      <c r="H7" s="142"/>
      <c r="I7" s="144"/>
    </row>
    <row r="8" spans="1:10">
      <c r="A8" s="136" t="s">
        <v>464</v>
      </c>
      <c r="B8" s="137" t="s">
        <v>465</v>
      </c>
      <c r="C8" s="137" t="s">
        <v>466</v>
      </c>
      <c r="D8" s="137" t="s">
        <v>467</v>
      </c>
      <c r="E8" s="137" t="s">
        <v>441</v>
      </c>
      <c r="F8" s="143">
        <f ca="1">IF(F8="","",VLOOKUP(F8,Scripts!A$3:D$20,3,FALSE))</f>
        <v>0</v>
      </c>
      <c r="G8" s="137" t="s">
        <v>468</v>
      </c>
      <c r="H8" s="143"/>
      <c r="I8" s="145"/>
    </row>
    <row r="9" spans="1:10">
      <c r="A9" s="133" t="s">
        <v>469</v>
      </c>
      <c r="B9" s="134" t="s">
        <v>470</v>
      </c>
      <c r="C9" s="134" t="s">
        <v>471</v>
      </c>
      <c r="D9" s="134" t="s">
        <v>440</v>
      </c>
      <c r="E9" s="134" t="s">
        <v>441</v>
      </c>
      <c r="F9" s="142">
        <f ca="1">IF(F9="","",VLOOKUP(F9,Scripts!A$3:D$20,3,FALSE))</f>
        <v>0</v>
      </c>
      <c r="G9" s="134" t="s">
        <v>472</v>
      </c>
      <c r="H9" s="142"/>
      <c r="I9" s="144"/>
    </row>
    <row r="10" ht="27.6" spans="1:10">
      <c r="A10" s="136" t="s">
        <v>473</v>
      </c>
      <c r="B10" s="137" t="s">
        <v>474</v>
      </c>
      <c r="C10" s="137" t="s">
        <v>475</v>
      </c>
      <c r="D10" s="137" t="s">
        <v>440</v>
      </c>
      <c r="E10" s="137" t="s">
        <v>441</v>
      </c>
      <c r="F10" s="143">
        <f ca="1">IF(F10="","",VLOOKUP(F10,Scripts!A$3:D$20,3,FALSE))</f>
        <v>0</v>
      </c>
      <c r="G10" s="137" t="s">
        <v>476</v>
      </c>
      <c r="H10" s="143"/>
      <c r="I10" s="145"/>
    </row>
    <row r="11" ht="27.6" spans="1:10">
      <c r="A11" s="133" t="s">
        <v>477</v>
      </c>
      <c r="B11" s="134" t="s">
        <v>478</v>
      </c>
      <c r="C11" s="134" t="s">
        <v>479</v>
      </c>
      <c r="D11" s="134" t="s">
        <v>480</v>
      </c>
      <c r="E11" s="134" t="s">
        <v>441</v>
      </c>
      <c r="F11" s="142">
        <f ca="1">IF(F11="","",VLOOKUP(F11,Scripts!A$3:D$60,3,FALSE))</f>
        <v>0</v>
      </c>
      <c r="G11" s="134" t="s">
        <v>481</v>
      </c>
      <c r="H11" s="142"/>
      <c r="I11" s="144"/>
    </row>
    <row r="12" ht="27.6" spans="1:10">
      <c r="A12" s="136" t="s">
        <v>482</v>
      </c>
      <c r="B12" s="137" t="s">
        <v>460</v>
      </c>
      <c r="C12" s="137" t="s">
        <v>483</v>
      </c>
      <c r="D12" s="137" t="s">
        <v>484</v>
      </c>
      <c r="E12" s="137" t="s">
        <v>441</v>
      </c>
      <c r="F12" s="143">
        <f ca="1">IF(F12="","",VLOOKUP(F12,Scripts!A$3:D$60,3,FALSE))</f>
        <v>0</v>
      </c>
      <c r="G12" s="137" t="s">
        <v>463</v>
      </c>
      <c r="H12" s="143"/>
      <c r="I12" s="145"/>
    </row>
    <row r="13" ht="27.6" spans="1:10">
      <c r="A13" s="133" t="s">
        <v>485</v>
      </c>
      <c r="B13" s="134" t="s">
        <v>486</v>
      </c>
      <c r="C13" s="134" t="s">
        <v>487</v>
      </c>
      <c r="D13" s="134" t="s">
        <v>480</v>
      </c>
      <c r="E13" s="134" t="s">
        <v>441</v>
      </c>
      <c r="F13" s="142">
        <f ca="1">IF(F13="","",VLOOKUP(F13,Scripts!A$3:D$60,3,FALSE))</f>
        <v>0</v>
      </c>
      <c r="G13" s="134" t="s">
        <v>488</v>
      </c>
      <c r="H13" s="142"/>
      <c r="I13" s="144"/>
    </row>
    <row r="14" spans="1:10">
      <c r="A14" s="146" t="s">
        <v>489</v>
      </c>
      <c r="B14" s="147" t="s">
        <v>490</v>
      </c>
      <c r="C14" s="147" t="s">
        <v>491</v>
      </c>
      <c r="D14" s="147" t="s">
        <v>492</v>
      </c>
      <c r="E14" s="147" t="s">
        <v>441</v>
      </c>
      <c r="F14" s="148">
        <f ca="1">IF(F14="","",VLOOKUP(F14,Scripts!A$3:D$60,3,FALSE))</f>
        <v>0</v>
      </c>
      <c r="G14" s="147" t="s">
        <v>493</v>
      </c>
      <c r="H14" s="148"/>
      <c r="I14" s="149" t="s">
        <v>444</v>
      </c>
    </row>
    <row r="15" spans="1:10">
      <c r="A15" s="150" t="s">
        <v>494</v>
      </c>
      <c r="B15" s="151" t="s">
        <v>495</v>
      </c>
      <c r="C15" s="151" t="s">
        <v>496</v>
      </c>
      <c r="D15" s="151" t="s">
        <v>497</v>
      </c>
      <c r="E15" s="151" t="s">
        <v>441</v>
      </c>
      <c r="F15" s="152">
        <f ca="1">IF(F15="","",VLOOKUP(F15,Scripts!A$3:D$60,3,FALSE))</f>
        <v>0</v>
      </c>
      <c r="G15" s="151" t="s">
        <v>498</v>
      </c>
      <c r="H15" s="152"/>
      <c r="I15" s="153"/>
    </row>
    <row r="16" spans="1:10">
      <c r="A16" s="136" t="s">
        <v>499</v>
      </c>
      <c r="B16" s="137" t="s">
        <v>500</v>
      </c>
      <c r="C16" s="137" t="s">
        <v>501</v>
      </c>
      <c r="D16" s="137" t="s">
        <v>467</v>
      </c>
      <c r="E16" s="137" t="s">
        <v>441</v>
      </c>
      <c r="F16" s="143">
        <f ca="1">IF(F16="","",VLOOKUP(F16,Scripts!A$3:D$60,3,FALSE))</f>
        <v>0</v>
      </c>
      <c r="G16" s="137" t="s">
        <v>502</v>
      </c>
      <c r="H16" s="143"/>
      <c r="I16" s="145"/>
    </row>
    <row r="17" ht="14.55" spans="1:9">
      <c r="A17" s="154" t="s">
        <v>503</v>
      </c>
      <c r="B17" s="155" t="s">
        <v>504</v>
      </c>
      <c r="C17" s="155" t="s">
        <v>199</v>
      </c>
      <c r="D17" s="155" t="s">
        <v>467</v>
      </c>
      <c r="E17" s="155" t="s">
        <v>441</v>
      </c>
      <c r="F17" s="156">
        <f ca="1">IF(F17="","",VLOOKUP(F17,Scripts!A$3:D$60,3,FALSE))</f>
        <v>0</v>
      </c>
      <c r="G17" s="155" t="s">
        <v>505</v>
      </c>
      <c r="H17" s="156"/>
      <c r="I17" s="157"/>
    </row>
  </sheetData>
  <mergeCells count="1">
    <mergeCell ref="A1:I1"/>
  </mergeCells>
  <dataValidations count="1">
    <dataValidation type="list" allowBlank="1" sqref="I3:I100">
      <formula1>"Ready,To add,In design"</formula1>
    </dataValidation>
  </dataValidations>
  <pageMargins left="0.75" right="0.75" top="1" bottom="1" header="0.5" footer="0.5"/>
  <pageSetup paperSize="1" scale="78" fitToHeight="0" orientation="landscape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2A4A"/>
    <pageSetUpPr fitToPage="1"/>
  </sheetPr>
  <dimension ref="A1:D8"/>
  <sheetViews>
    <sheetView showGridLines="0" workbookViewId="0">
      <pane ySplit="2" topLeftCell="A3" activePane="bottomLeft" state="frozen"/>
      <selection/>
      <selection pane="bottomLeft" activeCell="D1" sqref="D1"/>
    </sheetView>
  </sheetViews>
  <sheetFormatPr defaultColWidth="9" defaultRowHeight="13.8" outlineLevelRow="7" outlineLevelCol="3"/>
  <cols>
    <col min="1" max="1" width="17.2222222222222" style="1" customWidth="1"/>
    <col min="2" max="2" width="82.2222222222222" style="1" customWidth="1"/>
    <col min="3" max="3" width="18" style="1" customWidth="1"/>
    <col min="4" max="16384" width="9" style="1" customWidth="1"/>
  </cols>
  <sheetData>
    <row r="1" ht="30" customHeight="1" spans="1:4">
      <c r="A1" s="129" t="s">
        <v>506</v>
      </c>
      <c r="B1" s="130"/>
      <c r="C1" s="131"/>
      <c r="D1" s="46" t="str">
        <f>HYPERLINK("#'Cover'!A1","←")</f>
        <v>←</v>
      </c>
    </row>
    <row r="2" ht="30" customHeight="1" spans="1:4">
      <c r="A2" s="132" t="s">
        <v>48</v>
      </c>
      <c r="B2" s="7" t="s">
        <v>507</v>
      </c>
      <c r="C2" s="115" t="s">
        <v>132</v>
      </c>
    </row>
    <row r="3" spans="1:4">
      <c r="A3" s="133" t="s">
        <v>508</v>
      </c>
      <c r="B3" s="134" t="s">
        <v>509</v>
      </c>
      <c r="C3" s="135" t="s">
        <v>510</v>
      </c>
    </row>
    <row r="4" spans="1:4">
      <c r="A4" s="136" t="s">
        <v>511</v>
      </c>
      <c r="B4" s="137" t="s">
        <v>512</v>
      </c>
      <c r="C4" s="138" t="s">
        <v>513</v>
      </c>
    </row>
    <row r="5" spans="1:4">
      <c r="A5" s="133" t="s">
        <v>514</v>
      </c>
      <c r="B5" s="134" t="s">
        <v>515</v>
      </c>
      <c r="C5" s="135" t="s">
        <v>510</v>
      </c>
    </row>
    <row r="6" spans="1:4">
      <c r="A6" s="136" t="s">
        <v>516</v>
      </c>
      <c r="B6" s="137" t="s">
        <v>509</v>
      </c>
      <c r="C6" s="138" t="s">
        <v>447</v>
      </c>
    </row>
    <row r="7" spans="1:4">
      <c r="A7" s="133" t="s">
        <v>517</v>
      </c>
      <c r="B7" s="134" t="s">
        <v>518</v>
      </c>
      <c r="C7" s="135" t="s">
        <v>456</v>
      </c>
    </row>
    <row r="8" ht="14.55" spans="1:4">
      <c r="A8" s="139" t="s">
        <v>519</v>
      </c>
      <c r="B8" s="140" t="s">
        <v>520</v>
      </c>
      <c r="C8" s="141" t="s">
        <v>510</v>
      </c>
    </row>
  </sheetData>
  <mergeCells count="1">
    <mergeCell ref="A1:C1"/>
  </mergeCells>
  <pageMargins left="0.75" right="0.75" top="1" bottom="1" header="0.5" footer="0.5"/>
  <pageSetup paperSize="1" scale="97" fitToHeight="0" orientation="landscape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474F"/>
    <pageSetUpPr fitToPage="1"/>
  </sheetPr>
  <dimension ref="A1:G10"/>
  <sheetViews>
    <sheetView showGridLines="0" workbookViewId="0">
      <pane ySplit="2" topLeftCell="A3" activePane="bottomLeft" state="frozen"/>
      <selection/>
      <selection pane="bottomLeft" activeCell="G1" sqref="G1"/>
    </sheetView>
  </sheetViews>
  <sheetFormatPr defaultColWidth="9" defaultRowHeight="13.8" outlineLevelCol="6"/>
  <cols>
    <col min="1" max="1" width="8.55555555555556" style="67" customWidth="1"/>
    <col min="2" max="2" width="22.3333333333333" style="67" customWidth="1"/>
    <col min="3" max="3" width="21.8888888888889" style="67" customWidth="1"/>
    <col min="4" max="4" width="14" style="67" customWidth="1"/>
    <col min="5" max="5" width="14.8888888888889" style="67" customWidth="1"/>
    <col min="6" max="6" width="19.6666666666667" style="67" customWidth="1"/>
    <col min="7" max="16384" width="9" style="1" customWidth="1"/>
  </cols>
  <sheetData>
    <row r="1" ht="30" customHeight="1" spans="1:7">
      <c r="A1" s="129" t="s">
        <v>521</v>
      </c>
      <c r="B1" s="130"/>
      <c r="C1" s="130"/>
      <c r="D1" s="130"/>
      <c r="E1" s="130"/>
      <c r="F1" s="131"/>
      <c r="G1" s="46" t="str">
        <f>HYPERLINK("#'Cover'!A1","←")</f>
        <v>←</v>
      </c>
    </row>
    <row r="2" ht="30" customHeight="1" spans="1:7">
      <c r="A2" s="132" t="s">
        <v>247</v>
      </c>
      <c r="B2" s="7" t="s">
        <v>522</v>
      </c>
      <c r="C2" s="7" t="s">
        <v>523</v>
      </c>
      <c r="D2" s="7" t="s">
        <v>524</v>
      </c>
      <c r="E2" s="7" t="s">
        <v>132</v>
      </c>
      <c r="F2" s="115" t="s">
        <v>50</v>
      </c>
    </row>
    <row r="3" spans="1:7">
      <c r="A3" s="133" t="s">
        <v>525</v>
      </c>
      <c r="B3" s="134" t="s">
        <v>478</v>
      </c>
      <c r="C3" s="134" t="s">
        <v>526</v>
      </c>
      <c r="D3" s="134" t="s">
        <v>170</v>
      </c>
      <c r="E3" s="134" t="s">
        <v>447</v>
      </c>
      <c r="F3" s="135" t="s">
        <v>527</v>
      </c>
    </row>
    <row r="4" spans="1:7">
      <c r="A4" s="136" t="s">
        <v>528</v>
      </c>
      <c r="B4" s="137" t="s">
        <v>460</v>
      </c>
      <c r="C4" s="137" t="s">
        <v>463</v>
      </c>
      <c r="D4" s="137" t="s">
        <v>403</v>
      </c>
      <c r="E4" s="137" t="s">
        <v>447</v>
      </c>
      <c r="F4" s="138" t="s">
        <v>529</v>
      </c>
    </row>
    <row r="5" spans="1:7">
      <c r="A5" s="133" t="s">
        <v>530</v>
      </c>
      <c r="B5" s="134" t="s">
        <v>486</v>
      </c>
      <c r="C5" s="134" t="s">
        <v>488</v>
      </c>
      <c r="D5" s="134" t="s">
        <v>355</v>
      </c>
      <c r="E5" s="134" t="s">
        <v>447</v>
      </c>
      <c r="F5" s="135" t="s">
        <v>531</v>
      </c>
    </row>
    <row r="6" spans="1:7">
      <c r="A6" s="136" t="s">
        <v>532</v>
      </c>
      <c r="B6" s="137" t="s">
        <v>451</v>
      </c>
      <c r="C6" s="137" t="s">
        <v>533</v>
      </c>
      <c r="D6" s="137" t="s">
        <v>20</v>
      </c>
      <c r="E6" s="137" t="s">
        <v>452</v>
      </c>
      <c r="F6" s="138" t="s">
        <v>534</v>
      </c>
    </row>
    <row r="7" spans="1:7">
      <c r="A7" s="133" t="s">
        <v>535</v>
      </c>
      <c r="B7" s="134" t="s">
        <v>536</v>
      </c>
      <c r="C7" s="134" t="s">
        <v>449</v>
      </c>
      <c r="D7" s="134" t="s">
        <v>537</v>
      </c>
      <c r="E7" s="134" t="s">
        <v>538</v>
      </c>
      <c r="F7" s="135" t="s">
        <v>539</v>
      </c>
    </row>
    <row r="8" spans="1:7">
      <c r="A8" s="136" t="s">
        <v>540</v>
      </c>
      <c r="B8" s="137" t="s">
        <v>438</v>
      </c>
      <c r="C8" s="137" t="s">
        <v>541</v>
      </c>
      <c r="D8" s="137" t="s">
        <v>126</v>
      </c>
      <c r="E8" s="137" t="s">
        <v>444</v>
      </c>
      <c r="F8" s="138" t="s">
        <v>539</v>
      </c>
    </row>
    <row r="9" spans="1:7">
      <c r="A9" s="133" t="s">
        <v>542</v>
      </c>
      <c r="B9" s="134" t="s">
        <v>455</v>
      </c>
      <c r="C9" s="134" t="s">
        <v>543</v>
      </c>
      <c r="D9" s="134" t="s">
        <v>544</v>
      </c>
      <c r="E9" s="134" t="s">
        <v>447</v>
      </c>
      <c r="F9" s="135" t="s">
        <v>545</v>
      </c>
    </row>
    <row r="10" ht="14.55" customHeight="1" spans="1:7">
      <c r="A10" s="139" t="s">
        <v>546</v>
      </c>
      <c r="B10" s="140" t="s">
        <v>547</v>
      </c>
      <c r="C10" s="140" t="s">
        <v>548</v>
      </c>
      <c r="D10" s="140" t="s">
        <v>355</v>
      </c>
      <c r="E10" s="140" t="s">
        <v>447</v>
      </c>
      <c r="F10" s="141" t="s">
        <v>549</v>
      </c>
    </row>
  </sheetData>
  <mergeCells count="1">
    <mergeCell ref="A1:F1"/>
  </mergeCells>
  <dataValidations count="1">
    <dataValidation type="list" allowBlank="1" sqref="E3:E30">
      <formula1>"Ready,To design,In design,Final"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71C1C"/>
    <pageSetUpPr fitToPage="1"/>
  </sheetPr>
  <dimension ref="A1:D1"/>
  <sheetViews>
    <sheetView showGridLines="0" workbookViewId="0">
      <selection activeCell="B1" sqref="B1"/>
    </sheetView>
  </sheetViews>
  <sheetFormatPr defaultColWidth="9" defaultRowHeight="15.6" outlineLevelCol="3"/>
  <cols>
    <col min="1" max="1" width="97.4444444444444" style="125" customWidth="1"/>
    <col min="2" max="2" width="6" style="125" customWidth="1"/>
    <col min="3" max="16384" width="9" style="125" customWidth="1"/>
  </cols>
  <sheetData>
    <row r="1" spans="1:4">
      <c r="A1" s="126" t="s">
        <v>550</v>
      </c>
      <c r="B1" s="127" t="str">
        <f>HYPERLINK("#'Cover'!A1","←")</f>
        <v>←</v>
      </c>
      <c r="D1" s="128"/>
    </row>
  </sheetData>
  <pageMargins left="0.75" right="0.75" top="1" bottom="1" header="0.5" footer="0.5"/>
  <pageSetup paperSize="1" scale="88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6F00"/>
    <pageSetUpPr fitToPage="1"/>
  </sheetPr>
  <dimension ref="A1:E1"/>
  <sheetViews>
    <sheetView showGridLines="0" workbookViewId="0">
      <selection activeCell="B1" sqref="B1"/>
    </sheetView>
  </sheetViews>
  <sheetFormatPr defaultColWidth="9" defaultRowHeight="14.4" outlineLevelCol="4"/>
  <cols>
    <col min="1" max="1" width="101.222222222222" style="111" customWidth="1"/>
    <col min="2" max="2" width="6" style="111" customWidth="1"/>
    <col min="3" max="16384" width="9" style="111" customWidth="1"/>
  </cols>
  <sheetData>
    <row r="1" ht="15.6" spans="1:5">
      <c r="A1" s="112" t="s">
        <v>551</v>
      </c>
      <c r="B1" s="113" t="str">
        <f>HYPERLINK("#'Cover'!A1","←")</f>
        <v>←</v>
      </c>
      <c r="C1" s="114"/>
      <c r="E1" s="114"/>
    </row>
  </sheetData>
  <pageMargins left="0.75" right="0.75" top="1" bottom="1" header="0.5" footer="0.5"/>
  <pageSetup paperSize="1" scale="76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48FB1"/>
    <pageSetUpPr fitToPage="1"/>
  </sheetPr>
  <dimension ref="A1:E1"/>
  <sheetViews>
    <sheetView showGridLines="0" workbookViewId="0">
      <selection activeCell="B1" sqref="B1"/>
    </sheetView>
  </sheetViews>
  <sheetFormatPr defaultColWidth="9" defaultRowHeight="14.4" outlineLevelCol="4"/>
  <cols>
    <col min="1" max="1" width="100.888888888889" style="111" customWidth="1"/>
    <col min="2" max="2" width="6" style="111" customWidth="1"/>
    <col min="3" max="16384" width="9" style="111" customWidth="1"/>
  </cols>
  <sheetData>
    <row r="1" ht="15.6" spans="1:5">
      <c r="A1" s="112" t="s">
        <v>552</v>
      </c>
      <c r="B1" s="113" t="str">
        <f>HYPERLINK("#'Cover'!A1","←")</f>
        <v>←</v>
      </c>
      <c r="C1" s="114"/>
      <c r="E1" s="114"/>
    </row>
  </sheetData>
  <pageMargins left="0.75" right="0.75" top="1" bottom="1" header="0.5" footer="0.5"/>
  <pageSetup paperSize="1" scale="78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A3A3"/>
    <pageSetUpPr fitToPage="1"/>
  </sheetPr>
  <dimension ref="A1:E1"/>
  <sheetViews>
    <sheetView showGridLines="0" workbookViewId="0">
      <selection activeCell="B1" sqref="B1"/>
    </sheetView>
  </sheetViews>
  <sheetFormatPr defaultColWidth="9" defaultRowHeight="14.4" outlineLevelCol="4"/>
  <cols>
    <col min="1" max="1" width="75" style="111" customWidth="1"/>
    <col min="2" max="2" width="6" style="111" customWidth="1"/>
    <col min="3" max="16383" width="9" style="111" customWidth="1"/>
  </cols>
  <sheetData>
    <row r="1" ht="15.6" customHeight="1" spans="1:5">
      <c r="A1" s="124" t="s">
        <v>553</v>
      </c>
      <c r="B1" s="113" t="str">
        <f>HYPERLINK("#'Cover'!A1","←")</f>
        <v>←</v>
      </c>
      <c r="C1" s="114"/>
      <c r="E1" s="114"/>
    </row>
  </sheetData>
  <pageMargins left="0.75" right="0.75" top="1" bottom="1" header="0.5" footer="0.5"/>
  <pageSetup paperSize="9" orientation="portrait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695C"/>
    <pageSetUpPr fitToPage="1"/>
  </sheetPr>
  <dimension ref="A1:L62"/>
  <sheetViews>
    <sheetView showGridLines="0" workbookViewId="0">
      <pane ySplit="2" topLeftCell="A3" activePane="bottomLeft" state="frozen"/>
      <selection/>
      <selection pane="bottomLeft" activeCell="L1" sqref="L1"/>
    </sheetView>
  </sheetViews>
  <sheetFormatPr defaultColWidth="9" defaultRowHeight="13.8"/>
  <cols>
    <col min="1" max="1" width="12.4444444444444" style="1" customWidth="1"/>
    <col min="2" max="2" width="67.6666666666667" style="1" customWidth="1"/>
    <col min="3" max="3" width="9.44444444444444" style="1" customWidth="1"/>
    <col min="4" max="5" width="7.33333333333333" style="1" customWidth="1"/>
    <col min="6" max="6" width="8.22222222222222" style="1" customWidth="1"/>
    <col min="7" max="7" width="6.22222222222222" style="1" customWidth="1"/>
    <col min="8" max="9" width="7" style="1" customWidth="1"/>
    <col min="10" max="10" width="6.55555555555556" style="1" customWidth="1"/>
    <col min="11" max="11" width="9.44444444444444" style="1" customWidth="1"/>
    <col min="12" max="16384" width="9" style="1" customWidth="1"/>
  </cols>
  <sheetData>
    <row r="1" ht="30" customHeight="1" spans="1:12">
      <c r="A1" s="2" t="s">
        <v>554</v>
      </c>
      <c r="B1" s="61"/>
      <c r="C1" s="61"/>
      <c r="D1" s="61"/>
      <c r="E1" s="61"/>
      <c r="F1" s="61"/>
      <c r="G1" s="61"/>
      <c r="H1" s="61"/>
      <c r="I1" s="61"/>
      <c r="J1" s="61"/>
      <c r="K1" s="62"/>
      <c r="L1" s="5" t="str">
        <f>HYPERLINK("#'Cover'!A1","←")</f>
        <v>←</v>
      </c>
    </row>
    <row r="2" spans="1:12">
      <c r="A2" s="6" t="s">
        <v>180</v>
      </c>
      <c r="B2" s="7" t="s">
        <v>555</v>
      </c>
      <c r="C2" s="7" t="s">
        <v>556</v>
      </c>
      <c r="D2" s="7" t="s">
        <v>557</v>
      </c>
      <c r="E2" s="7" t="s">
        <v>558</v>
      </c>
      <c r="F2" s="7" t="s">
        <v>320</v>
      </c>
      <c r="G2" s="7" t="s">
        <v>136</v>
      </c>
      <c r="H2" s="7" t="s">
        <v>559</v>
      </c>
      <c r="I2" s="115" t="s">
        <v>560</v>
      </c>
      <c r="J2" s="7" t="s">
        <v>561</v>
      </c>
      <c r="K2" s="8" t="s">
        <v>562</v>
      </c>
    </row>
    <row r="3" spans="1:12">
      <c r="A3" s="116" t="s">
        <v>563</v>
      </c>
      <c r="B3" s="10" t="s">
        <v>564</v>
      </c>
      <c r="C3" s="10" t="s">
        <v>563</v>
      </c>
      <c r="D3" s="10" t="s">
        <v>374</v>
      </c>
      <c r="E3" s="10" t="s">
        <v>374</v>
      </c>
      <c r="F3" s="10" t="s">
        <v>565</v>
      </c>
      <c r="G3" s="117"/>
      <c r="H3" s="117"/>
      <c r="I3" s="10" t="s">
        <v>510</v>
      </c>
      <c r="J3" s="10" t="s">
        <v>566</v>
      </c>
      <c r="K3" s="118">
        <v>0</v>
      </c>
    </row>
    <row r="4" spans="1:12">
      <c r="A4" s="119" t="s">
        <v>567</v>
      </c>
      <c r="B4" s="120" t="s">
        <v>568</v>
      </c>
      <c r="C4" s="120" t="s">
        <v>569</v>
      </c>
      <c r="D4" s="10" t="s">
        <v>373</v>
      </c>
      <c r="E4" s="10" t="s">
        <v>373</v>
      </c>
      <c r="F4" s="120" t="s">
        <v>570</v>
      </c>
      <c r="G4" s="120" t="s">
        <v>82</v>
      </c>
      <c r="H4" s="120" t="s">
        <v>510</v>
      </c>
      <c r="I4" s="120" t="s">
        <v>510</v>
      </c>
      <c r="J4" s="10" t="s">
        <v>566</v>
      </c>
      <c r="K4" s="121">
        <v>0</v>
      </c>
    </row>
    <row r="5" ht="27.6" spans="1:12">
      <c r="A5" s="116" t="s">
        <v>567</v>
      </c>
      <c r="B5" s="122" t="s">
        <v>571</v>
      </c>
      <c r="C5" s="122" t="s">
        <v>572</v>
      </c>
      <c r="D5" s="10" t="s">
        <v>373</v>
      </c>
      <c r="E5" s="10" t="s">
        <v>373</v>
      </c>
      <c r="F5" s="122" t="s">
        <v>573</v>
      </c>
      <c r="G5" s="122" t="s">
        <v>82</v>
      </c>
      <c r="H5" s="122" t="s">
        <v>510</v>
      </c>
      <c r="I5" s="122" t="s">
        <v>510</v>
      </c>
      <c r="J5" s="10" t="s">
        <v>566</v>
      </c>
      <c r="K5" s="121">
        <v>0</v>
      </c>
    </row>
    <row r="6" spans="1:12">
      <c r="A6" s="119" t="s">
        <v>574</v>
      </c>
      <c r="B6" s="120" t="s">
        <v>575</v>
      </c>
      <c r="C6" s="120" t="s">
        <v>574</v>
      </c>
      <c r="D6" s="10" t="s">
        <v>374</v>
      </c>
      <c r="E6" s="10" t="s">
        <v>382</v>
      </c>
      <c r="F6" s="120" t="s">
        <v>573</v>
      </c>
      <c r="G6" s="120" t="s">
        <v>82</v>
      </c>
      <c r="H6" s="120" t="s">
        <v>510</v>
      </c>
      <c r="I6" s="120" t="s">
        <v>510</v>
      </c>
      <c r="J6" s="10" t="s">
        <v>566</v>
      </c>
      <c r="K6" s="121">
        <v>0</v>
      </c>
    </row>
    <row r="7" spans="1:12">
      <c r="A7" s="116" t="s">
        <v>566</v>
      </c>
      <c r="B7" s="122" t="s">
        <v>576</v>
      </c>
      <c r="C7" s="122" t="s">
        <v>569</v>
      </c>
      <c r="D7" s="10" t="s">
        <v>373</v>
      </c>
      <c r="E7" s="10" t="s">
        <v>373</v>
      </c>
      <c r="F7" s="122" t="s">
        <v>573</v>
      </c>
      <c r="G7" s="122" t="s">
        <v>82</v>
      </c>
      <c r="H7" s="122" t="s">
        <v>510</v>
      </c>
      <c r="I7" s="122" t="s">
        <v>510</v>
      </c>
      <c r="J7" s="10" t="s">
        <v>566</v>
      </c>
      <c r="K7" s="121">
        <v>0</v>
      </c>
    </row>
    <row r="8" spans="1:12">
      <c r="A8" s="119" t="s">
        <v>577</v>
      </c>
      <c r="B8" s="120" t="s">
        <v>578</v>
      </c>
      <c r="C8" s="120" t="s">
        <v>579</v>
      </c>
      <c r="D8" s="10" t="s">
        <v>373</v>
      </c>
      <c r="E8" s="10" t="s">
        <v>373</v>
      </c>
      <c r="F8" s="120" t="s">
        <v>580</v>
      </c>
      <c r="G8" s="120" t="s">
        <v>82</v>
      </c>
      <c r="H8" s="120" t="s">
        <v>510</v>
      </c>
      <c r="I8" s="120" t="s">
        <v>510</v>
      </c>
      <c r="J8" s="10" t="s">
        <v>566</v>
      </c>
      <c r="K8" s="121">
        <v>0</v>
      </c>
    </row>
    <row r="9" spans="1:12">
      <c r="A9" s="116" t="s">
        <v>577</v>
      </c>
      <c r="B9" s="122" t="s">
        <v>581</v>
      </c>
      <c r="C9" s="122" t="s">
        <v>579</v>
      </c>
      <c r="D9" s="10" t="s">
        <v>373</v>
      </c>
      <c r="E9" s="10" t="s">
        <v>373</v>
      </c>
      <c r="F9" s="122" t="s">
        <v>580</v>
      </c>
      <c r="G9" s="122" t="s">
        <v>82</v>
      </c>
      <c r="H9" s="122" t="s">
        <v>510</v>
      </c>
      <c r="I9" s="122" t="s">
        <v>510</v>
      </c>
      <c r="J9" s="10" t="s">
        <v>566</v>
      </c>
      <c r="K9" s="121">
        <v>0</v>
      </c>
    </row>
    <row r="10" spans="1:12">
      <c r="A10" s="119" t="s">
        <v>577</v>
      </c>
      <c r="B10" s="120" t="s">
        <v>582</v>
      </c>
      <c r="C10" s="120" t="s">
        <v>583</v>
      </c>
      <c r="D10" s="10" t="s">
        <v>373</v>
      </c>
      <c r="E10" s="10" t="s">
        <v>382</v>
      </c>
      <c r="F10" s="120" t="s">
        <v>573</v>
      </c>
      <c r="G10" s="120" t="s">
        <v>82</v>
      </c>
      <c r="H10" s="120" t="s">
        <v>82</v>
      </c>
      <c r="I10" s="120" t="s">
        <v>510</v>
      </c>
      <c r="J10" s="10" t="s">
        <v>566</v>
      </c>
      <c r="K10" s="121">
        <v>0</v>
      </c>
    </row>
    <row r="11" spans="1:12">
      <c r="A11" s="116" t="s">
        <v>584</v>
      </c>
      <c r="B11" s="122" t="s">
        <v>585</v>
      </c>
      <c r="C11" s="122" t="s">
        <v>579</v>
      </c>
      <c r="D11" s="10" t="s">
        <v>373</v>
      </c>
      <c r="E11" s="10" t="s">
        <v>373</v>
      </c>
      <c r="F11" s="122" t="s">
        <v>586</v>
      </c>
      <c r="G11" s="122" t="s">
        <v>82</v>
      </c>
      <c r="H11" s="122" t="s">
        <v>82</v>
      </c>
      <c r="I11" s="122" t="s">
        <v>510</v>
      </c>
      <c r="J11" s="10" t="s">
        <v>566</v>
      </c>
      <c r="K11" s="121">
        <v>0</v>
      </c>
    </row>
    <row r="12" spans="1:12">
      <c r="A12" s="116" t="s">
        <v>584</v>
      </c>
      <c r="B12" s="122" t="s">
        <v>587</v>
      </c>
      <c r="C12" s="122" t="s">
        <v>579</v>
      </c>
      <c r="D12" s="10" t="s">
        <v>373</v>
      </c>
      <c r="E12" s="10" t="s">
        <v>373</v>
      </c>
      <c r="F12" s="122" t="s">
        <v>573</v>
      </c>
      <c r="G12" s="122" t="s">
        <v>82</v>
      </c>
      <c r="H12" s="122" t="s">
        <v>510</v>
      </c>
      <c r="I12" s="122" t="s">
        <v>510</v>
      </c>
      <c r="J12" s="10" t="s">
        <v>566</v>
      </c>
      <c r="K12" s="121">
        <v>0</v>
      </c>
    </row>
    <row r="13" spans="1:12">
      <c r="A13" s="119" t="s">
        <v>588</v>
      </c>
      <c r="B13" s="120" t="s">
        <v>589</v>
      </c>
      <c r="C13" s="120" t="s">
        <v>590</v>
      </c>
      <c r="D13" s="10" t="s">
        <v>351</v>
      </c>
      <c r="E13" s="10" t="s">
        <v>377</v>
      </c>
      <c r="F13" s="120" t="s">
        <v>580</v>
      </c>
      <c r="G13" s="120" t="s">
        <v>82</v>
      </c>
      <c r="H13" s="120" t="s">
        <v>82</v>
      </c>
      <c r="I13" s="120" t="s">
        <v>510</v>
      </c>
      <c r="J13" s="10" t="s">
        <v>182</v>
      </c>
      <c r="K13" s="121">
        <v>0</v>
      </c>
    </row>
    <row r="14" spans="1:12">
      <c r="A14" s="116" t="s">
        <v>591</v>
      </c>
      <c r="B14" s="122" t="s">
        <v>592</v>
      </c>
      <c r="C14" s="122" t="s">
        <v>579</v>
      </c>
      <c r="D14" s="10" t="s">
        <v>373</v>
      </c>
      <c r="E14" s="10" t="s">
        <v>373</v>
      </c>
      <c r="F14" s="122" t="s">
        <v>580</v>
      </c>
      <c r="G14" s="122" t="s">
        <v>82</v>
      </c>
      <c r="H14" s="122" t="s">
        <v>510</v>
      </c>
      <c r="I14" s="122" t="s">
        <v>510</v>
      </c>
      <c r="J14" s="10" t="s">
        <v>182</v>
      </c>
      <c r="K14" s="121">
        <v>0</v>
      </c>
    </row>
    <row r="15" spans="1:12">
      <c r="A15" s="119" t="s">
        <v>593</v>
      </c>
      <c r="B15" s="120" t="s">
        <v>594</v>
      </c>
      <c r="C15" s="120" t="s">
        <v>579</v>
      </c>
      <c r="D15" s="10" t="s">
        <v>373</v>
      </c>
      <c r="E15" s="10" t="s">
        <v>373</v>
      </c>
      <c r="F15" s="120" t="s">
        <v>595</v>
      </c>
      <c r="G15" s="120" t="s">
        <v>82</v>
      </c>
      <c r="H15" s="120" t="s">
        <v>510</v>
      </c>
      <c r="I15" s="120" t="s">
        <v>510</v>
      </c>
      <c r="J15" s="10" t="s">
        <v>182</v>
      </c>
      <c r="K15" s="121">
        <v>0</v>
      </c>
    </row>
    <row r="16" spans="1:12">
      <c r="A16" s="116" t="s">
        <v>596</v>
      </c>
      <c r="B16" s="122" t="s">
        <v>597</v>
      </c>
      <c r="C16" s="122" t="s">
        <v>596</v>
      </c>
      <c r="D16" s="10" t="s">
        <v>373</v>
      </c>
      <c r="E16" s="10" t="s">
        <v>382</v>
      </c>
      <c r="F16" s="122" t="s">
        <v>598</v>
      </c>
      <c r="G16" s="122" t="s">
        <v>82</v>
      </c>
      <c r="H16" s="122" t="s">
        <v>510</v>
      </c>
      <c r="I16" s="122" t="s">
        <v>510</v>
      </c>
      <c r="J16" s="10" t="s">
        <v>182</v>
      </c>
      <c r="K16" s="121">
        <v>0</v>
      </c>
    </row>
    <row r="17" spans="1:11">
      <c r="A17" s="119" t="s">
        <v>599</v>
      </c>
      <c r="B17" s="120" t="s">
        <v>600</v>
      </c>
      <c r="C17" s="120" t="s">
        <v>219</v>
      </c>
      <c r="D17" s="10" t="s">
        <v>374</v>
      </c>
      <c r="E17" s="10" t="s">
        <v>374</v>
      </c>
      <c r="F17" s="120" t="s">
        <v>580</v>
      </c>
      <c r="G17" s="120" t="s">
        <v>82</v>
      </c>
      <c r="H17" s="120" t="s">
        <v>510</v>
      </c>
      <c r="I17" s="120" t="s">
        <v>510</v>
      </c>
      <c r="J17" s="10" t="s">
        <v>182</v>
      </c>
      <c r="K17" s="121">
        <v>0</v>
      </c>
    </row>
    <row r="18" spans="1:11">
      <c r="A18" s="116" t="s">
        <v>21</v>
      </c>
      <c r="B18" s="122" t="s">
        <v>601</v>
      </c>
      <c r="C18" s="122" t="s">
        <v>216</v>
      </c>
      <c r="D18" s="10" t="s">
        <v>351</v>
      </c>
      <c r="E18" s="10" t="s">
        <v>351</v>
      </c>
      <c r="F18" s="122" t="s">
        <v>580</v>
      </c>
      <c r="G18" s="122" t="s">
        <v>82</v>
      </c>
      <c r="H18" s="122" t="s">
        <v>510</v>
      </c>
      <c r="I18" s="122" t="s">
        <v>510</v>
      </c>
      <c r="J18" s="10" t="s">
        <v>182</v>
      </c>
      <c r="K18" s="121">
        <v>0</v>
      </c>
    </row>
    <row r="19" spans="1:11">
      <c r="A19" s="119" t="s">
        <v>602</v>
      </c>
      <c r="B19" s="120" t="s">
        <v>603</v>
      </c>
      <c r="C19" s="120" t="s">
        <v>604</v>
      </c>
      <c r="D19" s="10" t="s">
        <v>377</v>
      </c>
      <c r="E19" s="10" t="s">
        <v>380</v>
      </c>
      <c r="F19" s="120" t="s">
        <v>580</v>
      </c>
      <c r="G19" s="120" t="s">
        <v>82</v>
      </c>
      <c r="H19" s="120" t="s">
        <v>510</v>
      </c>
      <c r="I19" s="120" t="s">
        <v>510</v>
      </c>
      <c r="J19" s="10" t="s">
        <v>182</v>
      </c>
      <c r="K19" s="121">
        <v>0</v>
      </c>
    </row>
    <row r="20" spans="1:11">
      <c r="A20" s="116" t="s">
        <v>355</v>
      </c>
      <c r="B20" s="122" t="s">
        <v>605</v>
      </c>
      <c r="C20" s="122" t="s">
        <v>606</v>
      </c>
      <c r="D20" s="10" t="s">
        <v>379</v>
      </c>
      <c r="E20" s="10" t="s">
        <v>380</v>
      </c>
      <c r="F20" s="122" t="s">
        <v>595</v>
      </c>
      <c r="G20" s="122" t="s">
        <v>82</v>
      </c>
      <c r="H20" s="122" t="s">
        <v>510</v>
      </c>
      <c r="I20" s="122" t="s">
        <v>510</v>
      </c>
      <c r="J20" s="10" t="s">
        <v>182</v>
      </c>
      <c r="K20" s="121">
        <v>0</v>
      </c>
    </row>
    <row r="21" spans="1:11">
      <c r="A21" s="119" t="s">
        <v>596</v>
      </c>
      <c r="B21" s="120" t="s">
        <v>607</v>
      </c>
      <c r="C21" s="120" t="s">
        <v>596</v>
      </c>
      <c r="D21" s="10" t="s">
        <v>373</v>
      </c>
      <c r="E21" s="10" t="s">
        <v>382</v>
      </c>
      <c r="F21" s="120" t="s">
        <v>570</v>
      </c>
      <c r="G21" s="120" t="s">
        <v>82</v>
      </c>
      <c r="H21" s="120" t="s">
        <v>510</v>
      </c>
      <c r="I21" s="120" t="s">
        <v>510</v>
      </c>
      <c r="J21" s="10" t="s">
        <v>182</v>
      </c>
      <c r="K21" s="121">
        <v>0</v>
      </c>
    </row>
    <row r="22" spans="1:11">
      <c r="A22" s="116" t="s">
        <v>596</v>
      </c>
      <c r="B22" s="122" t="s">
        <v>608</v>
      </c>
      <c r="C22" s="122" t="s">
        <v>596</v>
      </c>
      <c r="D22" s="10" t="s">
        <v>373</v>
      </c>
      <c r="E22" s="10" t="s">
        <v>382</v>
      </c>
      <c r="F22" s="122" t="s">
        <v>573</v>
      </c>
      <c r="G22" s="122" t="s">
        <v>82</v>
      </c>
      <c r="H22" s="122" t="s">
        <v>510</v>
      </c>
      <c r="I22" s="122" t="s">
        <v>510</v>
      </c>
      <c r="J22" s="10" t="s">
        <v>182</v>
      </c>
      <c r="K22" s="121">
        <v>0</v>
      </c>
    </row>
    <row r="23" spans="1:11">
      <c r="A23" s="119" t="s">
        <v>596</v>
      </c>
      <c r="B23" s="120" t="s">
        <v>609</v>
      </c>
      <c r="C23" s="120" t="s">
        <v>596</v>
      </c>
      <c r="D23" s="10" t="s">
        <v>373</v>
      </c>
      <c r="E23" s="10" t="s">
        <v>382</v>
      </c>
      <c r="F23" s="120" t="s">
        <v>570</v>
      </c>
      <c r="G23" s="120" t="s">
        <v>82</v>
      </c>
      <c r="H23" s="120" t="s">
        <v>510</v>
      </c>
      <c r="I23" s="120" t="s">
        <v>510</v>
      </c>
      <c r="J23" s="10" t="s">
        <v>182</v>
      </c>
      <c r="K23" s="121">
        <v>0</v>
      </c>
    </row>
    <row r="24" spans="1:11">
      <c r="A24" s="116" t="s">
        <v>596</v>
      </c>
      <c r="B24" s="122" t="s">
        <v>610</v>
      </c>
      <c r="C24" s="122" t="s">
        <v>596</v>
      </c>
      <c r="D24" s="10" t="s">
        <v>373</v>
      </c>
      <c r="E24" s="10" t="s">
        <v>382</v>
      </c>
      <c r="F24" s="122" t="s">
        <v>586</v>
      </c>
      <c r="G24" s="122" t="s">
        <v>82</v>
      </c>
      <c r="H24" s="122" t="s">
        <v>510</v>
      </c>
      <c r="I24" s="122" t="s">
        <v>510</v>
      </c>
      <c r="J24" s="10" t="s">
        <v>182</v>
      </c>
      <c r="K24" s="121">
        <v>0</v>
      </c>
    </row>
    <row r="25" spans="1:11">
      <c r="A25" s="119" t="s">
        <v>182</v>
      </c>
      <c r="B25" s="120" t="s">
        <v>611</v>
      </c>
      <c r="C25" s="120" t="s">
        <v>219</v>
      </c>
      <c r="D25" s="10" t="s">
        <v>374</v>
      </c>
      <c r="E25" s="10" t="s">
        <v>374</v>
      </c>
      <c r="F25" s="120" t="s">
        <v>586</v>
      </c>
      <c r="G25" s="120" t="s">
        <v>82</v>
      </c>
      <c r="H25" s="120" t="s">
        <v>82</v>
      </c>
      <c r="I25" s="120" t="s">
        <v>82</v>
      </c>
      <c r="J25" s="10" t="s">
        <v>182</v>
      </c>
      <c r="K25" s="121">
        <v>0</v>
      </c>
    </row>
    <row r="26" spans="1:11">
      <c r="A26" s="116" t="s">
        <v>182</v>
      </c>
      <c r="B26" s="122" t="s">
        <v>612</v>
      </c>
      <c r="C26" s="122" t="s">
        <v>219</v>
      </c>
      <c r="D26" s="10" t="s">
        <v>374</v>
      </c>
      <c r="E26" s="10" t="s">
        <v>374</v>
      </c>
      <c r="F26" s="122" t="s">
        <v>565</v>
      </c>
      <c r="G26" s="122" t="s">
        <v>82</v>
      </c>
      <c r="H26" s="122" t="s">
        <v>82</v>
      </c>
      <c r="I26" s="122" t="s">
        <v>82</v>
      </c>
      <c r="J26" s="10" t="s">
        <v>182</v>
      </c>
      <c r="K26" s="121">
        <v>0</v>
      </c>
    </row>
    <row r="27" spans="1:11">
      <c r="A27" s="119" t="s">
        <v>182</v>
      </c>
      <c r="B27" s="120" t="s">
        <v>613</v>
      </c>
      <c r="C27" s="120" t="s">
        <v>579</v>
      </c>
      <c r="D27" s="10" t="s">
        <v>374</v>
      </c>
      <c r="E27" s="10" t="s">
        <v>374</v>
      </c>
      <c r="F27" s="120" t="s">
        <v>573</v>
      </c>
      <c r="G27" s="120" t="s">
        <v>82</v>
      </c>
      <c r="H27" s="120" t="s">
        <v>82</v>
      </c>
      <c r="I27" s="120" t="s">
        <v>82</v>
      </c>
      <c r="J27" s="10" t="s">
        <v>182</v>
      </c>
      <c r="K27" s="121">
        <v>0</v>
      </c>
    </row>
    <row r="28" spans="1:11">
      <c r="A28" s="116" t="s">
        <v>182</v>
      </c>
      <c r="B28" s="122" t="s">
        <v>614</v>
      </c>
      <c r="C28" s="122" t="s">
        <v>216</v>
      </c>
      <c r="D28" s="10" t="s">
        <v>351</v>
      </c>
      <c r="E28" s="10" t="s">
        <v>351</v>
      </c>
      <c r="F28" s="122" t="s">
        <v>580</v>
      </c>
      <c r="G28" s="122" t="s">
        <v>82</v>
      </c>
      <c r="H28" s="122" t="s">
        <v>82</v>
      </c>
      <c r="I28" s="122" t="s">
        <v>510</v>
      </c>
      <c r="J28" s="10" t="s">
        <v>182</v>
      </c>
      <c r="K28" s="121">
        <v>0</v>
      </c>
    </row>
    <row r="29" spans="1:11">
      <c r="A29" s="119" t="s">
        <v>182</v>
      </c>
      <c r="B29" s="120" t="s">
        <v>615</v>
      </c>
      <c r="C29" s="120" t="s">
        <v>604</v>
      </c>
      <c r="D29" s="10" t="s">
        <v>377</v>
      </c>
      <c r="E29" s="10" t="s">
        <v>380</v>
      </c>
      <c r="F29" s="120" t="s">
        <v>580</v>
      </c>
      <c r="G29" s="120" t="s">
        <v>82</v>
      </c>
      <c r="H29" s="120" t="s">
        <v>82</v>
      </c>
      <c r="I29" s="120" t="s">
        <v>510</v>
      </c>
      <c r="J29" s="10" t="s">
        <v>182</v>
      </c>
      <c r="K29" s="121">
        <v>0</v>
      </c>
    </row>
    <row r="30" spans="1:11">
      <c r="A30" s="116" t="s">
        <v>616</v>
      </c>
      <c r="B30" s="122" t="s">
        <v>617</v>
      </c>
      <c r="C30" s="122" t="s">
        <v>596</v>
      </c>
      <c r="D30" s="10" t="s">
        <v>374</v>
      </c>
      <c r="E30" s="10" t="s">
        <v>382</v>
      </c>
      <c r="F30" s="122" t="s">
        <v>618</v>
      </c>
      <c r="G30" s="122" t="s">
        <v>82</v>
      </c>
      <c r="H30" s="122" t="s">
        <v>82</v>
      </c>
      <c r="I30" s="122" t="s">
        <v>510</v>
      </c>
      <c r="J30" s="10" t="s">
        <v>182</v>
      </c>
      <c r="K30" s="121">
        <v>0</v>
      </c>
    </row>
    <row r="31" spans="1:11">
      <c r="A31" s="119" t="s">
        <v>19</v>
      </c>
      <c r="B31" s="120" t="s">
        <v>619</v>
      </c>
      <c r="C31" s="120" t="s">
        <v>579</v>
      </c>
      <c r="D31" s="10" t="s">
        <v>374</v>
      </c>
      <c r="E31" s="10" t="s">
        <v>375</v>
      </c>
      <c r="F31" s="120" t="s">
        <v>565</v>
      </c>
      <c r="G31" s="120" t="s">
        <v>82</v>
      </c>
      <c r="H31" s="120" t="s">
        <v>82</v>
      </c>
      <c r="I31" s="120" t="s">
        <v>510</v>
      </c>
      <c r="J31" s="10" t="s">
        <v>182</v>
      </c>
      <c r="K31" s="121">
        <v>0</v>
      </c>
    </row>
    <row r="32" ht="27.6" spans="1:11">
      <c r="A32" s="116" t="s">
        <v>584</v>
      </c>
      <c r="B32" s="122" t="s">
        <v>620</v>
      </c>
      <c r="C32" s="122" t="s">
        <v>621</v>
      </c>
      <c r="D32" s="10" t="s">
        <v>373</v>
      </c>
      <c r="E32" s="10" t="s">
        <v>382</v>
      </c>
      <c r="F32" s="122" t="s">
        <v>622</v>
      </c>
      <c r="G32" s="122" t="s">
        <v>82</v>
      </c>
      <c r="H32" s="122" t="s">
        <v>82</v>
      </c>
      <c r="I32" s="122" t="s">
        <v>510</v>
      </c>
      <c r="J32" s="10" t="s">
        <v>182</v>
      </c>
      <c r="K32" s="121">
        <v>0</v>
      </c>
    </row>
    <row r="33" spans="1:11">
      <c r="A33" s="119" t="s">
        <v>623</v>
      </c>
      <c r="B33" s="120" t="s">
        <v>624</v>
      </c>
      <c r="C33" s="120" t="s">
        <v>625</v>
      </c>
      <c r="D33" s="10" t="s">
        <v>382</v>
      </c>
      <c r="E33" s="10" t="s">
        <v>382</v>
      </c>
      <c r="F33" s="120" t="s">
        <v>573</v>
      </c>
      <c r="G33" s="120" t="s">
        <v>82</v>
      </c>
      <c r="H33" s="120" t="s">
        <v>82</v>
      </c>
      <c r="I33" s="120" t="s">
        <v>510</v>
      </c>
      <c r="J33" s="10" t="s">
        <v>182</v>
      </c>
      <c r="K33" s="121">
        <v>0</v>
      </c>
    </row>
    <row r="34" spans="1:11">
      <c r="A34" s="116" t="s">
        <v>596</v>
      </c>
      <c r="B34" s="122" t="s">
        <v>626</v>
      </c>
      <c r="C34" s="122" t="s">
        <v>596</v>
      </c>
      <c r="D34" s="10" t="s">
        <v>373</v>
      </c>
      <c r="E34" s="10" t="s">
        <v>382</v>
      </c>
      <c r="F34" s="122" t="s">
        <v>598</v>
      </c>
      <c r="G34" s="122" t="s">
        <v>82</v>
      </c>
      <c r="H34" s="122" t="s">
        <v>510</v>
      </c>
      <c r="I34" s="122" t="s">
        <v>510</v>
      </c>
      <c r="J34" s="10" t="s">
        <v>254</v>
      </c>
      <c r="K34" s="121">
        <v>0</v>
      </c>
    </row>
    <row r="35" spans="1:11">
      <c r="A35" s="119" t="s">
        <v>596</v>
      </c>
      <c r="B35" s="120" t="s">
        <v>627</v>
      </c>
      <c r="C35" s="120" t="s">
        <v>596</v>
      </c>
      <c r="D35" s="10" t="s">
        <v>373</v>
      </c>
      <c r="E35" s="10" t="s">
        <v>382</v>
      </c>
      <c r="F35" s="120" t="s">
        <v>618</v>
      </c>
      <c r="G35" s="120" t="s">
        <v>82</v>
      </c>
      <c r="H35" s="120" t="s">
        <v>510</v>
      </c>
      <c r="I35" s="120" t="s">
        <v>510</v>
      </c>
      <c r="J35" s="10" t="s">
        <v>254</v>
      </c>
      <c r="K35" s="121">
        <v>0</v>
      </c>
    </row>
    <row r="36" ht="27.6" spans="1:11">
      <c r="A36" s="116" t="s">
        <v>628</v>
      </c>
      <c r="B36" s="122" t="s">
        <v>629</v>
      </c>
      <c r="C36" s="122" t="s">
        <v>630</v>
      </c>
      <c r="D36" s="10" t="s">
        <v>373</v>
      </c>
      <c r="E36" s="10" t="s">
        <v>382</v>
      </c>
      <c r="F36" s="122" t="s">
        <v>595</v>
      </c>
      <c r="G36" s="122" t="s">
        <v>82</v>
      </c>
      <c r="H36" s="122" t="s">
        <v>82</v>
      </c>
      <c r="I36" s="122" t="s">
        <v>510</v>
      </c>
      <c r="J36" s="10" t="s">
        <v>254</v>
      </c>
      <c r="K36" s="121">
        <v>0</v>
      </c>
    </row>
    <row r="37" ht="27.6" spans="1:11">
      <c r="A37" s="119" t="s">
        <v>599</v>
      </c>
      <c r="B37" s="120" t="s">
        <v>631</v>
      </c>
      <c r="C37" s="120" t="s">
        <v>632</v>
      </c>
      <c r="D37" s="10" t="s">
        <v>373</v>
      </c>
      <c r="E37" s="10" t="s">
        <v>382</v>
      </c>
      <c r="F37" s="120" t="s">
        <v>622</v>
      </c>
      <c r="G37" s="120" t="s">
        <v>82</v>
      </c>
      <c r="H37" s="120" t="s">
        <v>82</v>
      </c>
      <c r="I37" s="120" t="s">
        <v>510</v>
      </c>
      <c r="J37" s="10" t="s">
        <v>254</v>
      </c>
      <c r="K37" s="121">
        <v>0</v>
      </c>
    </row>
    <row r="38" ht="27.6" spans="1:11">
      <c r="A38" s="116" t="s">
        <v>599</v>
      </c>
      <c r="B38" s="122" t="s">
        <v>633</v>
      </c>
      <c r="C38" s="122" t="s">
        <v>632</v>
      </c>
      <c r="D38" s="10" t="s">
        <v>373</v>
      </c>
      <c r="E38" s="10" t="s">
        <v>382</v>
      </c>
      <c r="F38" s="122" t="s">
        <v>622</v>
      </c>
      <c r="G38" s="122" t="s">
        <v>82</v>
      </c>
      <c r="H38" s="122" t="s">
        <v>510</v>
      </c>
      <c r="I38" s="122" t="s">
        <v>510</v>
      </c>
      <c r="J38" s="10" t="s">
        <v>254</v>
      </c>
      <c r="K38" s="121">
        <v>0</v>
      </c>
    </row>
    <row r="39" ht="27.6" spans="1:11">
      <c r="A39" s="119" t="s">
        <v>634</v>
      </c>
      <c r="B39" s="120" t="s">
        <v>635</v>
      </c>
      <c r="C39" s="120" t="s">
        <v>510</v>
      </c>
      <c r="D39" s="10" t="s">
        <v>382</v>
      </c>
      <c r="E39" s="10" t="s">
        <v>382</v>
      </c>
      <c r="F39" s="120" t="s">
        <v>636</v>
      </c>
      <c r="G39" s="120" t="s">
        <v>82</v>
      </c>
      <c r="H39" s="120" t="s">
        <v>510</v>
      </c>
      <c r="I39" s="120" t="s">
        <v>510</v>
      </c>
      <c r="J39" s="10" t="s">
        <v>254</v>
      </c>
      <c r="K39" s="121">
        <v>0</v>
      </c>
    </row>
    <row r="40" spans="1:11">
      <c r="A40" s="116" t="s">
        <v>637</v>
      </c>
      <c r="B40" s="122" t="s">
        <v>638</v>
      </c>
      <c r="C40" s="122" t="s">
        <v>639</v>
      </c>
      <c r="D40" s="10" t="s">
        <v>373</v>
      </c>
      <c r="E40" s="10" t="s">
        <v>373</v>
      </c>
      <c r="F40" s="122" t="s">
        <v>573</v>
      </c>
      <c r="G40" s="122" t="s">
        <v>82</v>
      </c>
      <c r="H40" s="122" t="s">
        <v>510</v>
      </c>
      <c r="I40" s="122" t="s">
        <v>510</v>
      </c>
      <c r="J40" s="10" t="s">
        <v>254</v>
      </c>
      <c r="K40" s="121">
        <v>0</v>
      </c>
    </row>
    <row r="41" ht="27.6" spans="1:11">
      <c r="A41" s="119" t="s">
        <v>219</v>
      </c>
      <c r="B41" s="120" t="s">
        <v>640</v>
      </c>
      <c r="C41" s="120" t="s">
        <v>219</v>
      </c>
      <c r="D41" s="10" t="s">
        <v>374</v>
      </c>
      <c r="E41" s="10" t="s">
        <v>374</v>
      </c>
      <c r="F41" s="120" t="s">
        <v>641</v>
      </c>
      <c r="G41" s="120" t="s">
        <v>82</v>
      </c>
      <c r="H41" s="120" t="s">
        <v>510</v>
      </c>
      <c r="I41" s="120" t="s">
        <v>510</v>
      </c>
      <c r="J41" s="10" t="s">
        <v>254</v>
      </c>
      <c r="K41" s="121">
        <v>0</v>
      </c>
    </row>
    <row r="42" spans="1:11">
      <c r="A42" s="116" t="s">
        <v>211</v>
      </c>
      <c r="B42" s="122" t="s">
        <v>642</v>
      </c>
      <c r="C42" s="122" t="s">
        <v>211</v>
      </c>
      <c r="D42" s="10" t="s">
        <v>375</v>
      </c>
      <c r="E42" s="10" t="s">
        <v>375</v>
      </c>
      <c r="F42" s="122" t="s">
        <v>573</v>
      </c>
      <c r="G42" s="122" t="s">
        <v>82</v>
      </c>
      <c r="H42" s="122" t="s">
        <v>82</v>
      </c>
      <c r="I42" s="122" t="s">
        <v>510</v>
      </c>
      <c r="J42" s="10" t="s">
        <v>254</v>
      </c>
      <c r="K42" s="121">
        <v>0</v>
      </c>
    </row>
    <row r="43" spans="1:11">
      <c r="A43" s="119" t="s">
        <v>643</v>
      </c>
      <c r="B43" s="120" t="s">
        <v>644</v>
      </c>
      <c r="C43" s="120" t="s">
        <v>625</v>
      </c>
      <c r="D43" s="10" t="s">
        <v>382</v>
      </c>
      <c r="E43" s="10" t="s">
        <v>382</v>
      </c>
      <c r="F43" s="120" t="s">
        <v>573</v>
      </c>
      <c r="G43" s="120" t="s">
        <v>82</v>
      </c>
      <c r="H43" s="120" t="s">
        <v>82</v>
      </c>
      <c r="I43" s="120" t="s">
        <v>510</v>
      </c>
      <c r="J43" s="10" t="s">
        <v>254</v>
      </c>
      <c r="K43" s="121">
        <v>0</v>
      </c>
    </row>
    <row r="44" spans="1:11">
      <c r="A44" s="116" t="s">
        <v>574</v>
      </c>
      <c r="B44" s="122" t="s">
        <v>645</v>
      </c>
      <c r="C44" s="122" t="s">
        <v>574</v>
      </c>
      <c r="D44" s="10" t="s">
        <v>374</v>
      </c>
      <c r="E44" s="10" t="s">
        <v>382</v>
      </c>
      <c r="F44" s="122" t="s">
        <v>573</v>
      </c>
      <c r="G44" s="122" t="s">
        <v>82</v>
      </c>
      <c r="H44" s="122" t="s">
        <v>510</v>
      </c>
      <c r="I44" s="122" t="s">
        <v>510</v>
      </c>
      <c r="J44" s="10" t="s">
        <v>254</v>
      </c>
      <c r="K44" s="121">
        <v>0</v>
      </c>
    </row>
    <row r="45" spans="1:11">
      <c r="A45" s="9" t="s">
        <v>646</v>
      </c>
      <c r="B45" s="10" t="s">
        <v>647</v>
      </c>
      <c r="C45" s="10" t="s">
        <v>646</v>
      </c>
      <c r="D45" s="10" t="s">
        <v>374</v>
      </c>
      <c r="E45" s="10" t="s">
        <v>382</v>
      </c>
      <c r="F45" s="10" t="s">
        <v>648</v>
      </c>
      <c r="G45" s="10" t="s">
        <v>82</v>
      </c>
      <c r="H45" s="10" t="s">
        <v>510</v>
      </c>
      <c r="I45" s="10" t="s">
        <v>510</v>
      </c>
      <c r="J45" s="10" t="s">
        <v>254</v>
      </c>
      <c r="K45" s="121">
        <v>0</v>
      </c>
    </row>
    <row r="46" spans="1:11">
      <c r="A46" s="9" t="s">
        <v>596</v>
      </c>
      <c r="B46" s="10" t="s">
        <v>649</v>
      </c>
      <c r="C46" s="10" t="s">
        <v>596</v>
      </c>
      <c r="D46" s="10" t="s">
        <v>373</v>
      </c>
      <c r="E46" s="10" t="s">
        <v>382</v>
      </c>
      <c r="F46" s="10" t="s">
        <v>570</v>
      </c>
      <c r="G46" s="10" t="s">
        <v>82</v>
      </c>
      <c r="H46" s="10" t="s">
        <v>82</v>
      </c>
      <c r="I46" s="10" t="s">
        <v>510</v>
      </c>
      <c r="J46" s="10" t="s">
        <v>254</v>
      </c>
      <c r="K46" s="121">
        <v>0</v>
      </c>
    </row>
    <row r="47" spans="1:11">
      <c r="A47" s="9" t="s">
        <v>604</v>
      </c>
      <c r="B47" s="10" t="s">
        <v>650</v>
      </c>
      <c r="C47" s="10" t="s">
        <v>604</v>
      </c>
      <c r="D47" s="10" t="s">
        <v>377</v>
      </c>
      <c r="E47" s="10" t="s">
        <v>380</v>
      </c>
      <c r="F47" s="10" t="s">
        <v>580</v>
      </c>
      <c r="G47" s="10" t="s">
        <v>82</v>
      </c>
      <c r="H47" s="10" t="s">
        <v>82</v>
      </c>
      <c r="I47" s="10" t="s">
        <v>510</v>
      </c>
      <c r="J47" s="10" t="s">
        <v>254</v>
      </c>
      <c r="K47" s="121">
        <v>0</v>
      </c>
    </row>
    <row r="48" spans="1:11">
      <c r="A48" s="9" t="s">
        <v>651</v>
      </c>
      <c r="B48" s="10" t="s">
        <v>652</v>
      </c>
      <c r="C48" s="10" t="s">
        <v>596</v>
      </c>
      <c r="D48" s="10" t="s">
        <v>373</v>
      </c>
      <c r="E48" s="10" t="s">
        <v>382</v>
      </c>
      <c r="F48" s="10" t="s">
        <v>570</v>
      </c>
      <c r="G48" s="10" t="s">
        <v>82</v>
      </c>
      <c r="H48" s="10" t="s">
        <v>82</v>
      </c>
      <c r="I48" s="10" t="s">
        <v>510</v>
      </c>
      <c r="J48" s="10" t="s">
        <v>254</v>
      </c>
      <c r="K48" s="121">
        <v>0</v>
      </c>
    </row>
    <row r="49" spans="1:11">
      <c r="A49" s="9" t="s">
        <v>616</v>
      </c>
      <c r="B49" s="10" t="s">
        <v>653</v>
      </c>
      <c r="C49" s="10" t="s">
        <v>579</v>
      </c>
      <c r="D49" s="10" t="s">
        <v>373</v>
      </c>
      <c r="E49" s="10" t="s">
        <v>373</v>
      </c>
      <c r="F49" s="10" t="s">
        <v>573</v>
      </c>
      <c r="G49" s="10" t="s">
        <v>82</v>
      </c>
      <c r="H49" s="10" t="s">
        <v>82</v>
      </c>
      <c r="I49" s="10" t="s">
        <v>510</v>
      </c>
      <c r="J49" s="10" t="s">
        <v>254</v>
      </c>
      <c r="K49" s="121">
        <v>0</v>
      </c>
    </row>
    <row r="50" spans="1:11">
      <c r="A50" s="9" t="s">
        <v>654</v>
      </c>
      <c r="B50" s="10" t="s">
        <v>655</v>
      </c>
      <c r="C50" s="10" t="s">
        <v>656</v>
      </c>
      <c r="D50" s="10" t="s">
        <v>380</v>
      </c>
      <c r="E50" s="10" t="s">
        <v>380</v>
      </c>
      <c r="F50" s="10" t="s">
        <v>573</v>
      </c>
      <c r="G50" s="10" t="s">
        <v>82</v>
      </c>
      <c r="H50" s="10" t="s">
        <v>82</v>
      </c>
      <c r="I50" s="10" t="s">
        <v>510</v>
      </c>
      <c r="J50" s="10" t="s">
        <v>566</v>
      </c>
      <c r="K50" s="118">
        <v>0</v>
      </c>
    </row>
    <row r="51" spans="1:11">
      <c r="A51" s="9" t="s">
        <v>657</v>
      </c>
      <c r="B51" s="10" t="s">
        <v>658</v>
      </c>
      <c r="C51" s="10" t="s">
        <v>659</v>
      </c>
      <c r="D51" s="10" t="s">
        <v>381</v>
      </c>
      <c r="E51" s="10" t="s">
        <v>381</v>
      </c>
      <c r="F51" s="10" t="s">
        <v>580</v>
      </c>
      <c r="G51" s="10" t="s">
        <v>82</v>
      </c>
      <c r="H51" s="10" t="s">
        <v>82</v>
      </c>
      <c r="I51" s="10" t="s">
        <v>510</v>
      </c>
      <c r="J51" s="10" t="s">
        <v>254</v>
      </c>
      <c r="K51" s="118">
        <v>0</v>
      </c>
    </row>
    <row r="52" spans="1:11">
      <c r="A52" s="9" t="s">
        <v>660</v>
      </c>
      <c r="B52" s="10" t="s">
        <v>661</v>
      </c>
      <c r="C52" s="10" t="s">
        <v>394</v>
      </c>
      <c r="D52" s="10" t="s">
        <v>381</v>
      </c>
      <c r="E52" s="10" t="s">
        <v>381</v>
      </c>
      <c r="F52" s="10" t="s">
        <v>573</v>
      </c>
      <c r="G52" s="10" t="s">
        <v>82</v>
      </c>
      <c r="H52" s="10" t="s">
        <v>510</v>
      </c>
      <c r="I52" s="10" t="s">
        <v>510</v>
      </c>
      <c r="J52" s="10" t="s">
        <v>254</v>
      </c>
      <c r="K52" s="118">
        <v>0</v>
      </c>
    </row>
    <row r="53" spans="1:11">
      <c r="A53" s="9" t="s">
        <v>660</v>
      </c>
      <c r="B53" s="10" t="s">
        <v>662</v>
      </c>
      <c r="C53" s="10" t="s">
        <v>394</v>
      </c>
      <c r="D53" s="10" t="s">
        <v>381</v>
      </c>
      <c r="E53" s="10" t="s">
        <v>381</v>
      </c>
      <c r="F53" s="10" t="s">
        <v>570</v>
      </c>
      <c r="G53" s="10" t="s">
        <v>82</v>
      </c>
      <c r="H53" s="10" t="s">
        <v>82</v>
      </c>
      <c r="I53" s="10" t="s">
        <v>510</v>
      </c>
      <c r="J53" s="10" t="s">
        <v>566</v>
      </c>
      <c r="K53" s="118">
        <v>0</v>
      </c>
    </row>
    <row r="54" spans="1:11">
      <c r="A54" s="9" t="s">
        <v>660</v>
      </c>
      <c r="B54" s="10" t="s">
        <v>663</v>
      </c>
      <c r="C54" s="10" t="s">
        <v>394</v>
      </c>
      <c r="D54" s="10" t="s">
        <v>373</v>
      </c>
      <c r="E54" s="10" t="s">
        <v>382</v>
      </c>
      <c r="F54" s="10" t="s">
        <v>570</v>
      </c>
      <c r="G54" s="10" t="s">
        <v>82</v>
      </c>
      <c r="H54" s="10" t="s">
        <v>82</v>
      </c>
      <c r="I54" s="10" t="s">
        <v>510</v>
      </c>
      <c r="J54" s="10" t="s">
        <v>254</v>
      </c>
      <c r="K54" s="118">
        <v>0</v>
      </c>
    </row>
    <row r="55" spans="1:11">
      <c r="A55" s="9" t="s">
        <v>596</v>
      </c>
      <c r="B55" s="10" t="s">
        <v>664</v>
      </c>
      <c r="C55" s="10" t="s">
        <v>596</v>
      </c>
      <c r="D55" s="10" t="s">
        <v>373</v>
      </c>
      <c r="E55" s="10" t="s">
        <v>382</v>
      </c>
      <c r="F55" s="10" t="s">
        <v>394</v>
      </c>
      <c r="G55" s="10" t="s">
        <v>82</v>
      </c>
      <c r="H55" s="10" t="s">
        <v>82</v>
      </c>
      <c r="I55" s="10" t="s">
        <v>510</v>
      </c>
      <c r="J55" s="10" t="s">
        <v>566</v>
      </c>
      <c r="K55" s="118">
        <v>0</v>
      </c>
    </row>
    <row r="56" spans="1:11">
      <c r="A56" s="9" t="s">
        <v>665</v>
      </c>
      <c r="B56" s="10" t="s">
        <v>666</v>
      </c>
      <c r="C56" s="10" t="s">
        <v>394</v>
      </c>
      <c r="D56" s="10" t="s">
        <v>373</v>
      </c>
      <c r="E56" s="10" t="s">
        <v>382</v>
      </c>
      <c r="F56" s="10" t="s">
        <v>570</v>
      </c>
      <c r="G56" s="10" t="s">
        <v>82</v>
      </c>
      <c r="H56" s="10" t="s">
        <v>82</v>
      </c>
      <c r="I56" s="10" t="s">
        <v>510</v>
      </c>
      <c r="J56" s="10" t="s">
        <v>566</v>
      </c>
      <c r="K56" s="118">
        <v>0</v>
      </c>
    </row>
    <row r="57" spans="1:11">
      <c r="A57" s="9" t="s">
        <v>584</v>
      </c>
      <c r="B57" s="10" t="s">
        <v>620</v>
      </c>
      <c r="C57" s="10" t="s">
        <v>621</v>
      </c>
      <c r="D57" s="10" t="s">
        <v>82</v>
      </c>
      <c r="E57" s="10" t="s">
        <v>82</v>
      </c>
      <c r="F57" s="10" t="s">
        <v>82</v>
      </c>
      <c r="G57" s="10" t="s">
        <v>82</v>
      </c>
      <c r="H57" s="10" t="s">
        <v>82</v>
      </c>
      <c r="I57" s="10" t="s">
        <v>82</v>
      </c>
      <c r="J57" s="10" t="s">
        <v>182</v>
      </c>
      <c r="K57" s="118">
        <v>0</v>
      </c>
    </row>
    <row r="58" spans="1:11">
      <c r="A58" s="9" t="s">
        <v>623</v>
      </c>
      <c r="B58" s="10" t="s">
        <v>624</v>
      </c>
      <c r="C58" s="10" t="s">
        <v>625</v>
      </c>
      <c r="D58" s="10" t="s">
        <v>382</v>
      </c>
      <c r="E58" s="10" t="s">
        <v>382</v>
      </c>
      <c r="F58" s="10" t="s">
        <v>573</v>
      </c>
      <c r="G58" s="10" t="s">
        <v>82</v>
      </c>
      <c r="H58" s="10" t="s">
        <v>82</v>
      </c>
      <c r="I58" s="10" t="s">
        <v>82</v>
      </c>
      <c r="J58" s="10" t="s">
        <v>182</v>
      </c>
      <c r="K58" s="118">
        <v>0</v>
      </c>
    </row>
    <row r="59" spans="1:11">
      <c r="A59" s="9" t="s">
        <v>367</v>
      </c>
      <c r="B59" s="10" t="s">
        <v>667</v>
      </c>
      <c r="C59" s="10" t="s">
        <v>219</v>
      </c>
      <c r="D59" s="10" t="s">
        <v>374</v>
      </c>
      <c r="E59" s="10" t="s">
        <v>374</v>
      </c>
      <c r="F59" s="10" t="s">
        <v>580</v>
      </c>
      <c r="G59" s="10" t="s">
        <v>82</v>
      </c>
      <c r="H59" s="10" t="s">
        <v>82</v>
      </c>
      <c r="I59" s="10" t="s">
        <v>82</v>
      </c>
      <c r="J59" s="10" t="s">
        <v>182</v>
      </c>
      <c r="K59" s="118">
        <v>1</v>
      </c>
    </row>
    <row r="60" ht="28.35" spans="1:11">
      <c r="A60" s="12" t="s">
        <v>19</v>
      </c>
      <c r="B60" s="13" t="s">
        <v>668</v>
      </c>
      <c r="C60" s="13" t="s">
        <v>669</v>
      </c>
      <c r="D60" s="13" t="s">
        <v>375</v>
      </c>
      <c r="E60" s="13" t="s">
        <v>351</v>
      </c>
      <c r="F60" s="13" t="s">
        <v>586</v>
      </c>
      <c r="G60" s="13" t="s">
        <v>82</v>
      </c>
      <c r="H60" s="13" t="s">
        <v>82</v>
      </c>
      <c r="I60" s="13" t="s">
        <v>82</v>
      </c>
      <c r="J60" s="13" t="s">
        <v>254</v>
      </c>
      <c r="K60" s="123">
        <v>2</v>
      </c>
    </row>
    <row r="61" ht="36" customHeight="1"/>
    <row r="62" ht="36" customHeight="1"/>
  </sheetData>
  <mergeCells count="1">
    <mergeCell ref="A1:K1"/>
  </mergeCells>
  <conditionalFormatting sqref="K3:K100">
    <cfRule type="dataBar" priority="1">
      <dataBar>
        <cfvo type="num" val="0"/>
        <cfvo type="num" val="1"/>
        <color rgb="FF1FA3A3"/>
      </dataBar>
      <extLst>
        <ext xmlns:x14="http://schemas.microsoft.com/office/spreadsheetml/2009/9/main" uri="{B025F937-C7B1-47D3-B67F-A62EFF666E3E}">
          <x14:id>{a482e715-29c3-478e-92a3-72437b71afb3}</x14:id>
        </ext>
      </extLst>
    </cfRule>
  </conditionalFormatting>
  <dataValidations count="3">
    <dataValidation type="list" allowBlank="1" sqref="H3:H48">
      <formula1>"P0,P1,P2"</formula1>
    </dataValidation>
    <dataValidation type="list" allowBlank="1" sqref="K3:K54">
      <formula1>"0,0.25,0.5,0.75,1"</formula1>
    </dataValidation>
    <dataValidation type="list" allowBlank="1" sqref="D3:E54">
      <formula1>"2026-10,2026-11,2026-12,2027-01,2027-02,2027-03,2027-04,2027-05,2027-06,2027-07,2027-08"</formula1>
    </dataValidation>
  </dataValidations>
  <pageMargins left="0.75" right="0.75" top="1" bottom="1" header="0.5" footer="0.5"/>
  <pageSetup paperSize="1" scale="83" fitToHeight="0" orientation="landscape"/>
  <headerFooter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82e715-29c3-478e-92a3-72437b71afb3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K3:K100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"/>
  <sheetViews>
    <sheetView showGridLines="0" workbookViewId="0">
      <selection activeCell="B1" sqref="B1"/>
    </sheetView>
  </sheetViews>
  <sheetFormatPr defaultColWidth="9" defaultRowHeight="14.4" outlineLevelCol="4"/>
  <cols>
    <col min="1" max="1" width="103.777777777778" style="111" customWidth="1"/>
    <col min="2" max="2" width="6" style="111" customWidth="1"/>
    <col min="3" max="16384" width="9" style="111" customWidth="1"/>
  </cols>
  <sheetData>
    <row r="1" ht="15.6" customHeight="1" spans="1:5">
      <c r="A1" s="112" t="s">
        <v>670</v>
      </c>
      <c r="B1" s="113" t="str">
        <f>HYPERLINK("#'Cover'!A1","←")</f>
        <v>←</v>
      </c>
      <c r="C1" s="114"/>
      <c r="E1" s="114"/>
    </row>
  </sheetData>
  <pageMargins left="0.75" right="0.75" top="1" bottom="1" header="0.5" footer="0.5"/>
  <pageSetup paperSize="1" scale="78" orientation="portrait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"/>
  <sheetViews>
    <sheetView showGridLines="0" workbookViewId="0">
      <selection activeCell="B1" sqref="B1"/>
    </sheetView>
  </sheetViews>
  <sheetFormatPr defaultColWidth="9" defaultRowHeight="14.4" outlineLevelCol="4"/>
  <cols>
    <col min="1" max="1" width="101.222222222222" style="111" customWidth="1"/>
    <col min="2" max="2" width="6" style="111" customWidth="1"/>
    <col min="3" max="16384" width="9" style="111" customWidth="1"/>
  </cols>
  <sheetData>
    <row r="1" ht="15.6" customHeight="1" spans="1:5">
      <c r="A1" s="112" t="s">
        <v>671</v>
      </c>
      <c r="B1" s="113" t="str">
        <f>HYPERLINK("#'Cover'!A1","←")</f>
        <v>←</v>
      </c>
      <c r="C1" s="114"/>
      <c r="E1" s="114"/>
    </row>
  </sheetData>
  <pageMargins left="0.75" right="0.75" top="1" bottom="1" header="0.5" footer="0.5"/>
  <pageSetup paperSize="1" scale="78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"/>
  <sheetViews>
    <sheetView showGridLines="0" workbookViewId="0">
      <selection activeCell="B1" sqref="B1"/>
    </sheetView>
  </sheetViews>
  <sheetFormatPr defaultColWidth="9" defaultRowHeight="14.4" outlineLevelCol="4"/>
  <cols>
    <col min="1" max="1" width="102.111111111111" style="111" customWidth="1"/>
    <col min="2" max="2" width="6" style="111" customWidth="1"/>
    <col min="3" max="16384" width="9" style="111" customWidth="1"/>
  </cols>
  <sheetData>
    <row r="1" ht="15.6" customHeight="1" spans="1:5">
      <c r="A1" s="112" t="s">
        <v>672</v>
      </c>
      <c r="B1" s="113" t="str">
        <f>HYPERLINK("#'Cover'!A1","←")</f>
        <v>←</v>
      </c>
      <c r="C1" s="114"/>
      <c r="E1" s="114"/>
    </row>
  </sheetData>
  <pageMargins left="0.75" right="0.75" top="1" bottom="1" header="0.5" footer="0.5"/>
  <pageSetup paperSize="1" scale="78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2A4A"/>
    <pageSetUpPr fitToPage="1"/>
  </sheetPr>
  <dimension ref="A1:V32"/>
  <sheetViews>
    <sheetView showGridLines="0" topLeftCell="B1" workbookViewId="0">
      <pane ySplit="2" topLeftCell="A3" activePane="bottomLeft" state="frozen"/>
      <selection/>
      <selection pane="bottomLeft" activeCell="V1" sqref="V1"/>
    </sheetView>
  </sheetViews>
  <sheetFormatPr defaultColWidth="9" defaultRowHeight="13.8"/>
  <cols>
    <col min="1" max="1" width="68.6666666666667" style="67" customWidth="1"/>
    <col min="2" max="4" width="10" style="67" customWidth="1"/>
    <col min="5" max="19" width="9" style="67" customWidth="1"/>
    <col min="20" max="20" width="13" style="67" customWidth="1"/>
    <col min="21" max="21" width="12" style="67" customWidth="1"/>
    <col min="22" max="16384" width="9" style="67" customWidth="1"/>
  </cols>
  <sheetData>
    <row r="1" ht="30" customHeight="1" spans="1:22">
      <c r="A1" s="68" t="str">
        <f ca="1">_xlfn.CONCAT("Timeline · ",COUNTIF(U3:U100,"Overdue")," OVERDUE · ",COUNTIF(D3:D100,1)," DONE")</f>
        <v>Timeline · 0 OVERDUE · 0 DONE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5" t="str">
        <f>HYPERLINK("#'Cover'!A1","←")</f>
        <v>←</v>
      </c>
    </row>
    <row r="2" ht="30" customHeight="1" spans="1:22">
      <c r="A2" s="7" t="s">
        <v>673</v>
      </c>
      <c r="B2" s="48" t="s">
        <v>557</v>
      </c>
      <c r="C2" s="48" t="s">
        <v>558</v>
      </c>
      <c r="D2" s="48" t="s">
        <v>674</v>
      </c>
      <c r="E2" s="48" t="s">
        <v>373</v>
      </c>
      <c r="F2" s="48" t="s">
        <v>374</v>
      </c>
      <c r="G2" s="48" t="s">
        <v>375</v>
      </c>
      <c r="H2" s="48" t="s">
        <v>351</v>
      </c>
      <c r="I2" s="48" t="s">
        <v>376</v>
      </c>
      <c r="J2" s="48" t="s">
        <v>377</v>
      </c>
      <c r="K2" s="48" t="s">
        <v>378</v>
      </c>
      <c r="L2" s="48" t="s">
        <v>379</v>
      </c>
      <c r="M2" s="48" t="s">
        <v>380</v>
      </c>
      <c r="N2" s="48" t="s">
        <v>381</v>
      </c>
      <c r="O2" s="48" t="s">
        <v>382</v>
      </c>
      <c r="P2" s="48" t="s">
        <v>383</v>
      </c>
      <c r="Q2" s="48" t="s">
        <v>675</v>
      </c>
      <c r="R2" s="48" t="s">
        <v>676</v>
      </c>
      <c r="S2" s="48" t="s">
        <v>677</v>
      </c>
      <c r="T2" s="48" t="s">
        <v>132</v>
      </c>
      <c r="U2" s="48" t="s">
        <v>192</v>
      </c>
    </row>
    <row r="3" spans="1:22">
      <c r="A3" s="70" t="str">
        <f>Tasklist!B3</f>
        <v>Stock closing gifts (sketchbook + stickers + pen + QR + red packet)</v>
      </c>
      <c r="B3" s="71" t="str">
        <f>Tasklist!D3</f>
        <v>2026-11</v>
      </c>
      <c r="C3" s="72" t="str">
        <f>Tasklist!E3</f>
        <v>2026-11</v>
      </c>
      <c r="D3" s="73">
        <f>Tasklist!K3</f>
        <v>0</v>
      </c>
      <c r="E3" s="74" t="str">
        <f t="shared" ref="E3:S3" si="0">IF(AND(E$2&gt;=$B3,E$2&lt;=$C3),"X","")</f>
        <v/>
      </c>
      <c r="F3" s="74" t="str">
        <f t="shared" si="0"/>
        <v>X</v>
      </c>
      <c r="G3" s="74" t="str">
        <f t="shared" si="0"/>
        <v/>
      </c>
      <c r="H3" s="74" t="str">
        <f t="shared" si="0"/>
        <v/>
      </c>
      <c r="I3" s="74" t="str">
        <f t="shared" si="0"/>
        <v/>
      </c>
      <c r="J3" s="74" t="str">
        <f t="shared" si="0"/>
        <v/>
      </c>
      <c r="K3" s="74" t="str">
        <f t="shared" si="0"/>
        <v/>
      </c>
      <c r="L3" s="74" t="str">
        <f t="shared" si="0"/>
        <v/>
      </c>
      <c r="M3" s="74" t="str">
        <f t="shared" si="0"/>
        <v/>
      </c>
      <c r="N3" s="74" t="str">
        <f t="shared" si="0"/>
        <v/>
      </c>
      <c r="O3" s="74" t="str">
        <f t="shared" si="0"/>
        <v/>
      </c>
      <c r="P3" s="74" t="str">
        <f t="shared" si="0"/>
        <v/>
      </c>
      <c r="Q3" s="74" t="str">
        <f t="shared" si="0"/>
        <v/>
      </c>
      <c r="R3" s="74" t="str">
        <f t="shared" si="0"/>
        <v/>
      </c>
      <c r="S3" s="74" t="str">
        <f t="shared" si="0"/>
        <v/>
      </c>
      <c r="T3" s="72" t="str">
        <f t="shared" ref="T3:T16" si="1">IF(D3&gt;=1,"Done",IF(D3&gt;0,"In progress","Not started"))</f>
        <v>Not started</v>
      </c>
      <c r="U3" s="75" t="str">
        <f ca="1" t="shared" ref="U3:U16" si="2">IF(D3&gt;=1,"-",IF(C3&lt;TEXT(TODAY(),"yyyy-mm"),"Overdue",IF(B3&lt;=TEXT(TODAY(),"yyyy-mm"),"This month","Not yet")))</f>
        <v>Not yet</v>
      </c>
    </row>
    <row r="4" spans="1:22">
      <c r="A4" s="76" t="str">
        <f>Tasklist!B4</f>
        <v>Window + lift ads live in 3 days</v>
      </c>
      <c r="B4" s="77" t="str">
        <f>Tasklist!D4</f>
        <v>2026-10</v>
      </c>
      <c r="C4" s="78" t="str">
        <f>Tasklist!E4</f>
        <v>2026-10</v>
      </c>
      <c r="D4" s="79">
        <f>Tasklist!K4</f>
        <v>0</v>
      </c>
      <c r="E4" s="80" t="str">
        <f t="shared" ref="E4:S4" si="3">IF(AND(E$2&gt;=$B4,E$2&lt;=$C4),"X","")</f>
        <v>X</v>
      </c>
      <c r="F4" s="80" t="str">
        <f t="shared" si="3"/>
        <v/>
      </c>
      <c r="G4" s="80" t="str">
        <f t="shared" si="3"/>
        <v/>
      </c>
      <c r="H4" s="80" t="str">
        <f t="shared" si="3"/>
        <v/>
      </c>
      <c r="I4" s="80" t="str">
        <f t="shared" si="3"/>
        <v/>
      </c>
      <c r="J4" s="80" t="str">
        <f t="shared" si="3"/>
        <v/>
      </c>
      <c r="K4" s="80" t="str">
        <f t="shared" si="3"/>
        <v/>
      </c>
      <c r="L4" s="80" t="str">
        <f t="shared" si="3"/>
        <v/>
      </c>
      <c r="M4" s="80" t="str">
        <f t="shared" si="3"/>
        <v/>
      </c>
      <c r="N4" s="80" t="str">
        <f t="shared" si="3"/>
        <v/>
      </c>
      <c r="O4" s="81" t="str">
        <f t="shared" si="3"/>
        <v/>
      </c>
      <c r="P4" s="80" t="str">
        <f t="shared" si="3"/>
        <v/>
      </c>
      <c r="Q4" s="80" t="str">
        <f t="shared" si="3"/>
        <v/>
      </c>
      <c r="R4" s="82" t="str">
        <f t="shared" si="3"/>
        <v/>
      </c>
      <c r="S4" s="82" t="str">
        <f t="shared" si="3"/>
        <v/>
      </c>
      <c r="T4" s="83" t="str">
        <f t="shared" si="1"/>
        <v>Not started</v>
      </c>
      <c r="U4" s="84" t="str">
        <f ca="1" t="shared" si="2"/>
        <v>This month</v>
      </c>
    </row>
    <row r="5" spans="1:22">
      <c r="A5" s="70" t="str">
        <f>Tasklist!B5</f>
        <v>Buy real pumpkins early + count tables</v>
      </c>
      <c r="B5" s="85" t="str">
        <f>Tasklist!D5</f>
        <v>2026-10</v>
      </c>
      <c r="C5" s="86" t="str">
        <f>Tasklist!E5</f>
        <v>2026-10</v>
      </c>
      <c r="D5" s="87">
        <f>Tasklist!K5</f>
        <v>0</v>
      </c>
      <c r="E5" s="88" t="str">
        <f t="shared" ref="E5:S5" si="4">IF(AND(E$2&gt;=$B5,E$2&lt;=$C5),"X","")</f>
        <v>X</v>
      </c>
      <c r="F5" s="88" t="str">
        <f t="shared" si="4"/>
        <v/>
      </c>
      <c r="G5" s="88" t="str">
        <f t="shared" si="4"/>
        <v/>
      </c>
      <c r="H5" s="88" t="str">
        <f t="shared" si="4"/>
        <v/>
      </c>
      <c r="I5" s="88" t="str">
        <f t="shared" si="4"/>
        <v/>
      </c>
      <c r="J5" s="88" t="str">
        <f t="shared" si="4"/>
        <v/>
      </c>
      <c r="K5" s="88" t="str">
        <f t="shared" si="4"/>
        <v/>
      </c>
      <c r="L5" s="88" t="str">
        <f t="shared" si="4"/>
        <v/>
      </c>
      <c r="M5" s="88" t="str">
        <f t="shared" si="4"/>
        <v/>
      </c>
      <c r="N5" s="88" t="str">
        <f t="shared" si="4"/>
        <v/>
      </c>
      <c r="O5" s="89" t="str">
        <f t="shared" si="4"/>
        <v/>
      </c>
      <c r="P5" s="88" t="str">
        <f t="shared" si="4"/>
        <v/>
      </c>
      <c r="Q5" s="88" t="str">
        <f t="shared" si="4"/>
        <v/>
      </c>
      <c r="R5" s="82" t="str">
        <f t="shared" si="4"/>
        <v/>
      </c>
      <c r="S5" s="82" t="str">
        <f t="shared" si="4"/>
        <v/>
      </c>
      <c r="T5" s="83" t="str">
        <f t="shared" si="1"/>
        <v>Not started</v>
      </c>
      <c r="U5" s="84" t="str">
        <f ca="1" t="shared" si="2"/>
        <v>This month</v>
      </c>
    </row>
    <row r="6" spans="1:22">
      <c r="A6" s="76" t="str">
        <f>Tasklist!B6</f>
        <v>Collect reviews + referrals</v>
      </c>
      <c r="B6" s="90" t="str">
        <f>Tasklist!D6</f>
        <v>2026-11</v>
      </c>
      <c r="C6" s="91" t="str">
        <f>Tasklist!E6</f>
        <v>2027-08</v>
      </c>
      <c r="D6" s="92">
        <f>Tasklist!K6</f>
        <v>0</v>
      </c>
      <c r="E6" s="80" t="str">
        <f t="shared" ref="E6:S6" si="5">IF(AND(E$2&gt;=$B6,E$2&lt;=$C6),"X","")</f>
        <v/>
      </c>
      <c r="F6" s="80" t="str">
        <f t="shared" si="5"/>
        <v>X</v>
      </c>
      <c r="G6" s="80" t="str">
        <f t="shared" si="5"/>
        <v>X</v>
      </c>
      <c r="H6" s="80" t="str">
        <f t="shared" si="5"/>
        <v>X</v>
      </c>
      <c r="I6" s="80" t="str">
        <f t="shared" si="5"/>
        <v>X</v>
      </c>
      <c r="J6" s="80" t="str">
        <f t="shared" si="5"/>
        <v>X</v>
      </c>
      <c r="K6" s="80" t="str">
        <f t="shared" si="5"/>
        <v>X</v>
      </c>
      <c r="L6" s="80" t="str">
        <f t="shared" si="5"/>
        <v>X</v>
      </c>
      <c r="M6" s="80" t="str">
        <f t="shared" si="5"/>
        <v>X</v>
      </c>
      <c r="N6" s="80" t="str">
        <f t="shared" si="5"/>
        <v>X</v>
      </c>
      <c r="O6" s="81" t="str">
        <f t="shared" si="5"/>
        <v>X</v>
      </c>
      <c r="P6" s="80" t="str">
        <f t="shared" si="5"/>
        <v/>
      </c>
      <c r="Q6" s="80" t="str">
        <f t="shared" si="5"/>
        <v/>
      </c>
      <c r="R6" s="82" t="str">
        <f t="shared" si="5"/>
        <v/>
      </c>
      <c r="S6" s="82" t="str">
        <f t="shared" si="5"/>
        <v/>
      </c>
      <c r="T6" s="83" t="str">
        <f t="shared" si="1"/>
        <v>Not started</v>
      </c>
      <c r="U6" s="84" t="str">
        <f ca="1" t="shared" si="2"/>
        <v>Not yet</v>
      </c>
    </row>
    <row r="7" spans="1:22">
      <c r="A7" s="70" t="str">
        <f>Tasklist!B7</f>
        <v>UN to NovArt brand cutover: EKA signage, lift ads, parent notice (old name UN Studio)</v>
      </c>
      <c r="B7" s="85" t="str">
        <f>Tasklist!D7</f>
        <v>2026-10</v>
      </c>
      <c r="C7" s="86" t="str">
        <f>Tasklist!E7</f>
        <v>2026-10</v>
      </c>
      <c r="D7" s="93">
        <f>Tasklist!K7</f>
        <v>0</v>
      </c>
      <c r="E7" s="88" t="str">
        <f t="shared" ref="E7:S7" si="6">IF(AND(E$2&gt;=$B7,E$2&lt;=$C7),"X","")</f>
        <v>X</v>
      </c>
      <c r="F7" s="88" t="str">
        <f t="shared" si="6"/>
        <v/>
      </c>
      <c r="G7" s="88" t="str">
        <f t="shared" si="6"/>
        <v/>
      </c>
      <c r="H7" s="88" t="str">
        <f t="shared" si="6"/>
        <v/>
      </c>
      <c r="I7" s="88" t="str">
        <f t="shared" si="6"/>
        <v/>
      </c>
      <c r="J7" s="88" t="str">
        <f t="shared" si="6"/>
        <v/>
      </c>
      <c r="K7" s="88" t="str">
        <f t="shared" si="6"/>
        <v/>
      </c>
      <c r="L7" s="88" t="str">
        <f t="shared" si="6"/>
        <v/>
      </c>
      <c r="M7" s="88" t="str">
        <f t="shared" si="6"/>
        <v/>
      </c>
      <c r="N7" s="88" t="str">
        <f t="shared" si="6"/>
        <v/>
      </c>
      <c r="O7" s="89" t="str">
        <f t="shared" si="6"/>
        <v/>
      </c>
      <c r="P7" s="88" t="str">
        <f t="shared" si="6"/>
        <v/>
      </c>
      <c r="Q7" s="88" t="str">
        <f t="shared" si="6"/>
        <v/>
      </c>
      <c r="R7" s="82" t="str">
        <f t="shared" si="6"/>
        <v/>
      </c>
      <c r="S7" s="82" t="str">
        <f t="shared" si="6"/>
        <v/>
      </c>
      <c r="T7" s="83" t="str">
        <f t="shared" si="1"/>
        <v>Not started</v>
      </c>
      <c r="U7" s="84" t="str">
        <f ca="1" t="shared" si="2"/>
        <v>This month</v>
      </c>
    </row>
    <row r="8" spans="1:22">
      <c r="A8" s="76" t="str">
        <f>Tasklist!B8</f>
        <v>Collect Josh 4-kid fees (discount signed, 24h)</v>
      </c>
      <c r="B8" s="90" t="str">
        <f>Tasklist!D8</f>
        <v>2026-10</v>
      </c>
      <c r="C8" s="91" t="str">
        <f>Tasklist!E8</f>
        <v>2026-10</v>
      </c>
      <c r="D8" s="79">
        <f>Tasklist!K8</f>
        <v>0</v>
      </c>
      <c r="E8" s="80" t="str">
        <f t="shared" ref="E8:S8" si="7">IF(AND(E$2&gt;=$B8,E$2&lt;=$C8),"X","")</f>
        <v>X</v>
      </c>
      <c r="F8" s="80" t="str">
        <f t="shared" si="7"/>
        <v/>
      </c>
      <c r="G8" s="80" t="str">
        <f t="shared" si="7"/>
        <v/>
      </c>
      <c r="H8" s="80" t="str">
        <f t="shared" si="7"/>
        <v/>
      </c>
      <c r="I8" s="80" t="str">
        <f t="shared" si="7"/>
        <v/>
      </c>
      <c r="J8" s="80" t="str">
        <f t="shared" si="7"/>
        <v/>
      </c>
      <c r="K8" s="80" t="str">
        <f t="shared" si="7"/>
        <v/>
      </c>
      <c r="L8" s="80" t="str">
        <f t="shared" si="7"/>
        <v/>
      </c>
      <c r="M8" s="80" t="str">
        <f t="shared" si="7"/>
        <v/>
      </c>
      <c r="N8" s="80" t="str">
        <f t="shared" si="7"/>
        <v/>
      </c>
      <c r="O8" s="81" t="str">
        <f t="shared" si="7"/>
        <v/>
      </c>
      <c r="P8" s="80" t="str">
        <f t="shared" si="7"/>
        <v/>
      </c>
      <c r="Q8" s="80" t="str">
        <f t="shared" si="7"/>
        <v/>
      </c>
      <c r="R8" s="82" t="str">
        <f t="shared" si="7"/>
        <v/>
      </c>
      <c r="S8" s="82" t="str">
        <f t="shared" si="7"/>
        <v/>
      </c>
      <c r="T8" s="83" t="str">
        <f t="shared" si="1"/>
        <v>Not started</v>
      </c>
      <c r="U8" s="84" t="str">
        <f ca="1" t="shared" si="2"/>
        <v>This month</v>
      </c>
    </row>
    <row r="9" spans="1:22">
      <c r="A9" s="70" t="str">
        <f>Tasklist!B9</f>
        <v>Revive Daphne-type dormant credits (18-class sleepers)</v>
      </c>
      <c r="B9" s="85" t="str">
        <f>Tasklist!D9</f>
        <v>2026-10</v>
      </c>
      <c r="C9" s="86" t="str">
        <f>Tasklist!E9</f>
        <v>2026-10</v>
      </c>
      <c r="D9" s="93">
        <f>Tasklist!K9</f>
        <v>0</v>
      </c>
      <c r="E9" s="88" t="str">
        <f t="shared" ref="E9:S9" si="8">IF(AND(E$2&gt;=$B9,E$2&lt;=$C9),"X","")</f>
        <v>X</v>
      </c>
      <c r="F9" s="88" t="str">
        <f t="shared" si="8"/>
        <v/>
      </c>
      <c r="G9" s="88" t="str">
        <f t="shared" si="8"/>
        <v/>
      </c>
      <c r="H9" s="88" t="str">
        <f t="shared" si="8"/>
        <v/>
      </c>
      <c r="I9" s="88" t="str">
        <f t="shared" si="8"/>
        <v/>
      </c>
      <c r="J9" s="88" t="str">
        <f t="shared" si="8"/>
        <v/>
      </c>
      <c r="K9" s="88" t="str">
        <f t="shared" si="8"/>
        <v/>
      </c>
      <c r="L9" s="88" t="str">
        <f t="shared" si="8"/>
        <v/>
      </c>
      <c r="M9" s="88" t="str">
        <f t="shared" si="8"/>
        <v/>
      </c>
      <c r="N9" s="88" t="str">
        <f t="shared" si="8"/>
        <v/>
      </c>
      <c r="O9" s="89" t="str">
        <f t="shared" si="8"/>
        <v/>
      </c>
      <c r="P9" s="88" t="str">
        <f t="shared" si="8"/>
        <v/>
      </c>
      <c r="Q9" s="88" t="str">
        <f t="shared" si="8"/>
        <v/>
      </c>
      <c r="R9" s="82" t="str">
        <f t="shared" si="8"/>
        <v/>
      </c>
      <c r="S9" s="82" t="str">
        <f t="shared" si="8"/>
        <v/>
      </c>
      <c r="T9" s="83" t="str">
        <f t="shared" si="1"/>
        <v>Not started</v>
      </c>
      <c r="U9" s="84" t="str">
        <f ca="1" t="shared" si="2"/>
        <v>This month</v>
      </c>
    </row>
    <row r="10" spans="1:22">
      <c r="A10" s="76" t="str">
        <f>Tasklist!B10</f>
        <v>Clear unpaid list before each camp/term</v>
      </c>
      <c r="B10" s="90" t="str">
        <f>Tasklist!D10</f>
        <v>2026-10</v>
      </c>
      <c r="C10" s="91" t="str">
        <f>Tasklist!E10</f>
        <v>2027-08</v>
      </c>
      <c r="D10" s="79">
        <f>Tasklist!K10</f>
        <v>0</v>
      </c>
      <c r="E10" s="80" t="str">
        <f t="shared" ref="E10:S10" si="9">IF(AND(E$2&gt;=$B10,E$2&lt;=$C10),"X","")</f>
        <v>X</v>
      </c>
      <c r="F10" s="80" t="str">
        <f t="shared" si="9"/>
        <v>X</v>
      </c>
      <c r="G10" s="80" t="str">
        <f t="shared" si="9"/>
        <v>X</v>
      </c>
      <c r="H10" s="80" t="str">
        <f t="shared" si="9"/>
        <v>X</v>
      </c>
      <c r="I10" s="80" t="str">
        <f t="shared" si="9"/>
        <v>X</v>
      </c>
      <c r="J10" s="80" t="str">
        <f t="shared" si="9"/>
        <v>X</v>
      </c>
      <c r="K10" s="80" t="str">
        <f t="shared" si="9"/>
        <v>X</v>
      </c>
      <c r="L10" s="80" t="str">
        <f t="shared" si="9"/>
        <v>X</v>
      </c>
      <c r="M10" s="80" t="str">
        <f t="shared" si="9"/>
        <v>X</v>
      </c>
      <c r="N10" s="80" t="str">
        <f t="shared" si="9"/>
        <v>X</v>
      </c>
      <c r="O10" s="81" t="str">
        <f t="shared" si="9"/>
        <v>X</v>
      </c>
      <c r="P10" s="80" t="str">
        <f t="shared" si="9"/>
        <v/>
      </c>
      <c r="Q10" s="80" t="str">
        <f t="shared" si="9"/>
        <v/>
      </c>
      <c r="R10" s="82" t="str">
        <f t="shared" si="9"/>
        <v/>
      </c>
      <c r="S10" s="82" t="str">
        <f t="shared" si="9"/>
        <v/>
      </c>
      <c r="T10" s="83" t="str">
        <f t="shared" si="1"/>
        <v>Not started</v>
      </c>
      <c r="U10" s="84" t="str">
        <f ca="1" t="shared" si="2"/>
        <v>This month</v>
      </c>
    </row>
    <row r="11" spans="1:22">
      <c r="A11" s="70" t="str">
        <f>Tasklist!B11</f>
        <v>Lock 3 open issues before start: CCA TA, trial fee, credit expiry</v>
      </c>
      <c r="B11" s="85" t="str">
        <f>Tasklist!D11</f>
        <v>2026-10</v>
      </c>
      <c r="C11" s="86" t="str">
        <f>Tasklist!E11</f>
        <v>2026-10</v>
      </c>
      <c r="D11" s="93">
        <f>Tasklist!K11</f>
        <v>0</v>
      </c>
      <c r="E11" s="88" t="str">
        <f t="shared" ref="E11:S11" si="10">IF(AND(E$2&gt;=$B11,E$2&lt;=$C11),"X","")</f>
        <v>X</v>
      </c>
      <c r="F11" s="88" t="str">
        <f t="shared" si="10"/>
        <v/>
      </c>
      <c r="G11" s="88" t="str">
        <f t="shared" si="10"/>
        <v/>
      </c>
      <c r="H11" s="88" t="str">
        <f t="shared" si="10"/>
        <v/>
      </c>
      <c r="I11" s="88" t="str">
        <f t="shared" si="10"/>
        <v/>
      </c>
      <c r="J11" s="88" t="str">
        <f t="shared" si="10"/>
        <v/>
      </c>
      <c r="K11" s="88" t="str">
        <f t="shared" si="10"/>
        <v/>
      </c>
      <c r="L11" s="88" t="str">
        <f t="shared" si="10"/>
        <v/>
      </c>
      <c r="M11" s="88" t="str">
        <f t="shared" si="10"/>
        <v/>
      </c>
      <c r="N11" s="88" t="str">
        <f t="shared" si="10"/>
        <v/>
      </c>
      <c r="O11" s="89" t="str">
        <f t="shared" si="10"/>
        <v/>
      </c>
      <c r="P11" s="88" t="str">
        <f t="shared" si="10"/>
        <v/>
      </c>
      <c r="Q11" s="88" t="str">
        <f t="shared" si="10"/>
        <v/>
      </c>
      <c r="R11" s="82" t="str">
        <f t="shared" si="10"/>
        <v/>
      </c>
      <c r="S11" s="82" t="str">
        <f t="shared" si="10"/>
        <v/>
      </c>
      <c r="T11" s="83" t="str">
        <f t="shared" si="1"/>
        <v>Not started</v>
      </c>
      <c r="U11" s="84" t="str">
        <f ca="1" t="shared" si="2"/>
        <v>This month</v>
      </c>
    </row>
    <row r="12" spans="1:22">
      <c r="A12" s="76" t="str">
        <f>Tasklist!B12</f>
        <v>Lock 400 list price story in T1 (tailor-made defense)</v>
      </c>
      <c r="B12" s="90" t="str">
        <f>Tasklist!D12</f>
        <v>2026-10</v>
      </c>
      <c r="C12" s="91" t="str">
        <f>Tasklist!E12</f>
        <v>2026-10</v>
      </c>
      <c r="D12" s="92">
        <f>Tasklist!K12</f>
        <v>0</v>
      </c>
      <c r="E12" s="80" t="str">
        <f t="shared" ref="E12:S12" si="11">IF(AND(E$2&gt;=$B12,E$2&lt;=$C12),"X","")</f>
        <v>X</v>
      </c>
      <c r="F12" s="80" t="str">
        <f t="shared" si="11"/>
        <v/>
      </c>
      <c r="G12" s="80" t="str">
        <f t="shared" si="11"/>
        <v/>
      </c>
      <c r="H12" s="80" t="str">
        <f t="shared" si="11"/>
        <v/>
      </c>
      <c r="I12" s="80" t="str">
        <f t="shared" si="11"/>
        <v/>
      </c>
      <c r="J12" s="80" t="str">
        <f t="shared" si="11"/>
        <v/>
      </c>
      <c r="K12" s="80" t="str">
        <f t="shared" si="11"/>
        <v/>
      </c>
      <c r="L12" s="80" t="str">
        <f t="shared" si="11"/>
        <v/>
      </c>
      <c r="M12" s="80" t="str">
        <f t="shared" si="11"/>
        <v/>
      </c>
      <c r="N12" s="80" t="str">
        <f t="shared" si="11"/>
        <v/>
      </c>
      <c r="O12" s="81" t="str">
        <f t="shared" si="11"/>
        <v/>
      </c>
      <c r="P12" s="80" t="str">
        <f t="shared" si="11"/>
        <v/>
      </c>
      <c r="Q12" s="80" t="str">
        <f t="shared" si="11"/>
        <v/>
      </c>
      <c r="R12" s="82" t="str">
        <f t="shared" si="11"/>
        <v/>
      </c>
      <c r="S12" s="82" t="str">
        <f t="shared" si="11"/>
        <v/>
      </c>
      <c r="T12" s="83" t="str">
        <f t="shared" si="1"/>
        <v>Not started</v>
      </c>
      <c r="U12" s="84" t="str">
        <f ca="1" t="shared" si="2"/>
        <v>This month</v>
      </c>
    </row>
    <row r="13" spans="1:22">
      <c r="A13" s="70" t="str">
        <f>Tasklist!B50</f>
        <v>Summer rota (who collects when Danny away)</v>
      </c>
      <c r="B13" s="85" t="str">
        <f>Tasklist!D50</f>
        <v>2027-06</v>
      </c>
      <c r="C13" s="86" t="str">
        <f>Tasklist!E50</f>
        <v>2027-06</v>
      </c>
      <c r="D13" s="87">
        <f>Tasklist!K50</f>
        <v>0</v>
      </c>
      <c r="E13" s="88" t="str">
        <f t="shared" ref="E13:S13" si="12">IF(AND(E$2&gt;=$B13,E$2&lt;=$C13),"X","")</f>
        <v/>
      </c>
      <c r="F13" s="88" t="str">
        <f t="shared" si="12"/>
        <v/>
      </c>
      <c r="G13" s="88" t="str">
        <f t="shared" si="12"/>
        <v/>
      </c>
      <c r="H13" s="88" t="str">
        <f t="shared" si="12"/>
        <v/>
      </c>
      <c r="I13" s="88" t="str">
        <f t="shared" si="12"/>
        <v/>
      </c>
      <c r="J13" s="88" t="str">
        <f t="shared" si="12"/>
        <v/>
      </c>
      <c r="K13" s="88" t="str">
        <f t="shared" si="12"/>
        <v/>
      </c>
      <c r="L13" s="88" t="str">
        <f t="shared" si="12"/>
        <v/>
      </c>
      <c r="M13" s="88" t="str">
        <f t="shared" si="12"/>
        <v>X</v>
      </c>
      <c r="N13" s="88" t="str">
        <f t="shared" si="12"/>
        <v/>
      </c>
      <c r="O13" s="89" t="str">
        <f t="shared" si="12"/>
        <v/>
      </c>
      <c r="P13" s="88" t="str">
        <f t="shared" si="12"/>
        <v/>
      </c>
      <c r="Q13" s="88" t="str">
        <f t="shared" si="12"/>
        <v/>
      </c>
      <c r="R13" s="82" t="str">
        <f t="shared" si="12"/>
        <v/>
      </c>
      <c r="S13" s="82" t="str">
        <f t="shared" si="12"/>
        <v/>
      </c>
      <c r="T13" s="83" t="str">
        <f t="shared" si="1"/>
        <v>Not started</v>
      </c>
      <c r="U13" s="84" t="str">
        <f ca="1" t="shared" si="2"/>
        <v>Not yet</v>
      </c>
    </row>
    <row r="14" spans="1:22">
      <c r="A14" s="94" t="str">
        <f>Tasklist!B53</f>
        <v>Trial fee or free: JD silent, meeting split (lock before start)</v>
      </c>
      <c r="B14" s="18" t="str">
        <f>Tasklist!D53</f>
        <v>2027-07</v>
      </c>
      <c r="C14" s="83" t="str">
        <f>Tasklist!E53</f>
        <v>2027-07</v>
      </c>
      <c r="D14" s="95">
        <f>Tasklist!K53</f>
        <v>0</v>
      </c>
      <c r="E14" s="82" t="str">
        <f t="shared" ref="E14:S14" si="13">IF(AND(E$2&gt;=$B14,E$2&lt;=$C14),"X","")</f>
        <v/>
      </c>
      <c r="F14" s="82" t="str">
        <f t="shared" si="13"/>
        <v/>
      </c>
      <c r="G14" s="82" t="str">
        <f t="shared" si="13"/>
        <v/>
      </c>
      <c r="H14" s="82" t="str">
        <f t="shared" si="13"/>
        <v/>
      </c>
      <c r="I14" s="82" t="str">
        <f t="shared" si="13"/>
        <v/>
      </c>
      <c r="J14" s="82" t="str">
        <f t="shared" si="13"/>
        <v/>
      </c>
      <c r="K14" s="82" t="str">
        <f t="shared" si="13"/>
        <v/>
      </c>
      <c r="L14" s="82" t="str">
        <f t="shared" si="13"/>
        <v/>
      </c>
      <c r="M14" s="82" t="str">
        <f t="shared" si="13"/>
        <v/>
      </c>
      <c r="N14" s="82" t="str">
        <f t="shared" si="13"/>
        <v>X</v>
      </c>
      <c r="O14" s="82" t="str">
        <f t="shared" si="13"/>
        <v/>
      </c>
      <c r="P14" s="82" t="str">
        <f t="shared" si="13"/>
        <v/>
      </c>
      <c r="Q14" s="82" t="str">
        <f t="shared" si="13"/>
        <v/>
      </c>
      <c r="R14" s="82" t="str">
        <f t="shared" si="13"/>
        <v/>
      </c>
      <c r="S14" s="82" t="str">
        <f t="shared" si="13"/>
        <v/>
      </c>
      <c r="T14" s="96" t="str">
        <f t="shared" si="1"/>
        <v>Not started</v>
      </c>
      <c r="U14" s="97" t="str">
        <f ca="1" t="shared" si="2"/>
        <v>Not yet</v>
      </c>
    </row>
    <row r="15" spans="1:22">
      <c r="A15" s="94" t="str">
        <f>Tasklist!B55</f>
        <v>Regular weeks (~18h/wk)</v>
      </c>
      <c r="B15" s="18" t="str">
        <f>Tasklist!D55</f>
        <v>2026-10</v>
      </c>
      <c r="C15" s="96" t="str">
        <f>Tasklist!E55</f>
        <v>2027-08</v>
      </c>
      <c r="D15" s="98">
        <f>Tasklist!K55</f>
        <v>0</v>
      </c>
      <c r="E15" s="82" t="str">
        <f t="shared" ref="E15:S15" si="14">IF(AND(E$2&gt;=$B15,E$2&lt;=$C15),"X","")</f>
        <v>X</v>
      </c>
      <c r="F15" s="82" t="str">
        <f t="shared" si="14"/>
        <v>X</v>
      </c>
      <c r="G15" s="82" t="str">
        <f t="shared" si="14"/>
        <v>X</v>
      </c>
      <c r="H15" s="82" t="str">
        <f t="shared" si="14"/>
        <v>X</v>
      </c>
      <c r="I15" s="82" t="str">
        <f t="shared" si="14"/>
        <v>X</v>
      </c>
      <c r="J15" s="82" t="str">
        <f t="shared" si="14"/>
        <v>X</v>
      </c>
      <c r="K15" s="82" t="str">
        <f t="shared" si="14"/>
        <v>X</v>
      </c>
      <c r="L15" s="82" t="str">
        <f t="shared" si="14"/>
        <v>X</v>
      </c>
      <c r="M15" s="82" t="str">
        <f t="shared" si="14"/>
        <v>X</v>
      </c>
      <c r="N15" s="82" t="str">
        <f t="shared" si="14"/>
        <v>X</v>
      </c>
      <c r="O15" s="82" t="str">
        <f t="shared" si="14"/>
        <v>X</v>
      </c>
      <c r="P15" s="82" t="str">
        <f t="shared" si="14"/>
        <v/>
      </c>
      <c r="Q15" s="82" t="str">
        <f t="shared" si="14"/>
        <v/>
      </c>
      <c r="R15" s="82" t="str">
        <f t="shared" si="14"/>
        <v/>
      </c>
      <c r="S15" s="82" t="str">
        <f t="shared" si="14"/>
        <v/>
      </c>
      <c r="T15" s="96" t="str">
        <f t="shared" si="1"/>
        <v>Not started</v>
      </c>
      <c r="U15" s="97" t="str">
        <f ca="1" t="shared" si="2"/>
        <v>This month</v>
      </c>
    </row>
    <row r="16" spans="1:22">
      <c r="A16" s="94" t="str">
        <f>Tasklist!B56</f>
        <v>Social/commission 10%/hospitality 3% owner + caps (TBD)</v>
      </c>
      <c r="B16" s="18" t="str">
        <f>Tasklist!D56</f>
        <v>2026-10</v>
      </c>
      <c r="C16" s="96" t="str">
        <f>Tasklist!E56</f>
        <v>2027-08</v>
      </c>
      <c r="D16" s="98">
        <f>Tasklist!K56</f>
        <v>0</v>
      </c>
      <c r="E16" s="82" t="str">
        <f t="shared" ref="E16:S16" si="15">IF(AND(E$2&gt;=$B16,E$2&lt;=$C16),"X","")</f>
        <v>X</v>
      </c>
      <c r="F16" s="82" t="str">
        <f t="shared" si="15"/>
        <v>X</v>
      </c>
      <c r="G16" s="82" t="str">
        <f t="shared" si="15"/>
        <v>X</v>
      </c>
      <c r="H16" s="82" t="str">
        <f t="shared" si="15"/>
        <v>X</v>
      </c>
      <c r="I16" s="82" t="str">
        <f t="shared" si="15"/>
        <v>X</v>
      </c>
      <c r="J16" s="82" t="str">
        <f t="shared" si="15"/>
        <v>X</v>
      </c>
      <c r="K16" s="82" t="str">
        <f t="shared" si="15"/>
        <v>X</v>
      </c>
      <c r="L16" s="82" t="str">
        <f t="shared" si="15"/>
        <v>X</v>
      </c>
      <c r="M16" s="82" t="str">
        <f t="shared" si="15"/>
        <v>X</v>
      </c>
      <c r="N16" s="82" t="str">
        <f t="shared" si="15"/>
        <v>X</v>
      </c>
      <c r="O16" s="82" t="str">
        <f t="shared" si="15"/>
        <v>X</v>
      </c>
      <c r="P16" s="82" t="str">
        <f t="shared" si="15"/>
        <v/>
      </c>
      <c r="Q16" s="82" t="str">
        <f t="shared" si="15"/>
        <v/>
      </c>
      <c r="R16" s="82" t="str">
        <f t="shared" si="15"/>
        <v/>
      </c>
      <c r="S16" s="82" t="str">
        <f t="shared" si="15"/>
        <v/>
      </c>
      <c r="T16" s="96" t="str">
        <f t="shared" si="1"/>
        <v>Not started</v>
      </c>
      <c r="U16" s="97" t="str">
        <f ca="1" t="shared" si="2"/>
        <v>This month</v>
      </c>
    </row>
    <row r="17" spans="1:21">
      <c r="A17" s="99" t="s">
        <v>678</v>
      </c>
      <c r="B17" s="100"/>
      <c r="C17" s="26"/>
      <c r="D17" s="98"/>
      <c r="E17" s="82" t="str">
        <f t="shared" ref="E17:S17" si="16">IF(AND(E$2&gt;=$B17,E$2&lt;=$C17),"X","")</f>
        <v/>
      </c>
      <c r="F17" s="82" t="str">
        <f t="shared" si="16"/>
        <v/>
      </c>
      <c r="G17" s="82" t="str">
        <f t="shared" si="16"/>
        <v/>
      </c>
      <c r="H17" s="82" t="str">
        <f t="shared" si="16"/>
        <v/>
      </c>
      <c r="I17" s="82" t="str">
        <f t="shared" si="16"/>
        <v/>
      </c>
      <c r="J17" s="82" t="str">
        <f t="shared" si="16"/>
        <v/>
      </c>
      <c r="K17" s="82" t="str">
        <f t="shared" si="16"/>
        <v/>
      </c>
      <c r="L17" s="82" t="str">
        <f t="shared" si="16"/>
        <v/>
      </c>
      <c r="M17" s="82" t="str">
        <f t="shared" si="16"/>
        <v/>
      </c>
      <c r="N17" s="82" t="str">
        <f t="shared" si="16"/>
        <v/>
      </c>
      <c r="O17" s="82" t="str">
        <f t="shared" si="16"/>
        <v/>
      </c>
      <c r="P17" s="82" t="str">
        <f t="shared" si="16"/>
        <v/>
      </c>
      <c r="Q17" s="82" t="str">
        <f t="shared" si="16"/>
        <v/>
      </c>
      <c r="R17" s="82" t="str">
        <f t="shared" si="16"/>
        <v/>
      </c>
      <c r="S17" s="82" t="str">
        <f t="shared" si="16"/>
        <v/>
      </c>
      <c r="T17" s="26"/>
      <c r="U17" s="27"/>
    </row>
    <row r="18" spans="1:21">
      <c r="A18" s="94" t="s">
        <v>679</v>
      </c>
      <c r="B18" s="18" t="s">
        <v>351</v>
      </c>
      <c r="C18" s="96" t="s">
        <v>351</v>
      </c>
      <c r="D18" s="98">
        <v>0</v>
      </c>
      <c r="E18" s="82" t="str">
        <f t="shared" ref="E18:S18" si="17">IF(AND(E$2&gt;=$B18,E$2&lt;=$C18),"X","")</f>
        <v/>
      </c>
      <c r="F18" s="82" t="str">
        <f t="shared" si="17"/>
        <v/>
      </c>
      <c r="G18" s="82" t="str">
        <f t="shared" si="17"/>
        <v/>
      </c>
      <c r="H18" s="82" t="str">
        <f t="shared" si="17"/>
        <v>X</v>
      </c>
      <c r="I18" s="82" t="str">
        <f t="shared" si="17"/>
        <v/>
      </c>
      <c r="J18" s="82" t="str">
        <f t="shared" si="17"/>
        <v/>
      </c>
      <c r="K18" s="82" t="str">
        <f t="shared" si="17"/>
        <v/>
      </c>
      <c r="L18" s="82" t="str">
        <f t="shared" si="17"/>
        <v/>
      </c>
      <c r="M18" s="82" t="str">
        <f t="shared" si="17"/>
        <v/>
      </c>
      <c r="N18" s="82" t="str">
        <f t="shared" si="17"/>
        <v/>
      </c>
      <c r="O18" s="82" t="str">
        <f t="shared" si="17"/>
        <v/>
      </c>
      <c r="P18" s="82" t="str">
        <f t="shared" si="17"/>
        <v/>
      </c>
      <c r="Q18" s="82" t="str">
        <f t="shared" si="17"/>
        <v/>
      </c>
      <c r="R18" s="82" t="str">
        <f t="shared" si="17"/>
        <v/>
      </c>
      <c r="S18" s="82" t="str">
        <f t="shared" si="17"/>
        <v/>
      </c>
      <c r="T18" s="96" t="str">
        <f t="shared" ref="T18:T25" si="18">IF(D18&gt;=1,"Done",IF(D18&gt;0,"In progress","Not started"))</f>
        <v>Not started</v>
      </c>
      <c r="U18" s="97" t="str">
        <f ca="1" t="shared" ref="U18:U25" si="19">IF(D18&gt;=1,"-",IF(C18&lt;TEXT(TODAY(),"yyyy-mm"),"Overdue",IF(B18&lt;=TEXT(TODAY(),"yyyy-mm"),"This month","Not yet")))</f>
        <v>Not yet</v>
      </c>
    </row>
    <row r="19" spans="1:21">
      <c r="A19" s="99" t="s">
        <v>680</v>
      </c>
      <c r="B19" s="101" t="s">
        <v>376</v>
      </c>
      <c r="C19" s="102" t="s">
        <v>376</v>
      </c>
      <c r="D19" s="103">
        <v>0</v>
      </c>
      <c r="E19" s="104" t="str">
        <f t="shared" ref="E19:S19" si="20">IF(AND(E$2&gt;=$B19,E$2&lt;=$C19),"X","")</f>
        <v/>
      </c>
      <c r="F19" s="104" t="str">
        <f t="shared" si="20"/>
        <v/>
      </c>
      <c r="G19" s="104" t="str">
        <f t="shared" si="20"/>
        <v/>
      </c>
      <c r="H19" s="104" t="str">
        <f t="shared" si="20"/>
        <v/>
      </c>
      <c r="I19" s="104" t="str">
        <f t="shared" si="20"/>
        <v>X</v>
      </c>
      <c r="J19" s="104" t="str">
        <f t="shared" si="20"/>
        <v/>
      </c>
      <c r="K19" s="104" t="str">
        <f t="shared" si="20"/>
        <v/>
      </c>
      <c r="L19" s="104" t="str">
        <f t="shared" si="20"/>
        <v/>
      </c>
      <c r="M19" s="104" t="str">
        <f t="shared" si="20"/>
        <v/>
      </c>
      <c r="N19" s="104" t="str">
        <f t="shared" si="20"/>
        <v/>
      </c>
      <c r="O19" s="104" t="str">
        <f t="shared" si="20"/>
        <v/>
      </c>
      <c r="P19" s="104" t="str">
        <f t="shared" si="20"/>
        <v/>
      </c>
      <c r="Q19" s="104" t="str">
        <f t="shared" si="20"/>
        <v/>
      </c>
      <c r="R19" s="104" t="str">
        <f t="shared" si="20"/>
        <v/>
      </c>
      <c r="S19" s="104" t="str">
        <f t="shared" si="20"/>
        <v/>
      </c>
      <c r="T19" s="102" t="str">
        <f t="shared" si="18"/>
        <v>Not started</v>
      </c>
      <c r="U19" s="105" t="str">
        <f ca="1" t="shared" si="19"/>
        <v>Not yet</v>
      </c>
    </row>
    <row r="20" spans="1:21">
      <c r="A20" s="94" t="s">
        <v>681</v>
      </c>
      <c r="B20" s="18" t="s">
        <v>379</v>
      </c>
      <c r="C20" s="96" t="s">
        <v>379</v>
      </c>
      <c r="D20" s="98">
        <v>0</v>
      </c>
      <c r="E20" s="82" t="str">
        <f t="shared" ref="E20:S20" si="21">IF(AND(E$2&gt;=$B20,E$2&lt;=$C20),"X","")</f>
        <v/>
      </c>
      <c r="F20" s="82" t="str">
        <f t="shared" si="21"/>
        <v/>
      </c>
      <c r="G20" s="82" t="str">
        <f t="shared" si="21"/>
        <v/>
      </c>
      <c r="H20" s="82" t="str">
        <f t="shared" si="21"/>
        <v/>
      </c>
      <c r="I20" s="82" t="str">
        <f t="shared" si="21"/>
        <v/>
      </c>
      <c r="J20" s="82" t="str">
        <f t="shared" si="21"/>
        <v/>
      </c>
      <c r="K20" s="82" t="str">
        <f t="shared" si="21"/>
        <v/>
      </c>
      <c r="L20" s="82" t="str">
        <f t="shared" si="21"/>
        <v>X</v>
      </c>
      <c r="M20" s="82" t="str">
        <f t="shared" si="21"/>
        <v/>
      </c>
      <c r="N20" s="82" t="str">
        <f t="shared" si="21"/>
        <v/>
      </c>
      <c r="O20" s="82" t="str">
        <f t="shared" si="21"/>
        <v/>
      </c>
      <c r="P20" s="82" t="str">
        <f t="shared" si="21"/>
        <v/>
      </c>
      <c r="Q20" s="82" t="str">
        <f t="shared" si="21"/>
        <v/>
      </c>
      <c r="R20" s="82" t="str">
        <f t="shared" si="21"/>
        <v/>
      </c>
      <c r="S20" s="82" t="str">
        <f t="shared" si="21"/>
        <v/>
      </c>
      <c r="T20" s="96" t="str">
        <f t="shared" si="18"/>
        <v>Not started</v>
      </c>
      <c r="U20" s="97" t="str">
        <f ca="1" t="shared" si="19"/>
        <v>Not yet</v>
      </c>
    </row>
    <row r="21" spans="1:21">
      <c r="A21" s="94" t="s">
        <v>682</v>
      </c>
      <c r="B21" s="18" t="s">
        <v>381</v>
      </c>
      <c r="C21" s="96" t="s">
        <v>381</v>
      </c>
      <c r="D21" s="98">
        <v>0</v>
      </c>
      <c r="E21" s="82" t="str">
        <f t="shared" ref="E21:S21" si="22">IF(AND(E$2&gt;=$B21,E$2&lt;=$C21),"X","")</f>
        <v/>
      </c>
      <c r="F21" s="82" t="str">
        <f t="shared" si="22"/>
        <v/>
      </c>
      <c r="G21" s="82" t="str">
        <f t="shared" si="22"/>
        <v/>
      </c>
      <c r="H21" s="82" t="str">
        <f t="shared" si="22"/>
        <v/>
      </c>
      <c r="I21" s="82" t="str">
        <f t="shared" si="22"/>
        <v/>
      </c>
      <c r="J21" s="82" t="str">
        <f t="shared" si="22"/>
        <v/>
      </c>
      <c r="K21" s="82" t="str">
        <f t="shared" si="22"/>
        <v/>
      </c>
      <c r="L21" s="82" t="str">
        <f t="shared" si="22"/>
        <v/>
      </c>
      <c r="M21" s="82" t="str">
        <f t="shared" si="22"/>
        <v/>
      </c>
      <c r="N21" s="82" t="str">
        <f t="shared" si="22"/>
        <v>X</v>
      </c>
      <c r="O21" s="82" t="str">
        <f t="shared" si="22"/>
        <v/>
      </c>
      <c r="P21" s="82" t="str">
        <f t="shared" si="22"/>
        <v/>
      </c>
      <c r="Q21" s="82" t="str">
        <f t="shared" si="22"/>
        <v/>
      </c>
      <c r="R21" s="82" t="str">
        <f t="shared" si="22"/>
        <v/>
      </c>
      <c r="S21" s="82" t="str">
        <f t="shared" si="22"/>
        <v/>
      </c>
      <c r="T21" s="96" t="str">
        <f t="shared" si="18"/>
        <v>Not started</v>
      </c>
      <c r="U21" s="97" t="str">
        <f ca="1" t="shared" si="19"/>
        <v>Not yet</v>
      </c>
    </row>
    <row r="22" spans="1:21">
      <c r="A22" s="94" t="s">
        <v>683</v>
      </c>
      <c r="B22" s="18" t="s">
        <v>382</v>
      </c>
      <c r="C22" s="96" t="s">
        <v>382</v>
      </c>
      <c r="D22" s="98">
        <v>0</v>
      </c>
      <c r="E22" s="82" t="str">
        <f t="shared" ref="E22:S22" si="23">IF(AND(E$2&gt;=$B22,E$2&lt;=$C22),"X","")</f>
        <v/>
      </c>
      <c r="F22" s="82" t="str">
        <f t="shared" si="23"/>
        <v/>
      </c>
      <c r="G22" s="82" t="str">
        <f t="shared" si="23"/>
        <v/>
      </c>
      <c r="H22" s="82" t="str">
        <f t="shared" si="23"/>
        <v/>
      </c>
      <c r="I22" s="82" t="str">
        <f t="shared" si="23"/>
        <v/>
      </c>
      <c r="J22" s="82" t="str">
        <f t="shared" si="23"/>
        <v/>
      </c>
      <c r="K22" s="82" t="str">
        <f t="shared" si="23"/>
        <v/>
      </c>
      <c r="L22" s="82" t="str">
        <f t="shared" si="23"/>
        <v/>
      </c>
      <c r="M22" s="82" t="str">
        <f t="shared" si="23"/>
        <v/>
      </c>
      <c r="N22" s="82" t="str">
        <f t="shared" si="23"/>
        <v/>
      </c>
      <c r="O22" s="82" t="str">
        <f t="shared" si="23"/>
        <v>X</v>
      </c>
      <c r="P22" s="82" t="str">
        <f t="shared" si="23"/>
        <v/>
      </c>
      <c r="Q22" s="82" t="str">
        <f t="shared" si="23"/>
        <v/>
      </c>
      <c r="R22" s="82" t="str">
        <f t="shared" si="23"/>
        <v/>
      </c>
      <c r="S22" s="82" t="str">
        <f t="shared" si="23"/>
        <v/>
      </c>
      <c r="T22" s="96" t="str">
        <f t="shared" si="18"/>
        <v>Not started</v>
      </c>
      <c r="U22" s="97" t="str">
        <f ca="1" t="shared" si="19"/>
        <v>Not yet</v>
      </c>
    </row>
    <row r="23" spans="1:21">
      <c r="A23" s="94" t="s">
        <v>684</v>
      </c>
      <c r="B23" s="18" t="s">
        <v>383</v>
      </c>
      <c r="C23" s="96" t="s">
        <v>383</v>
      </c>
      <c r="D23" s="98">
        <v>0</v>
      </c>
      <c r="E23" s="82" t="str">
        <f t="shared" ref="E23:S23" si="24">IF(AND(E$2&gt;=$B23,E$2&lt;=$C23),"X","")</f>
        <v/>
      </c>
      <c r="F23" s="82" t="str">
        <f t="shared" si="24"/>
        <v/>
      </c>
      <c r="G23" s="82" t="str">
        <f t="shared" si="24"/>
        <v/>
      </c>
      <c r="H23" s="82" t="str">
        <f t="shared" si="24"/>
        <v/>
      </c>
      <c r="I23" s="82" t="str">
        <f t="shared" si="24"/>
        <v/>
      </c>
      <c r="J23" s="82" t="str">
        <f t="shared" si="24"/>
        <v/>
      </c>
      <c r="K23" s="82" t="str">
        <f t="shared" si="24"/>
        <v/>
      </c>
      <c r="L23" s="82" t="str">
        <f t="shared" si="24"/>
        <v/>
      </c>
      <c r="M23" s="82" t="str">
        <f t="shared" si="24"/>
        <v/>
      </c>
      <c r="N23" s="82" t="str">
        <f t="shared" si="24"/>
        <v/>
      </c>
      <c r="O23" s="82" t="str">
        <f t="shared" si="24"/>
        <v/>
      </c>
      <c r="P23" s="82" t="str">
        <f t="shared" si="24"/>
        <v>X</v>
      </c>
      <c r="Q23" s="82" t="str">
        <f t="shared" si="24"/>
        <v/>
      </c>
      <c r="R23" s="82" t="str">
        <f t="shared" si="24"/>
        <v/>
      </c>
      <c r="S23" s="82" t="str">
        <f t="shared" si="24"/>
        <v/>
      </c>
      <c r="T23" s="96" t="str">
        <f t="shared" si="18"/>
        <v>Not started</v>
      </c>
      <c r="U23" s="97" t="str">
        <f ca="1" t="shared" si="19"/>
        <v>Not yet</v>
      </c>
    </row>
    <row r="24" spans="1:21">
      <c r="A24" s="94" t="s">
        <v>685</v>
      </c>
      <c r="B24" s="18" t="s">
        <v>675</v>
      </c>
      <c r="C24" s="96" t="s">
        <v>675</v>
      </c>
      <c r="D24" s="98">
        <v>0</v>
      </c>
      <c r="E24" s="82" t="str">
        <f t="shared" ref="E24:S24" si="25">IF(AND(E$2&gt;=$B24,E$2&lt;=$C24),"X","")</f>
        <v/>
      </c>
      <c r="F24" s="82" t="str">
        <f t="shared" si="25"/>
        <v/>
      </c>
      <c r="G24" s="82" t="str">
        <f t="shared" si="25"/>
        <v/>
      </c>
      <c r="H24" s="82" t="str">
        <f t="shared" si="25"/>
        <v/>
      </c>
      <c r="I24" s="82" t="str">
        <f t="shared" si="25"/>
        <v/>
      </c>
      <c r="J24" s="82" t="str">
        <f t="shared" si="25"/>
        <v/>
      </c>
      <c r="K24" s="82" t="str">
        <f t="shared" si="25"/>
        <v/>
      </c>
      <c r="L24" s="82" t="str">
        <f t="shared" si="25"/>
        <v/>
      </c>
      <c r="M24" s="82" t="str">
        <f t="shared" si="25"/>
        <v/>
      </c>
      <c r="N24" s="82" t="str">
        <f t="shared" si="25"/>
        <v/>
      </c>
      <c r="O24" s="82" t="str">
        <f t="shared" si="25"/>
        <v/>
      </c>
      <c r="P24" s="82" t="str">
        <f t="shared" si="25"/>
        <v/>
      </c>
      <c r="Q24" s="82" t="str">
        <f t="shared" si="25"/>
        <v>X</v>
      </c>
      <c r="R24" s="82" t="str">
        <f t="shared" si="25"/>
        <v/>
      </c>
      <c r="S24" s="82" t="str">
        <f t="shared" si="25"/>
        <v/>
      </c>
      <c r="T24" s="96" t="str">
        <f t="shared" si="18"/>
        <v>Not started</v>
      </c>
      <c r="U24" s="97" t="str">
        <f ca="1" t="shared" si="19"/>
        <v>Not yet</v>
      </c>
    </row>
    <row r="25" spans="1:21">
      <c r="A25" s="94" t="s">
        <v>686</v>
      </c>
      <c r="B25" s="18" t="s">
        <v>373</v>
      </c>
      <c r="C25" s="96" t="s">
        <v>677</v>
      </c>
      <c r="D25" s="98">
        <v>0</v>
      </c>
      <c r="E25" s="82" t="str">
        <f t="shared" ref="E25:S25" si="26">IF(AND(E$2&gt;=$B25,E$2&lt;=$C25),"X","")</f>
        <v>X</v>
      </c>
      <c r="F25" s="82" t="str">
        <f t="shared" si="26"/>
        <v>X</v>
      </c>
      <c r="G25" s="82" t="str">
        <f t="shared" si="26"/>
        <v>X</v>
      </c>
      <c r="H25" s="82" t="str">
        <f t="shared" si="26"/>
        <v>X</v>
      </c>
      <c r="I25" s="82" t="str">
        <f t="shared" si="26"/>
        <v>X</v>
      </c>
      <c r="J25" s="82" t="str">
        <f t="shared" si="26"/>
        <v>X</v>
      </c>
      <c r="K25" s="82" t="str">
        <f t="shared" si="26"/>
        <v>X</v>
      </c>
      <c r="L25" s="82" t="str">
        <f t="shared" si="26"/>
        <v>X</v>
      </c>
      <c r="M25" s="82" t="str">
        <f t="shared" si="26"/>
        <v>X</v>
      </c>
      <c r="N25" s="82" t="str">
        <f t="shared" si="26"/>
        <v>X</v>
      </c>
      <c r="O25" s="82" t="str">
        <f t="shared" si="26"/>
        <v>X</v>
      </c>
      <c r="P25" s="82" t="str">
        <f t="shared" si="26"/>
        <v>X</v>
      </c>
      <c r="Q25" s="82" t="str">
        <f t="shared" si="26"/>
        <v>X</v>
      </c>
      <c r="R25" s="82" t="str">
        <f t="shared" si="26"/>
        <v>X</v>
      </c>
      <c r="S25" s="82" t="str">
        <f t="shared" si="26"/>
        <v>X</v>
      </c>
      <c r="T25" s="96" t="str">
        <f t="shared" si="18"/>
        <v>Not started</v>
      </c>
      <c r="U25" s="97" t="str">
        <f ca="1" t="shared" si="19"/>
        <v>This month</v>
      </c>
    </row>
    <row r="26" spans="1:21">
      <c r="A26" s="99" t="s">
        <v>687</v>
      </c>
      <c r="B26" s="100"/>
      <c r="C26" s="26"/>
      <c r="D26" s="98"/>
      <c r="E26" s="82" t="str">
        <f t="shared" ref="E26:S26" si="27">IF(AND(E$2&gt;=$B26,E$2&lt;=$C26),"X","")</f>
        <v/>
      </c>
      <c r="F26" s="82" t="str">
        <f t="shared" si="27"/>
        <v/>
      </c>
      <c r="G26" s="82" t="str">
        <f t="shared" si="27"/>
        <v/>
      </c>
      <c r="H26" s="82" t="str">
        <f t="shared" si="27"/>
        <v/>
      </c>
      <c r="I26" s="82" t="str">
        <f t="shared" si="27"/>
        <v/>
      </c>
      <c r="J26" s="82" t="str">
        <f t="shared" si="27"/>
        <v/>
      </c>
      <c r="K26" s="82" t="str">
        <f t="shared" si="27"/>
        <v/>
      </c>
      <c r="L26" s="82" t="str">
        <f t="shared" si="27"/>
        <v/>
      </c>
      <c r="M26" s="82" t="str">
        <f t="shared" si="27"/>
        <v/>
      </c>
      <c r="N26" s="82" t="str">
        <f t="shared" si="27"/>
        <v/>
      </c>
      <c r="O26" s="82" t="str">
        <f t="shared" si="27"/>
        <v/>
      </c>
      <c r="P26" s="82" t="str">
        <f t="shared" si="27"/>
        <v/>
      </c>
      <c r="Q26" s="82" t="str">
        <f t="shared" si="27"/>
        <v/>
      </c>
      <c r="R26" s="82" t="str">
        <f t="shared" si="27"/>
        <v/>
      </c>
      <c r="S26" s="82" t="str">
        <f t="shared" si="27"/>
        <v/>
      </c>
      <c r="T26" s="26"/>
      <c r="U26" s="27"/>
    </row>
    <row r="27" spans="1:21">
      <c r="A27" s="94" t="s">
        <v>688</v>
      </c>
      <c r="B27" s="18" t="s">
        <v>373</v>
      </c>
      <c r="C27" s="96" t="s">
        <v>373</v>
      </c>
      <c r="D27" s="98">
        <v>0</v>
      </c>
      <c r="E27" s="82" t="str">
        <f t="shared" ref="E27:S27" si="28">IF(AND(E$2&gt;=$B27,E$2&lt;=$C27),"X","")</f>
        <v>X</v>
      </c>
      <c r="F27" s="82" t="str">
        <f t="shared" si="28"/>
        <v/>
      </c>
      <c r="G27" s="82" t="str">
        <f t="shared" si="28"/>
        <v/>
      </c>
      <c r="H27" s="82" t="str">
        <f t="shared" si="28"/>
        <v/>
      </c>
      <c r="I27" s="82" t="str">
        <f t="shared" si="28"/>
        <v/>
      </c>
      <c r="J27" s="82" t="str">
        <f t="shared" si="28"/>
        <v/>
      </c>
      <c r="K27" s="82" t="str">
        <f t="shared" si="28"/>
        <v/>
      </c>
      <c r="L27" s="82" t="str">
        <f t="shared" si="28"/>
        <v/>
      </c>
      <c r="M27" s="82" t="str">
        <f t="shared" si="28"/>
        <v/>
      </c>
      <c r="N27" s="82" t="str">
        <f t="shared" si="28"/>
        <v/>
      </c>
      <c r="O27" s="82" t="str">
        <f t="shared" si="28"/>
        <v/>
      </c>
      <c r="P27" s="82" t="str">
        <f t="shared" si="28"/>
        <v/>
      </c>
      <c r="Q27" s="82" t="str">
        <f t="shared" si="28"/>
        <v/>
      </c>
      <c r="R27" s="82" t="str">
        <f t="shared" si="28"/>
        <v/>
      </c>
      <c r="S27" s="82" t="str">
        <f t="shared" si="28"/>
        <v/>
      </c>
      <c r="T27" s="96" t="str">
        <f>IF(D27&gt;=1,"Done",IF(D27&gt;0,"In progress","Not started"))</f>
        <v>Not started</v>
      </c>
      <c r="U27" s="97" t="str">
        <f ca="1">IF(D27&gt;=1,"-",IF(C27&lt;TEXT(TODAY(),"yyyy-mm"),"Overdue",IF(B27&lt;=TEXT(TODAY(),"yyyy-mm"),"This month","Not yet")))</f>
        <v>This month</v>
      </c>
    </row>
    <row r="28" spans="1:21">
      <c r="A28" s="99" t="s">
        <v>689</v>
      </c>
      <c r="B28" s="101" t="s">
        <v>374</v>
      </c>
      <c r="C28" s="102" t="s">
        <v>374</v>
      </c>
      <c r="D28" s="103">
        <v>0</v>
      </c>
      <c r="E28" s="104" t="str">
        <f t="shared" ref="E28:S28" si="29">IF(AND(E$2&gt;=$B28,E$2&lt;=$C28),"X","")</f>
        <v/>
      </c>
      <c r="F28" s="104" t="str">
        <f t="shared" si="29"/>
        <v>X</v>
      </c>
      <c r="G28" s="104" t="str">
        <f t="shared" si="29"/>
        <v/>
      </c>
      <c r="H28" s="104" t="str">
        <f t="shared" si="29"/>
        <v/>
      </c>
      <c r="I28" s="104" t="str">
        <f t="shared" si="29"/>
        <v/>
      </c>
      <c r="J28" s="104" t="str">
        <f t="shared" si="29"/>
        <v/>
      </c>
      <c r="K28" s="104" t="str">
        <f t="shared" si="29"/>
        <v/>
      </c>
      <c r="L28" s="104" t="str">
        <f t="shared" si="29"/>
        <v/>
      </c>
      <c r="M28" s="104" t="str">
        <f t="shared" si="29"/>
        <v/>
      </c>
      <c r="N28" s="104" t="str">
        <f t="shared" si="29"/>
        <v/>
      </c>
      <c r="O28" s="104" t="str">
        <f t="shared" si="29"/>
        <v/>
      </c>
      <c r="P28" s="104" t="str">
        <f t="shared" si="29"/>
        <v/>
      </c>
      <c r="Q28" s="104" t="str">
        <f t="shared" si="29"/>
        <v/>
      </c>
      <c r="R28" s="104" t="str">
        <f t="shared" si="29"/>
        <v/>
      </c>
      <c r="S28" s="104" t="str">
        <f t="shared" si="29"/>
        <v/>
      </c>
      <c r="T28" s="102" t="str">
        <f>IF(D28&gt;=1,"Done",IF(D28&gt;0,"In progress","Not started"))</f>
        <v>Not started</v>
      </c>
      <c r="U28" s="105" t="str">
        <f ca="1">IF(D28&gt;=1,"-",IF(C28&lt;TEXT(TODAY(),"yyyy-mm"),"Overdue",IF(B28&lt;=TEXT(TODAY(),"yyyy-mm"),"This month","Not yet")))</f>
        <v>Not yet</v>
      </c>
    </row>
    <row r="29" spans="1:21">
      <c r="A29" s="94" t="s">
        <v>690</v>
      </c>
      <c r="B29" s="18" t="s">
        <v>375</v>
      </c>
      <c r="C29" s="96" t="s">
        <v>351</v>
      </c>
      <c r="D29" s="98">
        <v>0</v>
      </c>
      <c r="E29" s="82" t="str">
        <f t="shared" ref="E29:S29" si="30">IF(AND(E$2&gt;=$B29,E$2&lt;=$C29),"X","")</f>
        <v/>
      </c>
      <c r="F29" s="82" t="str">
        <f t="shared" si="30"/>
        <v/>
      </c>
      <c r="G29" s="82" t="str">
        <f t="shared" si="30"/>
        <v>X</v>
      </c>
      <c r="H29" s="82" t="str">
        <f t="shared" si="30"/>
        <v>X</v>
      </c>
      <c r="I29" s="82" t="str">
        <f t="shared" si="30"/>
        <v/>
      </c>
      <c r="J29" s="82" t="str">
        <f t="shared" si="30"/>
        <v/>
      </c>
      <c r="K29" s="82" t="str">
        <f t="shared" si="30"/>
        <v/>
      </c>
      <c r="L29" s="82" t="str">
        <f t="shared" si="30"/>
        <v/>
      </c>
      <c r="M29" s="82" t="str">
        <f t="shared" si="30"/>
        <v/>
      </c>
      <c r="N29" s="82" t="str">
        <f t="shared" si="30"/>
        <v/>
      </c>
      <c r="O29" s="82" t="str">
        <f t="shared" si="30"/>
        <v/>
      </c>
      <c r="P29" s="82" t="str">
        <f t="shared" si="30"/>
        <v/>
      </c>
      <c r="Q29" s="82" t="str">
        <f t="shared" si="30"/>
        <v/>
      </c>
      <c r="R29" s="82" t="str">
        <f t="shared" si="30"/>
        <v/>
      </c>
      <c r="S29" s="82" t="str">
        <f t="shared" si="30"/>
        <v/>
      </c>
      <c r="T29" s="96" t="str">
        <f>IF(D29&gt;=1,"Done",IF(D29&gt;0,"In progress","Not started"))</f>
        <v>Not started</v>
      </c>
      <c r="U29" s="97" t="str">
        <f ca="1">IF(D29&gt;=1,"-",IF(C29&lt;TEXT(TODAY(),"yyyy-mm"),"Overdue",IF(B29&lt;=TEXT(TODAY(),"yyyy-mm"),"This month","Not yet")))</f>
        <v>Not yet</v>
      </c>
    </row>
    <row r="30" spans="1:21">
      <c r="A30" s="94" t="s">
        <v>691</v>
      </c>
      <c r="B30" s="18" t="s">
        <v>375</v>
      </c>
      <c r="C30" s="96" t="s">
        <v>375</v>
      </c>
      <c r="D30" s="98">
        <v>0</v>
      </c>
      <c r="E30" s="82" t="str">
        <f t="shared" ref="E30:S30" si="31">IF(AND(E$2&gt;=$B30,E$2&lt;=$C30),"X","")</f>
        <v/>
      </c>
      <c r="F30" s="82" t="str">
        <f t="shared" si="31"/>
        <v/>
      </c>
      <c r="G30" s="82" t="str">
        <f t="shared" si="31"/>
        <v>X</v>
      </c>
      <c r="H30" s="82" t="str">
        <f t="shared" si="31"/>
        <v/>
      </c>
      <c r="I30" s="82" t="str">
        <f t="shared" si="31"/>
        <v/>
      </c>
      <c r="J30" s="82" t="str">
        <f t="shared" si="31"/>
        <v/>
      </c>
      <c r="K30" s="82" t="str">
        <f t="shared" si="31"/>
        <v/>
      </c>
      <c r="L30" s="82" t="str">
        <f t="shared" si="31"/>
        <v/>
      </c>
      <c r="M30" s="82" t="str">
        <f t="shared" si="31"/>
        <v/>
      </c>
      <c r="N30" s="82" t="str">
        <f t="shared" si="31"/>
        <v/>
      </c>
      <c r="O30" s="82" t="str">
        <f t="shared" si="31"/>
        <v/>
      </c>
      <c r="P30" s="82" t="str">
        <f t="shared" si="31"/>
        <v/>
      </c>
      <c r="Q30" s="82" t="str">
        <f t="shared" si="31"/>
        <v/>
      </c>
      <c r="R30" s="82" t="str">
        <f t="shared" si="31"/>
        <v/>
      </c>
      <c r="S30" s="82" t="str">
        <f t="shared" si="31"/>
        <v/>
      </c>
      <c r="T30" s="96" t="str">
        <f>IF(D30&gt;=1,"Done",IF(D30&gt;0,"In progress","Not started"))</f>
        <v>Not started</v>
      </c>
      <c r="U30" s="97" t="str">
        <f ca="1">IF(D30&gt;=1,"-",IF(C30&lt;TEXT(TODAY(),"yyyy-mm"),"Overdue",IF(B30&lt;=TEXT(TODAY(),"yyyy-mm"),"This month","Not yet")))</f>
        <v>Not yet</v>
      </c>
    </row>
    <row r="31" spans="1:21">
      <c r="A31" s="106"/>
      <c r="B31" s="100"/>
      <c r="C31" s="26"/>
      <c r="D31" s="98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26"/>
      <c r="U31" s="27"/>
    </row>
    <row r="32" ht="14.55" spans="1:21">
      <c r="A32" s="106"/>
      <c r="B32" s="108"/>
      <c r="C32" s="30"/>
      <c r="D32" s="109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30"/>
      <c r="U32" s="31"/>
    </row>
  </sheetData>
  <mergeCells count="1">
    <mergeCell ref="A1:U1"/>
  </mergeCells>
  <conditionalFormatting sqref="D3:D30">
    <cfRule type="dataBar" priority="12">
      <dataBar>
        <cfvo type="num" val="0"/>
        <cfvo type="num" val="1"/>
        <color rgb="FF1FA3A3"/>
      </dataBar>
      <extLst>
        <ext xmlns:x14="http://schemas.microsoft.com/office/spreadsheetml/2009/9/main" uri="{B025F937-C7B1-47D3-B67F-A62EFF666E3E}">
          <x14:id>{37982a4b-f873-495c-be64-fd23d106b645}</x14:id>
        </ext>
      </extLst>
    </cfRule>
  </conditionalFormatting>
  <conditionalFormatting sqref="U3:U30">
    <cfRule type="cellIs" dxfId="4" priority="7" operator="equal">
      <formula>"Overdue"</formula>
    </cfRule>
    <cfRule type="cellIs" dxfId="5" priority="8" operator="equal">
      <formula>"This month"</formula>
    </cfRule>
  </conditionalFormatting>
  <conditionalFormatting sqref="A3:U30">
    <cfRule type="expression" dxfId="6" priority="9">
      <formula>$U3="Overdue"</formula>
    </cfRule>
    <cfRule type="expression" dxfId="7" priority="10">
      <formula>$D3&gt;=1</formula>
    </cfRule>
  </conditionalFormatting>
  <conditionalFormatting sqref="E3:S30">
    <cfRule type="cellIs" dxfId="8" priority="11" operator="equal">
      <formula>"X"</formula>
    </cfRule>
  </conditionalFormatting>
  <dataValidations count="2">
    <dataValidation type="list" allowBlank="1" sqref="D3:D13">
      <formula1>"0,0.25,0.5,0.75,1"</formula1>
    </dataValidation>
    <dataValidation type="list" allowBlank="1" sqref="B3:C13">
      <formula1>"2026-10,2026-11,2026-12,2027-01,2027-02,2027-03,2027-04,2027-05,2027-06,2027-07,2027-08"</formula1>
    </dataValidation>
  </dataValidations>
  <pageMargins left="0.75" right="0.75" top="1" bottom="1" header="0.5" footer="0.5"/>
  <pageSetup paperSize="1" scale="46" fitToHeight="0" orientation="landscape"/>
  <headerFooter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982a4b-f873-495c-be64-fd23d106b645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D3:D30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71C1C"/>
    <pageSetUpPr fitToPage="1"/>
  </sheetPr>
  <dimension ref="A1:F11"/>
  <sheetViews>
    <sheetView showGridLines="0" workbookViewId="0">
      <pane ySplit="2" topLeftCell="A3" activePane="bottomLeft" state="frozen"/>
      <selection/>
      <selection pane="bottomLeft" activeCell="H10" sqref="H10"/>
    </sheetView>
  </sheetViews>
  <sheetFormatPr defaultColWidth="9" defaultRowHeight="13.8" outlineLevelCol="5"/>
  <cols>
    <col min="1" max="1" width="7.22222222222222" style="1" customWidth="1"/>
    <col min="2" max="2" width="46.4444444444444" style="1" customWidth="1"/>
    <col min="3" max="3" width="43.7777777777778" style="1" customWidth="1"/>
    <col min="4" max="4" width="38" style="1" customWidth="1"/>
    <col min="5" max="5" width="9.22222222222222" style="1" customWidth="1"/>
    <col min="6" max="16384" width="9" style="1"/>
  </cols>
  <sheetData>
    <row r="1" ht="30" customHeight="1" spans="1:6">
      <c r="A1" s="2" t="s">
        <v>692</v>
      </c>
      <c r="B1" s="3"/>
      <c r="C1" s="3"/>
      <c r="D1" s="3"/>
      <c r="E1" s="4"/>
      <c r="F1" s="46" t="str">
        <f>HYPERLINK("#'Cover'!A1","←")</f>
        <v>←</v>
      </c>
    </row>
    <row r="2" spans="1:6">
      <c r="A2" s="6" t="s">
        <v>693</v>
      </c>
      <c r="B2" s="7" t="s">
        <v>694</v>
      </c>
      <c r="C2" s="7" t="s">
        <v>695</v>
      </c>
      <c r="D2" s="7" t="s">
        <v>696</v>
      </c>
      <c r="E2" s="8" t="s">
        <v>623</v>
      </c>
    </row>
    <row r="3" ht="28.8" spans="1:6">
      <c r="A3" s="9" t="s">
        <v>697</v>
      </c>
      <c r="B3" s="65" t="s">
        <v>698</v>
      </c>
      <c r="C3" s="10" t="s">
        <v>699</v>
      </c>
      <c r="D3" s="10" t="s">
        <v>700</v>
      </c>
      <c r="E3" s="11" t="s">
        <v>701</v>
      </c>
    </row>
    <row r="4" ht="27.6" spans="1:6">
      <c r="A4" s="9" t="s">
        <v>702</v>
      </c>
      <c r="B4" s="65" t="s">
        <v>703</v>
      </c>
      <c r="C4" s="65" t="s">
        <v>704</v>
      </c>
      <c r="D4" s="10" t="s">
        <v>705</v>
      </c>
      <c r="E4" s="11" t="s">
        <v>706</v>
      </c>
    </row>
    <row r="5" ht="27.6" spans="1:6">
      <c r="A5" s="9" t="s">
        <v>707</v>
      </c>
      <c r="B5" s="65" t="s">
        <v>708</v>
      </c>
      <c r="C5" s="65" t="s">
        <v>709</v>
      </c>
      <c r="D5" s="65" t="s">
        <v>710</v>
      </c>
      <c r="E5" s="11" t="s">
        <v>711</v>
      </c>
    </row>
    <row r="6" ht="27.6" spans="1:6">
      <c r="A6" s="9" t="s">
        <v>712</v>
      </c>
      <c r="B6" s="65" t="s">
        <v>713</v>
      </c>
      <c r="C6" s="65" t="s">
        <v>714</v>
      </c>
      <c r="D6" s="65" t="s">
        <v>715</v>
      </c>
      <c r="E6" s="11" t="s">
        <v>574</v>
      </c>
    </row>
    <row r="7" ht="27.6" spans="1:6">
      <c r="A7" s="9" t="s">
        <v>716</v>
      </c>
      <c r="B7" s="65" t="s">
        <v>717</v>
      </c>
      <c r="C7" s="10" t="s">
        <v>718</v>
      </c>
      <c r="D7" s="65" t="s">
        <v>719</v>
      </c>
      <c r="E7" s="11" t="s">
        <v>720</v>
      </c>
    </row>
    <row r="8" ht="27.6" spans="1:6">
      <c r="A8" s="9" t="s">
        <v>721</v>
      </c>
      <c r="B8" s="65" t="s">
        <v>722</v>
      </c>
      <c r="C8" s="10" t="s">
        <v>723</v>
      </c>
      <c r="D8" s="65" t="s">
        <v>724</v>
      </c>
      <c r="E8" s="11" t="s">
        <v>621</v>
      </c>
    </row>
    <row r="9" ht="27.6" spans="1:6">
      <c r="A9" s="9" t="s">
        <v>725</v>
      </c>
      <c r="B9" s="10" t="s">
        <v>726</v>
      </c>
      <c r="C9" s="10" t="s">
        <v>727</v>
      </c>
      <c r="D9" s="65" t="s">
        <v>728</v>
      </c>
      <c r="E9" s="11" t="s">
        <v>574</v>
      </c>
    </row>
    <row r="10" ht="27.6" spans="1:6">
      <c r="A10" s="9" t="s">
        <v>729</v>
      </c>
      <c r="B10" s="65" t="s">
        <v>730</v>
      </c>
      <c r="C10" s="65" t="s">
        <v>731</v>
      </c>
      <c r="D10" s="65" t="s">
        <v>732</v>
      </c>
      <c r="E10" s="11" t="s">
        <v>733</v>
      </c>
    </row>
    <row r="11" ht="28.35" spans="1:6">
      <c r="A11" s="12" t="s">
        <v>734</v>
      </c>
      <c r="B11" s="66" t="s">
        <v>735</v>
      </c>
      <c r="C11" s="13" t="s">
        <v>736</v>
      </c>
      <c r="D11" s="66" t="s">
        <v>737</v>
      </c>
      <c r="E11" s="14" t="s">
        <v>604</v>
      </c>
    </row>
  </sheetData>
  <mergeCells count="1">
    <mergeCell ref="A1:E1"/>
  </mergeCells>
  <pageMargins left="0.75" right="0.75" top="1" bottom="1" header="0.5" footer="0.5"/>
  <pageSetup paperSize="1" scale="97" fitToHeight="0" orientation="landscape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71C1C"/>
    <pageSetUpPr fitToPage="1"/>
  </sheetPr>
  <dimension ref="A1:J7"/>
  <sheetViews>
    <sheetView showGridLines="0" workbookViewId="0">
      <pane ySplit="2" topLeftCell="A3" activePane="bottomLeft" state="frozen"/>
      <selection/>
      <selection pane="bottomLeft" activeCell="J1" sqref="J1"/>
    </sheetView>
  </sheetViews>
  <sheetFormatPr defaultColWidth="9" defaultRowHeight="13.8" outlineLevelRow="6"/>
  <cols>
    <col min="1" max="1" width="8" style="1" customWidth="1"/>
    <col min="2" max="2" width="13.5555555555556" style="1" customWidth="1"/>
    <col min="3" max="3" width="42.2222222222222" style="1" customWidth="1"/>
    <col min="4" max="4" width="29.4444444444444" style="1" customWidth="1"/>
    <col min="5" max="5" width="39.4444444444444" style="1" customWidth="1"/>
    <col min="6" max="6" width="38.2222222222222" style="1" customWidth="1"/>
    <col min="7" max="7" width="9.22222222222222" style="1" customWidth="1"/>
    <col min="8" max="8" width="6.22222222222222" style="1" customWidth="1"/>
    <col min="9" max="9" width="5.66666666666667" style="1" customWidth="1"/>
    <col min="10" max="16384" width="9" style="1"/>
  </cols>
  <sheetData>
    <row r="1" ht="24" customHeight="1" spans="1:10">
      <c r="A1" s="2" t="s">
        <v>738</v>
      </c>
      <c r="B1" s="61"/>
      <c r="C1" s="61"/>
      <c r="D1" s="61"/>
      <c r="E1" s="61"/>
      <c r="F1" s="61"/>
      <c r="G1" s="61"/>
      <c r="H1" s="61"/>
      <c r="I1" s="62"/>
      <c r="J1" s="5" t="str">
        <f>HYPERLINK("#'Cover'!A1","←")</f>
        <v>←</v>
      </c>
    </row>
    <row r="2" spans="1:10">
      <c r="A2" s="6" t="s">
        <v>739</v>
      </c>
      <c r="B2" s="7" t="s">
        <v>39</v>
      </c>
      <c r="C2" s="7" t="s">
        <v>740</v>
      </c>
      <c r="D2" s="7" t="s">
        <v>741</v>
      </c>
      <c r="E2" s="7" t="s">
        <v>742</v>
      </c>
      <c r="F2" s="7" t="s">
        <v>743</v>
      </c>
      <c r="G2" s="7" t="s">
        <v>744</v>
      </c>
      <c r="H2" s="7" t="s">
        <v>136</v>
      </c>
      <c r="I2" s="8" t="s">
        <v>132</v>
      </c>
    </row>
    <row r="3" ht="41.4" spans="1:10">
      <c r="A3" s="9" t="s">
        <v>745</v>
      </c>
      <c r="B3" s="10" t="s">
        <v>746</v>
      </c>
      <c r="C3" s="10" t="s">
        <v>747</v>
      </c>
      <c r="D3" s="10" t="s">
        <v>748</v>
      </c>
      <c r="E3" s="10" t="s">
        <v>749</v>
      </c>
      <c r="F3" s="10" t="s">
        <v>750</v>
      </c>
      <c r="G3" s="63" t="s">
        <v>569</v>
      </c>
      <c r="H3" s="10" t="s">
        <v>510</v>
      </c>
      <c r="I3" s="11" t="s">
        <v>751</v>
      </c>
    </row>
    <row r="4" ht="41.4" spans="1:10">
      <c r="A4" s="9" t="s">
        <v>752</v>
      </c>
      <c r="B4" s="10" t="s">
        <v>753</v>
      </c>
      <c r="C4" s="10" t="s">
        <v>754</v>
      </c>
      <c r="D4" s="10" t="s">
        <v>755</v>
      </c>
      <c r="E4" s="10" t="s">
        <v>756</v>
      </c>
      <c r="F4" s="10" t="s">
        <v>757</v>
      </c>
      <c r="G4" s="63" t="s">
        <v>569</v>
      </c>
      <c r="H4" s="10" t="s">
        <v>510</v>
      </c>
      <c r="I4" s="11" t="s">
        <v>751</v>
      </c>
    </row>
    <row r="5" ht="41.4" spans="1:10">
      <c r="A5" s="9" t="s">
        <v>758</v>
      </c>
      <c r="B5" s="10" t="s">
        <v>759</v>
      </c>
      <c r="C5" s="10" t="s">
        <v>760</v>
      </c>
      <c r="D5" s="10" t="s">
        <v>761</v>
      </c>
      <c r="E5" s="10" t="s">
        <v>762</v>
      </c>
      <c r="F5" s="10" t="s">
        <v>763</v>
      </c>
      <c r="G5" s="63" t="s">
        <v>569</v>
      </c>
      <c r="H5" s="10" t="s">
        <v>510</v>
      </c>
      <c r="I5" s="11" t="s">
        <v>751</v>
      </c>
    </row>
    <row r="6" ht="27.6" spans="1:10">
      <c r="A6" s="9" t="s">
        <v>764</v>
      </c>
      <c r="B6" s="10" t="s">
        <v>765</v>
      </c>
      <c r="C6" s="10" t="s">
        <v>766</v>
      </c>
      <c r="D6" s="10" t="s">
        <v>767</v>
      </c>
      <c r="E6" s="10" t="s">
        <v>768</v>
      </c>
      <c r="F6" s="10" t="s">
        <v>769</v>
      </c>
      <c r="G6" s="63" t="s">
        <v>569</v>
      </c>
      <c r="H6" s="10" t="s">
        <v>510</v>
      </c>
      <c r="I6" s="11" t="s">
        <v>751</v>
      </c>
    </row>
    <row r="7" ht="28.35" spans="1:10">
      <c r="A7" s="12" t="s">
        <v>770</v>
      </c>
      <c r="B7" s="13" t="s">
        <v>771</v>
      </c>
      <c r="C7" s="13" t="s">
        <v>772</v>
      </c>
      <c r="D7" s="13" t="s">
        <v>773</v>
      </c>
      <c r="E7" s="13" t="s">
        <v>774</v>
      </c>
      <c r="F7" s="13" t="s">
        <v>775</v>
      </c>
      <c r="G7" s="64" t="s">
        <v>776</v>
      </c>
      <c r="H7" s="13" t="s">
        <v>510</v>
      </c>
      <c r="I7" s="14" t="s">
        <v>751</v>
      </c>
    </row>
  </sheetData>
  <mergeCells count="1">
    <mergeCell ref="A1:I1"/>
  </mergeCells>
  <dataValidations count="1">
    <dataValidation type="list" allowBlank="1" sqref="G3:G100">
      <formula1>"Open,Monitoring,Closed"</formula1>
    </dataValidation>
  </dataValidations>
  <pageMargins left="0.75" right="0.75" top="1" bottom="1" header="0.5" footer="0.5"/>
  <pageSetup paperSize="1" scale="58" fitToHeight="0" orientation="landscape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D32"/>
    <pageSetUpPr fitToPage="1"/>
  </sheetPr>
  <dimension ref="A1:F10"/>
  <sheetViews>
    <sheetView showGridLines="0" workbookViewId="0">
      <pane ySplit="2" topLeftCell="A3" activePane="bottomLeft" state="frozen"/>
      <selection/>
      <selection pane="bottomLeft" activeCell="F1" sqref="F1"/>
    </sheetView>
  </sheetViews>
  <sheetFormatPr defaultColWidth="9" defaultRowHeight="14.4" outlineLevelCol="5"/>
  <cols>
    <col min="1" max="1" width="8" style="1" customWidth="1"/>
    <col min="2" max="2" width="44" style="1" customWidth="1"/>
    <col min="3" max="3" width="30" style="1" customWidth="1"/>
    <col min="4" max="4" width="8" style="1" customWidth="1"/>
    <col min="5" max="5" width="22" style="1" customWidth="1"/>
    <col min="6" max="6" width="9" style="1"/>
  </cols>
  <sheetData>
    <row r="1" ht="30" customHeight="1" spans="1:6">
      <c r="A1" s="53" t="s">
        <v>777</v>
      </c>
      <c r="B1" s="54"/>
      <c r="C1" s="54"/>
      <c r="D1" s="54"/>
      <c r="E1" s="54"/>
      <c r="F1" s="46" t="str">
        <f>HYPERLINK("#'Cover'!A1","←")</f>
        <v>←</v>
      </c>
    </row>
    <row r="2" ht="30" customHeight="1" spans="1:6">
      <c r="A2" s="48" t="s">
        <v>426</v>
      </c>
      <c r="B2" s="48" t="s">
        <v>778</v>
      </c>
      <c r="C2" s="48" t="s">
        <v>779</v>
      </c>
      <c r="D2" s="48" t="s">
        <v>80</v>
      </c>
      <c r="E2" s="48" t="s">
        <v>780</v>
      </c>
    </row>
    <row r="3" ht="27.6" spans="1:6">
      <c r="A3" s="55" t="s">
        <v>781</v>
      </c>
      <c r="B3" s="56" t="s">
        <v>782</v>
      </c>
      <c r="C3" s="57" t="str">
        <f>HYPERLINK("#'Dashboard'!A1","Dashboard")</f>
        <v>Dashboard</v>
      </c>
      <c r="D3" s="56" t="s">
        <v>82</v>
      </c>
      <c r="E3" s="58" t="s">
        <v>783</v>
      </c>
    </row>
    <row r="4" spans="1:6">
      <c r="A4" s="9" t="s">
        <v>784</v>
      </c>
      <c r="B4" s="10" t="s">
        <v>785</v>
      </c>
      <c r="C4" s="59" t="str">
        <f>HYPERLINK("#'Students'!A1","Students")</f>
        <v>Students</v>
      </c>
      <c r="D4" s="10" t="s">
        <v>82</v>
      </c>
      <c r="E4" s="11" t="s">
        <v>786</v>
      </c>
    </row>
    <row r="5" spans="1:6">
      <c r="A5" s="9" t="s">
        <v>787</v>
      </c>
      <c r="B5" s="10" t="s">
        <v>788</v>
      </c>
      <c r="C5" s="59" t="str">
        <f>HYPERLINK("#'Makeup_Churn'!A1","Makeup_Churn")</f>
        <v>Makeup_Churn</v>
      </c>
      <c r="D5" s="10" t="s">
        <v>82</v>
      </c>
      <c r="E5" s="11" t="s">
        <v>789</v>
      </c>
    </row>
    <row r="6" spans="1:6">
      <c r="A6" s="9" t="s">
        <v>790</v>
      </c>
      <c r="B6" s="10" t="s">
        <v>791</v>
      </c>
      <c r="C6" s="59" t="str">
        <f>HYPERLINK("#'Invoices'!A1","Invoices")</f>
        <v>Invoices</v>
      </c>
      <c r="D6" s="10" t="s">
        <v>82</v>
      </c>
      <c r="E6" s="11" t="s">
        <v>792</v>
      </c>
    </row>
    <row r="7" spans="1:6">
      <c r="A7" s="9" t="s">
        <v>793</v>
      </c>
      <c r="B7" s="10" t="s">
        <v>794</v>
      </c>
      <c r="C7" s="59" t="str">
        <f>HYPERLINK("#'Leads'!A1","Leads")</f>
        <v>Leads</v>
      </c>
      <c r="D7" s="10" t="s">
        <v>82</v>
      </c>
      <c r="E7" s="11" t="s">
        <v>795</v>
      </c>
    </row>
    <row r="8" spans="1:6">
      <c r="A8" s="9" t="s">
        <v>796</v>
      </c>
      <c r="B8" s="10" t="s">
        <v>797</v>
      </c>
      <c r="C8" s="59" t="str">
        <f>HYPERLINK("#'Trials'!A1","Trials")</f>
        <v>Trials</v>
      </c>
      <c r="D8" s="10" t="s">
        <v>82</v>
      </c>
      <c r="E8" s="11" t="s">
        <v>798</v>
      </c>
    </row>
    <row r="9" spans="1:6">
      <c r="A9" s="9" t="s">
        <v>799</v>
      </c>
      <c r="B9" s="10" t="s">
        <v>800</v>
      </c>
      <c r="C9" s="59" t="str">
        <f>HYPERLINK("#'Consents'!A1","Consents")</f>
        <v>Consents</v>
      </c>
      <c r="D9" s="10" t="s">
        <v>82</v>
      </c>
      <c r="E9" s="11" t="s">
        <v>801</v>
      </c>
    </row>
    <row r="10" ht="15.15" spans="1:6">
      <c r="A10" s="12" t="s">
        <v>802</v>
      </c>
      <c r="B10" s="13" t="s">
        <v>803</v>
      </c>
      <c r="C10" s="60" t="str">
        <f>HYPERLINK("#'Tasklist'!A1","Tasklist")</f>
        <v>Tasklist</v>
      </c>
      <c r="D10" s="13" t="s">
        <v>82</v>
      </c>
      <c r="E10" s="14" t="s">
        <v>804</v>
      </c>
    </row>
  </sheetData>
  <mergeCells count="1">
    <mergeCell ref="A1:E1"/>
  </mergeCells>
  <dataValidations count="1">
    <dataValidation type="list" allowBlank="1" sqref="D3:D10">
      <formula1>"Yes,No"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D32"/>
    <pageSetUpPr fitToPage="1"/>
  </sheetPr>
  <dimension ref="A1:G19"/>
  <sheetViews>
    <sheetView showGridLines="0" workbookViewId="0">
      <pane ySplit="2" topLeftCell="A8" activePane="bottomLeft" state="frozen"/>
      <selection/>
      <selection pane="bottomLeft" activeCell="B29" sqref="B29"/>
    </sheetView>
  </sheetViews>
  <sheetFormatPr defaultColWidth="9" defaultRowHeight="13.8" outlineLevelCol="6"/>
  <cols>
    <col min="1" max="1" width="16" style="1" customWidth="1"/>
    <col min="2" max="2" width="75.7777777777778" style="1" customWidth="1"/>
    <col min="3" max="4" width="8" style="1" customWidth="1"/>
    <col min="5" max="5" width="44" style="1" customWidth="1"/>
    <col min="6" max="6" width="16" style="1" customWidth="1"/>
    <col min="7" max="16384" width="9" style="1"/>
  </cols>
  <sheetData>
    <row r="1" ht="30" customHeight="1" spans="1:7">
      <c r="A1" s="34" t="s">
        <v>805</v>
      </c>
      <c r="B1" s="44"/>
      <c r="C1" s="44"/>
      <c r="D1" s="44"/>
      <c r="E1" s="44"/>
      <c r="F1" s="45"/>
      <c r="G1" s="46" t="str">
        <f>HYPERLINK("#'Cover'!A1","←")</f>
        <v>←</v>
      </c>
    </row>
    <row r="2" ht="30" customHeight="1" spans="1:7">
      <c r="A2" s="47" t="s">
        <v>806</v>
      </c>
      <c r="B2" s="48" t="s">
        <v>673</v>
      </c>
      <c r="C2" s="48" t="s">
        <v>136</v>
      </c>
      <c r="D2" s="48" t="s">
        <v>80</v>
      </c>
      <c r="E2" s="48" t="s">
        <v>807</v>
      </c>
      <c r="F2" s="49" t="s">
        <v>808</v>
      </c>
    </row>
    <row r="3" ht="27.6" spans="1:7">
      <c r="A3" s="50" t="s">
        <v>809</v>
      </c>
      <c r="B3" s="51" t="s">
        <v>810</v>
      </c>
      <c r="C3" s="51" t="s">
        <v>510</v>
      </c>
      <c r="D3" s="51" t="s">
        <v>82</v>
      </c>
      <c r="E3" s="51" t="s">
        <v>811</v>
      </c>
      <c r="F3" s="52" t="s">
        <v>82</v>
      </c>
    </row>
    <row r="4" ht="27.6" spans="1:7">
      <c r="A4" s="39" t="s">
        <v>809</v>
      </c>
      <c r="B4" s="10" t="s">
        <v>812</v>
      </c>
      <c r="C4" s="10" t="s">
        <v>510</v>
      </c>
      <c r="D4" s="10" t="s">
        <v>82</v>
      </c>
      <c r="E4" s="10" t="s">
        <v>813</v>
      </c>
      <c r="F4" s="40" t="s">
        <v>82</v>
      </c>
    </row>
    <row r="5" ht="27.6" spans="1:7">
      <c r="A5" s="39" t="s">
        <v>814</v>
      </c>
      <c r="B5" s="10" t="s">
        <v>815</v>
      </c>
      <c r="C5" s="10" t="s">
        <v>510</v>
      </c>
      <c r="D5" s="10" t="s">
        <v>82</v>
      </c>
      <c r="E5" s="10" t="s">
        <v>816</v>
      </c>
      <c r="F5" s="40" t="s">
        <v>82</v>
      </c>
    </row>
    <row r="6" ht="41.4" spans="1:7">
      <c r="A6" s="39" t="s">
        <v>817</v>
      </c>
      <c r="B6" s="10" t="s">
        <v>818</v>
      </c>
      <c r="C6" s="10" t="s">
        <v>510</v>
      </c>
      <c r="D6" s="10" t="s">
        <v>82</v>
      </c>
      <c r="E6" s="10" t="s">
        <v>819</v>
      </c>
      <c r="F6" s="40" t="s">
        <v>82</v>
      </c>
    </row>
    <row r="7" ht="41.4" spans="1:7">
      <c r="A7" s="39" t="s">
        <v>817</v>
      </c>
      <c r="B7" s="10" t="s">
        <v>820</v>
      </c>
      <c r="C7" s="10" t="s">
        <v>510</v>
      </c>
      <c r="D7" s="10" t="s">
        <v>82</v>
      </c>
      <c r="E7" s="10" t="s">
        <v>821</v>
      </c>
      <c r="F7" s="40" t="s">
        <v>82</v>
      </c>
    </row>
    <row r="8" ht="27.6" spans="1:7">
      <c r="A8" s="39" t="s">
        <v>817</v>
      </c>
      <c r="B8" s="10" t="s">
        <v>822</v>
      </c>
      <c r="C8" s="10" t="s">
        <v>510</v>
      </c>
      <c r="D8" s="10" t="s">
        <v>82</v>
      </c>
      <c r="E8" s="10" t="s">
        <v>823</v>
      </c>
      <c r="F8" s="40" t="s">
        <v>82</v>
      </c>
    </row>
    <row r="9" spans="1:7">
      <c r="A9" s="39" t="s">
        <v>824</v>
      </c>
      <c r="B9" s="10" t="s">
        <v>825</v>
      </c>
      <c r="C9" s="10" t="s">
        <v>510</v>
      </c>
      <c r="D9" s="10" t="s">
        <v>82</v>
      </c>
      <c r="E9" s="10" t="s">
        <v>826</v>
      </c>
      <c r="F9" s="40" t="s">
        <v>82</v>
      </c>
    </row>
    <row r="10" spans="1:7">
      <c r="A10" s="39" t="s">
        <v>824</v>
      </c>
      <c r="B10" s="10" t="s">
        <v>827</v>
      </c>
      <c r="C10" s="10" t="s">
        <v>510</v>
      </c>
      <c r="D10" s="10" t="s">
        <v>82</v>
      </c>
      <c r="E10" s="10" t="s">
        <v>828</v>
      </c>
      <c r="F10" s="40" t="s">
        <v>82</v>
      </c>
    </row>
    <row r="11" spans="1:7">
      <c r="A11" s="39" t="s">
        <v>829</v>
      </c>
      <c r="B11" s="10" t="s">
        <v>830</v>
      </c>
      <c r="C11" s="10" t="s">
        <v>510</v>
      </c>
      <c r="D11" s="10" t="s">
        <v>82</v>
      </c>
      <c r="E11" s="10" t="s">
        <v>831</v>
      </c>
      <c r="F11" s="40" t="s">
        <v>82</v>
      </c>
    </row>
    <row r="12" ht="27.6" spans="1:7">
      <c r="A12" s="39" t="s">
        <v>832</v>
      </c>
      <c r="B12" s="10" t="s">
        <v>833</v>
      </c>
      <c r="C12" s="10" t="s">
        <v>510</v>
      </c>
      <c r="D12" s="10" t="s">
        <v>82</v>
      </c>
      <c r="E12" s="10" t="s">
        <v>834</v>
      </c>
      <c r="F12" s="40" t="s">
        <v>82</v>
      </c>
    </row>
    <row r="13" ht="27.6" spans="1:7">
      <c r="A13" s="39" t="s">
        <v>835</v>
      </c>
      <c r="B13" s="10" t="s">
        <v>836</v>
      </c>
      <c r="C13" s="10" t="s">
        <v>510</v>
      </c>
      <c r="D13" s="10" t="s">
        <v>82</v>
      </c>
      <c r="E13" s="10" t="s">
        <v>837</v>
      </c>
      <c r="F13" s="40" t="s">
        <v>82</v>
      </c>
    </row>
    <row r="14" ht="27.6" spans="1:7">
      <c r="A14" s="39" t="s">
        <v>838</v>
      </c>
      <c r="B14" s="10" t="s">
        <v>839</v>
      </c>
      <c r="C14" s="10" t="s">
        <v>510</v>
      </c>
      <c r="D14" s="10" t="s">
        <v>82</v>
      </c>
      <c r="E14" s="10" t="s">
        <v>840</v>
      </c>
      <c r="F14" s="40" t="s">
        <v>82</v>
      </c>
    </row>
    <row r="15" spans="1:7">
      <c r="A15" s="39" t="s">
        <v>841</v>
      </c>
      <c r="B15" s="10" t="s">
        <v>842</v>
      </c>
      <c r="C15" s="10" t="s">
        <v>510</v>
      </c>
      <c r="D15" s="10" t="s">
        <v>82</v>
      </c>
      <c r="E15" s="10" t="s">
        <v>843</v>
      </c>
      <c r="F15" s="40" t="s">
        <v>82</v>
      </c>
    </row>
    <row r="16" spans="1:7">
      <c r="A16" s="39" t="s">
        <v>844</v>
      </c>
      <c r="B16" s="10" t="s">
        <v>845</v>
      </c>
      <c r="C16" s="10" t="s">
        <v>510</v>
      </c>
      <c r="D16" s="10" t="s">
        <v>82</v>
      </c>
      <c r="E16" s="10" t="s">
        <v>82</v>
      </c>
      <c r="F16" s="40" t="s">
        <v>82</v>
      </c>
    </row>
    <row r="17" spans="1:6">
      <c r="A17" s="39" t="s">
        <v>243</v>
      </c>
      <c r="B17" s="10" t="s">
        <v>846</v>
      </c>
      <c r="C17" s="10" t="s">
        <v>510</v>
      </c>
      <c r="D17" s="10" t="s">
        <v>82</v>
      </c>
      <c r="E17" s="10" t="s">
        <v>847</v>
      </c>
      <c r="F17" s="40" t="s">
        <v>82</v>
      </c>
    </row>
    <row r="18" spans="1:6">
      <c r="A18" s="39" t="s">
        <v>848</v>
      </c>
      <c r="B18" s="10" t="s">
        <v>849</v>
      </c>
      <c r="C18" s="10" t="s">
        <v>510</v>
      </c>
      <c r="D18" s="10" t="s">
        <v>82</v>
      </c>
      <c r="E18" s="10" t="s">
        <v>850</v>
      </c>
      <c r="F18" s="40" t="s">
        <v>82</v>
      </c>
    </row>
    <row r="19" ht="14.55" spans="1:6">
      <c r="A19" s="41" t="s">
        <v>851</v>
      </c>
      <c r="B19" s="42" t="s">
        <v>852</v>
      </c>
      <c r="C19" s="42" t="s">
        <v>510</v>
      </c>
      <c r="D19" s="42" t="s">
        <v>82</v>
      </c>
      <c r="E19" s="42" t="s">
        <v>853</v>
      </c>
      <c r="F19" s="43" t="s">
        <v>82</v>
      </c>
    </row>
  </sheetData>
  <mergeCells count="1">
    <mergeCell ref="A1:F1"/>
  </mergeCells>
  <dataValidations count="1">
    <dataValidation type="list" allowBlank="1" sqref="D3:D5 D6:D8 D9:D11">
      <formula1>"Yes,No"</formula1>
    </dataValidation>
  </dataValidations>
  <pageMargins left="0.75" right="0.75" top="1" bottom="1" header="0.5" footer="0.5"/>
  <pageSetup paperSize="1" scale="75" fitToHeight="0" orientation="landscape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48FB1"/>
    <pageSetUpPr fitToPage="1"/>
  </sheetPr>
  <dimension ref="A1:G14"/>
  <sheetViews>
    <sheetView showGridLines="0" workbookViewId="0">
      <pane ySplit="2" topLeftCell="A3" activePane="bottomLeft" state="frozen"/>
      <selection/>
      <selection pane="bottomLeft" activeCell="A3" sqref="A3:F14"/>
    </sheetView>
  </sheetViews>
  <sheetFormatPr defaultColWidth="9" defaultRowHeight="13.8" outlineLevelCol="6"/>
  <cols>
    <col min="1" max="1" width="16" style="1" customWidth="1"/>
    <col min="2" max="2" width="68.4444444444444" style="1" customWidth="1"/>
    <col min="3" max="4" width="8" style="1" customWidth="1"/>
    <col min="5" max="5" width="44" style="1" customWidth="1"/>
    <col min="6" max="6" width="16" style="1" customWidth="1"/>
    <col min="7" max="16384" width="9" style="1"/>
  </cols>
  <sheetData>
    <row r="1" ht="27" customHeight="1" spans="1:7">
      <c r="A1" s="34" t="s">
        <v>854</v>
      </c>
      <c r="B1" s="35"/>
      <c r="C1" s="35"/>
      <c r="D1" s="35"/>
      <c r="E1" s="35"/>
      <c r="F1" s="36"/>
      <c r="G1" s="5" t="str">
        <f>HYPERLINK("#'Cover'!A1","←")</f>
        <v>←</v>
      </c>
    </row>
    <row r="2" spans="1:7">
      <c r="A2" s="37" t="s">
        <v>806</v>
      </c>
      <c r="B2" s="7" t="s">
        <v>673</v>
      </c>
      <c r="C2" s="7" t="s">
        <v>136</v>
      </c>
      <c r="D2" s="7" t="s">
        <v>80</v>
      </c>
      <c r="E2" s="7" t="s">
        <v>807</v>
      </c>
      <c r="F2" s="38" t="s">
        <v>206</v>
      </c>
    </row>
    <row r="3" ht="27.6" spans="1:7">
      <c r="A3" s="39" t="s">
        <v>809</v>
      </c>
      <c r="B3" s="10" t="s">
        <v>855</v>
      </c>
      <c r="C3" s="10" t="s">
        <v>510</v>
      </c>
      <c r="D3" s="10" t="s">
        <v>82</v>
      </c>
      <c r="E3" s="10" t="s">
        <v>856</v>
      </c>
      <c r="F3" s="40" t="s">
        <v>82</v>
      </c>
    </row>
    <row r="4" ht="27.6" spans="1:7">
      <c r="A4" s="39" t="s">
        <v>814</v>
      </c>
      <c r="B4" s="10" t="s">
        <v>857</v>
      </c>
      <c r="C4" s="10" t="s">
        <v>510</v>
      </c>
      <c r="D4" s="10" t="s">
        <v>82</v>
      </c>
      <c r="E4" s="10" t="s">
        <v>858</v>
      </c>
      <c r="F4" s="40" t="s">
        <v>82</v>
      </c>
    </row>
    <row r="5" spans="1:7">
      <c r="A5" s="39" t="s">
        <v>817</v>
      </c>
      <c r="B5" s="10" t="s">
        <v>859</v>
      </c>
      <c r="C5" s="10" t="s">
        <v>510</v>
      </c>
      <c r="D5" s="10" t="s">
        <v>82</v>
      </c>
      <c r="E5" s="10" t="s">
        <v>828</v>
      </c>
      <c r="F5" s="40" t="s">
        <v>82</v>
      </c>
    </row>
    <row r="6" ht="27.6" spans="1:7">
      <c r="A6" s="39" t="s">
        <v>817</v>
      </c>
      <c r="B6" s="10" t="s">
        <v>860</v>
      </c>
      <c r="C6" s="10" t="s">
        <v>510</v>
      </c>
      <c r="D6" s="10" t="s">
        <v>82</v>
      </c>
      <c r="E6" s="10" t="s">
        <v>861</v>
      </c>
      <c r="F6" s="40" t="s">
        <v>82</v>
      </c>
    </row>
    <row r="7" ht="27.6" spans="1:7">
      <c r="A7" s="39" t="s">
        <v>824</v>
      </c>
      <c r="B7" s="10" t="s">
        <v>862</v>
      </c>
      <c r="C7" s="10" t="s">
        <v>510</v>
      </c>
      <c r="D7" s="10" t="s">
        <v>82</v>
      </c>
      <c r="E7" s="10" t="s">
        <v>863</v>
      </c>
      <c r="F7" s="40" t="s">
        <v>82</v>
      </c>
    </row>
    <row r="8" spans="1:7">
      <c r="A8" s="39" t="s">
        <v>864</v>
      </c>
      <c r="B8" s="10" t="s">
        <v>865</v>
      </c>
      <c r="C8" s="10" t="s">
        <v>510</v>
      </c>
      <c r="D8" s="10" t="s">
        <v>82</v>
      </c>
      <c r="E8" s="10" t="s">
        <v>866</v>
      </c>
      <c r="F8" s="40" t="s">
        <v>82</v>
      </c>
    </row>
    <row r="9" spans="1:7">
      <c r="A9" s="39" t="s">
        <v>867</v>
      </c>
      <c r="B9" s="10" t="s">
        <v>868</v>
      </c>
      <c r="C9" s="10" t="s">
        <v>510</v>
      </c>
      <c r="D9" s="10" t="s">
        <v>82</v>
      </c>
      <c r="E9" s="10" t="s">
        <v>869</v>
      </c>
      <c r="F9" s="40" t="s">
        <v>82</v>
      </c>
    </row>
    <row r="10" spans="1:7">
      <c r="A10" s="39" t="s">
        <v>870</v>
      </c>
      <c r="B10" s="10" t="s">
        <v>871</v>
      </c>
      <c r="C10" s="10" t="s">
        <v>510</v>
      </c>
      <c r="D10" s="10" t="s">
        <v>82</v>
      </c>
      <c r="E10" s="10" t="s">
        <v>872</v>
      </c>
      <c r="F10" s="40" t="s">
        <v>82</v>
      </c>
    </row>
    <row r="11" spans="1:7">
      <c r="A11" s="39" t="s">
        <v>873</v>
      </c>
      <c r="B11" s="10" t="s">
        <v>874</v>
      </c>
      <c r="C11" s="10" t="s">
        <v>510</v>
      </c>
      <c r="D11" s="10" t="s">
        <v>82</v>
      </c>
      <c r="E11" s="10" t="s">
        <v>875</v>
      </c>
      <c r="F11" s="40" t="s">
        <v>82</v>
      </c>
    </row>
    <row r="12" spans="1:7">
      <c r="A12" s="39" t="s">
        <v>876</v>
      </c>
      <c r="B12" s="10" t="s">
        <v>877</v>
      </c>
      <c r="C12" s="10" t="s">
        <v>510</v>
      </c>
      <c r="D12" s="10" t="s">
        <v>82</v>
      </c>
      <c r="E12" s="10" t="s">
        <v>82</v>
      </c>
      <c r="F12" s="40" t="s">
        <v>82</v>
      </c>
    </row>
    <row r="13" spans="1:7">
      <c r="A13" s="39" t="s">
        <v>243</v>
      </c>
      <c r="B13" s="10" t="s">
        <v>878</v>
      </c>
      <c r="C13" s="10" t="s">
        <v>510</v>
      </c>
      <c r="D13" s="10" t="s">
        <v>82</v>
      </c>
      <c r="E13" s="10" t="s">
        <v>879</v>
      </c>
      <c r="F13" s="40" t="s">
        <v>82</v>
      </c>
    </row>
    <row r="14" ht="14.55" spans="1:7">
      <c r="A14" s="41" t="s">
        <v>848</v>
      </c>
      <c r="B14" s="42" t="s">
        <v>880</v>
      </c>
      <c r="C14" s="42" t="s">
        <v>510</v>
      </c>
      <c r="D14" s="42" t="s">
        <v>82</v>
      </c>
      <c r="E14" s="42" t="s">
        <v>881</v>
      </c>
      <c r="F14" s="43" t="s">
        <v>82</v>
      </c>
    </row>
  </sheetData>
  <mergeCells count="1">
    <mergeCell ref="A1:F1"/>
  </mergeCells>
  <dataValidations count="1">
    <dataValidation type="list" allowBlank="1" sqref="D3:D6 D7:D10">
      <formula1>"Yes,No"</formula1>
    </dataValidation>
  </dataValidations>
  <pageMargins left="0.75" right="0.75" top="1" bottom="1" header="0.5" footer="0.5"/>
  <pageSetup paperSize="1" scale="75" fitToHeight="0" orientation="landscape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6F00"/>
    <pageSetUpPr fitToPage="1"/>
  </sheetPr>
  <dimension ref="A1:G12"/>
  <sheetViews>
    <sheetView showGridLines="0" workbookViewId="0">
      <pane ySplit="2" topLeftCell="A3" activePane="bottomLeft" state="frozen"/>
      <selection/>
      <selection pane="bottomLeft" activeCell="G1" sqref="G1"/>
    </sheetView>
  </sheetViews>
  <sheetFormatPr defaultColWidth="9" defaultRowHeight="13.8" outlineLevelCol="6"/>
  <cols>
    <col min="1" max="1" width="14" style="1" customWidth="1"/>
    <col min="2" max="2" width="44" style="1" customWidth="1"/>
    <col min="3" max="3" width="10" style="1" customWidth="1"/>
    <col min="4" max="4" width="8" style="1" customWidth="1"/>
    <col min="5" max="5" width="36" style="1" customWidth="1"/>
    <col min="6" max="6" width="10" style="1" customWidth="1"/>
    <col min="7" max="16384" width="9" style="1"/>
  </cols>
  <sheetData>
    <row r="1" ht="30" customHeight="1" spans="1:7">
      <c r="A1" s="34" t="s">
        <v>882</v>
      </c>
      <c r="B1" s="35"/>
      <c r="C1" s="35"/>
      <c r="D1" s="35"/>
      <c r="E1" s="35"/>
      <c r="F1" s="36"/>
      <c r="G1" s="5" t="str">
        <f>HYPERLINK("#'Cover'!A1","←")</f>
        <v>←</v>
      </c>
    </row>
    <row r="2" ht="30" customHeight="1" spans="1:7">
      <c r="A2" s="37" t="s">
        <v>806</v>
      </c>
      <c r="B2" s="7" t="s">
        <v>673</v>
      </c>
      <c r="C2" s="7" t="s">
        <v>136</v>
      </c>
      <c r="D2" s="7" t="s">
        <v>80</v>
      </c>
      <c r="E2" s="7" t="s">
        <v>807</v>
      </c>
      <c r="F2" s="38" t="s">
        <v>883</v>
      </c>
    </row>
    <row r="3" ht="27.6" spans="1:7">
      <c r="A3" s="39" t="s">
        <v>884</v>
      </c>
      <c r="B3" s="10" t="s">
        <v>885</v>
      </c>
      <c r="C3" s="10" t="s">
        <v>510</v>
      </c>
      <c r="D3" s="10" t="s">
        <v>82</v>
      </c>
      <c r="E3" s="10" t="s">
        <v>886</v>
      </c>
      <c r="F3" s="40" t="s">
        <v>82</v>
      </c>
    </row>
    <row r="4" spans="1:7">
      <c r="A4" s="39" t="s">
        <v>884</v>
      </c>
      <c r="B4" s="10" t="s">
        <v>571</v>
      </c>
      <c r="C4" s="10" t="s">
        <v>510</v>
      </c>
      <c r="D4" s="10" t="s">
        <v>82</v>
      </c>
      <c r="E4" s="10" t="s">
        <v>887</v>
      </c>
      <c r="F4" s="40" t="s">
        <v>82</v>
      </c>
    </row>
    <row r="5" ht="27.6" spans="1:7">
      <c r="A5" s="39" t="s">
        <v>817</v>
      </c>
      <c r="B5" s="10" t="s">
        <v>888</v>
      </c>
      <c r="C5" s="10" t="s">
        <v>510</v>
      </c>
      <c r="D5" s="10" t="s">
        <v>82</v>
      </c>
      <c r="E5" s="10" t="s">
        <v>889</v>
      </c>
      <c r="F5" s="40" t="s">
        <v>890</v>
      </c>
    </row>
    <row r="6" spans="1:7">
      <c r="A6" s="39" t="s">
        <v>817</v>
      </c>
      <c r="B6" s="10" t="s">
        <v>891</v>
      </c>
      <c r="C6" s="10" t="s">
        <v>510</v>
      </c>
      <c r="D6" s="10" t="s">
        <v>82</v>
      </c>
      <c r="E6" s="10" t="s">
        <v>892</v>
      </c>
      <c r="F6" s="40" t="s">
        <v>82</v>
      </c>
    </row>
    <row r="7" spans="1:7">
      <c r="A7" s="39" t="s">
        <v>824</v>
      </c>
      <c r="B7" s="10" t="s">
        <v>893</v>
      </c>
      <c r="C7" s="10" t="s">
        <v>510</v>
      </c>
      <c r="D7" s="10" t="s">
        <v>82</v>
      </c>
      <c r="E7" s="10" t="s">
        <v>894</v>
      </c>
      <c r="F7" s="40" t="s">
        <v>82</v>
      </c>
    </row>
    <row r="8" spans="1:7">
      <c r="A8" s="39" t="s">
        <v>895</v>
      </c>
      <c r="B8" s="10" t="s">
        <v>896</v>
      </c>
      <c r="C8" s="10" t="s">
        <v>510</v>
      </c>
      <c r="D8" s="10" t="s">
        <v>82</v>
      </c>
      <c r="E8" s="10" t="s">
        <v>897</v>
      </c>
      <c r="F8" s="40" t="s">
        <v>898</v>
      </c>
    </row>
    <row r="9" spans="1:7">
      <c r="A9" s="39" t="s">
        <v>899</v>
      </c>
      <c r="B9" s="10" t="s">
        <v>900</v>
      </c>
      <c r="C9" s="10" t="s">
        <v>510</v>
      </c>
      <c r="D9" s="10" t="s">
        <v>82</v>
      </c>
      <c r="E9" s="10" t="s">
        <v>901</v>
      </c>
      <c r="F9" s="40" t="s">
        <v>82</v>
      </c>
    </row>
    <row r="10" spans="1:7">
      <c r="A10" s="39" t="s">
        <v>902</v>
      </c>
      <c r="B10" s="10" t="s">
        <v>903</v>
      </c>
      <c r="C10" s="10" t="s">
        <v>510</v>
      </c>
      <c r="D10" s="10" t="s">
        <v>82</v>
      </c>
      <c r="E10" s="10" t="s">
        <v>904</v>
      </c>
      <c r="F10" s="40" t="s">
        <v>905</v>
      </c>
    </row>
    <row r="11" spans="1:7">
      <c r="A11" s="39" t="s">
        <v>243</v>
      </c>
      <c r="B11" s="10" t="s">
        <v>906</v>
      </c>
      <c r="C11" s="10" t="s">
        <v>510</v>
      </c>
      <c r="D11" s="10" t="s">
        <v>82</v>
      </c>
      <c r="E11" s="10" t="s">
        <v>907</v>
      </c>
      <c r="F11" s="40" t="s">
        <v>82</v>
      </c>
    </row>
    <row r="12" ht="14.55" spans="1:7">
      <c r="A12" s="41" t="s">
        <v>848</v>
      </c>
      <c r="B12" s="42" t="s">
        <v>908</v>
      </c>
      <c r="C12" s="42" t="s">
        <v>510</v>
      </c>
      <c r="D12" s="42" t="s">
        <v>82</v>
      </c>
      <c r="E12" s="42" t="s">
        <v>881</v>
      </c>
      <c r="F12" s="43" t="s">
        <v>82</v>
      </c>
    </row>
  </sheetData>
  <mergeCells count="1">
    <mergeCell ref="A1:F1"/>
  </mergeCells>
  <dataValidations count="1">
    <dataValidation type="list" allowBlank="1" sqref="D3:D12">
      <formula1>"Yes,No"</formula1>
    </dataValidation>
  </dataValidations>
  <pageMargins left="0.75" right="0.75" top="1" bottom="1" header="0.5" footer="0.5"/>
  <pageSetup paperSize="1" scale="94" fitToHeight="0" orientation="landscape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2A4A"/>
    <pageSetUpPr fitToPage="1"/>
  </sheetPr>
  <dimension ref="A1:B1"/>
  <sheetViews>
    <sheetView showGridLines="0" workbookViewId="0">
      <selection activeCell="B1" sqref="B1"/>
    </sheetView>
  </sheetViews>
  <sheetFormatPr defaultColWidth="9" defaultRowHeight="13.8" outlineLevelCol="1"/>
  <cols>
    <col min="1" max="1" width="105" style="1" customWidth="1"/>
    <col min="2" max="16384" width="9" style="1"/>
  </cols>
  <sheetData>
    <row r="1" ht="15.6" spans="1:2">
      <c r="A1" s="32" t="s">
        <v>909</v>
      </c>
      <c r="B1" s="33" t="str">
        <f>HYPERLINK("#'Cover'!A1","←")</f>
        <v>←</v>
      </c>
    </row>
  </sheetData>
  <pageMargins left="0.75" right="0.75" top="1" bottom="1" header="0.5" footer="0.5"/>
  <pageSetup paperSize="1" orientation="landscape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A1:G6"/>
  <sheetViews>
    <sheetView showGridLines="0" workbookViewId="0">
      <pane ySplit="2" topLeftCell="A3" activePane="bottomLeft" state="frozen"/>
      <selection/>
      <selection pane="bottomLeft" activeCell="G1" sqref="G1"/>
    </sheetView>
  </sheetViews>
  <sheetFormatPr defaultColWidth="9" defaultRowHeight="14.4" outlineLevelRow="5" outlineLevelCol="6"/>
  <cols>
    <col min="1" max="1" width="20" style="1" customWidth="1"/>
    <col min="2" max="6" width="16" style="1" customWidth="1"/>
  </cols>
  <sheetData>
    <row r="1" ht="30" customHeight="1" spans="1:7">
      <c r="A1" s="2" t="s">
        <v>910</v>
      </c>
      <c r="B1" s="3"/>
      <c r="C1" s="3"/>
      <c r="D1" s="3"/>
      <c r="E1" s="3"/>
      <c r="F1" s="4"/>
      <c r="G1" s="5" t="str">
        <f>HYPERLINK("#'Cover'!A1","&lt;-")</f>
        <v>&lt;-</v>
      </c>
    </row>
    <row r="2" ht="30" customHeight="1" spans="1:7">
      <c r="A2" s="6" t="s">
        <v>911</v>
      </c>
      <c r="B2" s="7" t="s">
        <v>912</v>
      </c>
      <c r="C2" s="7" t="s">
        <v>913</v>
      </c>
      <c r="D2" s="7" t="s">
        <v>89</v>
      </c>
      <c r="E2" s="7" t="s">
        <v>914</v>
      </c>
      <c r="F2" s="8" t="s">
        <v>915</v>
      </c>
    </row>
    <row r="3" spans="1:7">
      <c r="A3" s="18" t="s">
        <v>916</v>
      </c>
      <c r="B3" s="19">
        <v>420000</v>
      </c>
      <c r="C3" s="19">
        <f>SUMIF(Invoices!P3:P34,"Course",Invoices!H3:H34)</f>
        <v>0</v>
      </c>
      <c r="D3" s="19">
        <f>C3-B3</f>
        <v>-420000</v>
      </c>
      <c r="E3" s="26">
        <v>15</v>
      </c>
      <c r="F3" s="27">
        <f>COUNTA(Students!A3:A100)</f>
        <v>5</v>
      </c>
    </row>
    <row r="4" spans="1:7">
      <c r="A4" s="18" t="s">
        <v>917</v>
      </c>
      <c r="B4" s="19">
        <v>240000</v>
      </c>
      <c r="C4" s="19">
        <f>SUMIFS(Invoices!H3:H34,Invoices!M3:M34,"CCA showcase",Invoices!I3:I34,"Paid")</f>
        <v>0</v>
      </c>
      <c r="D4" s="19">
        <f>C4-B4</f>
        <v>-240000</v>
      </c>
      <c r="E4" s="26">
        <v>25</v>
      </c>
      <c r="F4" s="27">
        <f>COUNTIF(Leads!E3:E100,"CCA showcase")</f>
        <v>1</v>
      </c>
    </row>
    <row r="5" spans="1:7">
      <c r="A5" s="18" t="s">
        <v>918</v>
      </c>
      <c r="B5" s="19">
        <v>396000</v>
      </c>
      <c r="C5" s="19">
        <f>SUMIFS(Invoices!H3:H34,Invoices!P3:P34,"Winter camp",Invoices!I3:I34,"Paid")</f>
        <v>0</v>
      </c>
      <c r="D5" s="19">
        <f>C5-B5</f>
        <v>-396000</v>
      </c>
      <c r="E5" s="26">
        <v>44</v>
      </c>
      <c r="F5" s="27">
        <f>COUNTA(WinterCamp!A3:A100)</f>
        <v>0</v>
      </c>
    </row>
    <row r="6" ht="14.55" spans="1:7">
      <c r="A6" s="28" t="s">
        <v>183</v>
      </c>
      <c r="B6" s="29">
        <v>1056000</v>
      </c>
      <c r="C6" s="29">
        <f>SUM(C3:C5)</f>
        <v>0</v>
      </c>
      <c r="D6" s="29">
        <f>C6-B6</f>
        <v>-1056000</v>
      </c>
      <c r="E6" s="30"/>
      <c r="F6" s="31"/>
    </row>
  </sheetData>
  <mergeCells count="1">
    <mergeCell ref="A1:F1"/>
  </mergeCells>
  <pageMargins left="0.75" right="0.75" top="1" bottom="1" header="0.5" footer="0.5"/>
  <pageSetup paperSize="1" fitToHeight="0" orientation="landscape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2A4A"/>
    <pageSetUpPr fitToPage="1"/>
  </sheetPr>
  <dimension ref="A1:O26"/>
  <sheetViews>
    <sheetView showGridLines="0" workbookViewId="0">
      <pane xSplit="1" ySplit="2" topLeftCell="C3" activePane="bottomRight" state="frozen"/>
      <selection/>
      <selection pane="topRight"/>
      <selection pane="bottomLeft"/>
      <selection pane="bottomRight" activeCell="O1" sqref="O1"/>
    </sheetView>
  </sheetViews>
  <sheetFormatPr defaultColWidth="9" defaultRowHeight="13.8"/>
  <cols>
    <col min="1" max="1" width="56.6666666666667" style="1" customWidth="1"/>
    <col min="2" max="14" width="12" style="1" customWidth="1"/>
    <col min="15" max="15" width="6" style="1" customWidth="1"/>
    <col min="16" max="16384" width="9" style="1"/>
  </cols>
  <sheetData>
    <row r="1" ht="30" customHeight="1" spans="1:15">
      <c r="A1" s="2" t="s">
        <v>919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5" t="str">
        <f>HYPERLINK("#'Cover'!A1","&lt;-")</f>
        <v>&lt;-</v>
      </c>
    </row>
    <row r="2" ht="30" customHeight="1" spans="1:15">
      <c r="A2" s="6" t="s">
        <v>48</v>
      </c>
      <c r="B2" s="7" t="s">
        <v>216</v>
      </c>
      <c r="C2" s="7" t="s">
        <v>920</v>
      </c>
      <c r="D2" s="7" t="s">
        <v>921</v>
      </c>
      <c r="E2" s="7" t="s">
        <v>922</v>
      </c>
      <c r="F2" s="7" t="s">
        <v>923</v>
      </c>
      <c r="G2" s="7" t="s">
        <v>924</v>
      </c>
      <c r="H2" s="7" t="s">
        <v>925</v>
      </c>
      <c r="I2" s="7" t="s">
        <v>926</v>
      </c>
      <c r="J2" s="7" t="s">
        <v>927</v>
      </c>
      <c r="K2" s="7" t="s">
        <v>567</v>
      </c>
      <c r="L2" s="7" t="s">
        <v>219</v>
      </c>
      <c r="M2" s="7" t="s">
        <v>211</v>
      </c>
      <c r="N2" s="8" t="s">
        <v>928</v>
      </c>
    </row>
    <row r="3" spans="1:15">
      <c r="A3" s="15" t="s">
        <v>929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7">
        <f t="shared" ref="N3:N26" si="0">SUM(B3:M3)</f>
        <v>0</v>
      </c>
    </row>
    <row r="4" spans="1:15">
      <c r="A4" s="18" t="s">
        <v>916</v>
      </c>
      <c r="B4" s="19">
        <v>42000</v>
      </c>
      <c r="C4" s="19">
        <v>42000</v>
      </c>
      <c r="D4" s="19">
        <v>42000</v>
      </c>
      <c r="E4" s="19">
        <v>42000</v>
      </c>
      <c r="F4" s="19">
        <v>42000</v>
      </c>
      <c r="G4" s="19">
        <v>42000</v>
      </c>
      <c r="H4" s="19">
        <v>0</v>
      </c>
      <c r="I4" s="19">
        <v>0</v>
      </c>
      <c r="J4" s="19">
        <v>42000</v>
      </c>
      <c r="K4" s="19">
        <v>42000</v>
      </c>
      <c r="L4" s="19">
        <v>42000</v>
      </c>
      <c r="M4" s="19">
        <v>42000</v>
      </c>
      <c r="N4" s="20">
        <f t="shared" si="0"/>
        <v>420000</v>
      </c>
    </row>
    <row r="5" spans="1:15">
      <c r="A5" s="18" t="s">
        <v>917</v>
      </c>
      <c r="B5" s="19">
        <v>20000</v>
      </c>
      <c r="C5" s="19">
        <v>20000</v>
      </c>
      <c r="D5" s="19">
        <v>20000</v>
      </c>
      <c r="E5" s="19">
        <v>20000</v>
      </c>
      <c r="F5" s="19">
        <v>20000</v>
      </c>
      <c r="G5" s="19">
        <v>20000</v>
      </c>
      <c r="H5" s="19">
        <v>20000</v>
      </c>
      <c r="I5" s="19">
        <v>20000</v>
      </c>
      <c r="J5" s="19">
        <v>20000</v>
      </c>
      <c r="K5" s="19">
        <v>20000</v>
      </c>
      <c r="L5" s="19">
        <v>20000</v>
      </c>
      <c r="M5" s="19">
        <v>20000</v>
      </c>
      <c r="N5" s="20">
        <f t="shared" si="0"/>
        <v>240000</v>
      </c>
    </row>
    <row r="6" spans="1:15">
      <c r="A6" s="18" t="s">
        <v>918</v>
      </c>
      <c r="B6" s="19">
        <v>108000</v>
      </c>
      <c r="C6" s="19">
        <v>0</v>
      </c>
      <c r="D6" s="19">
        <v>0</v>
      </c>
      <c r="E6" s="19">
        <v>0</v>
      </c>
      <c r="F6" s="19">
        <v>36000</v>
      </c>
      <c r="G6" s="19">
        <v>0</v>
      </c>
      <c r="H6" s="19">
        <v>108000</v>
      </c>
      <c r="I6" s="19">
        <v>108000</v>
      </c>
      <c r="J6" s="19">
        <v>0</v>
      </c>
      <c r="K6" s="19">
        <v>36000</v>
      </c>
      <c r="L6" s="19">
        <v>0</v>
      </c>
      <c r="M6" s="19">
        <v>0</v>
      </c>
      <c r="N6" s="20">
        <f t="shared" si="0"/>
        <v>396000</v>
      </c>
    </row>
    <row r="7" spans="1:15">
      <c r="A7" s="18" t="s">
        <v>930</v>
      </c>
      <c r="B7" s="19">
        <f t="shared" ref="B7:M7" si="1">B4+B5+B6</f>
        <v>170000</v>
      </c>
      <c r="C7" s="19">
        <f t="shared" si="1"/>
        <v>62000</v>
      </c>
      <c r="D7" s="19">
        <f t="shared" si="1"/>
        <v>62000</v>
      </c>
      <c r="E7" s="19">
        <f t="shared" si="1"/>
        <v>62000</v>
      </c>
      <c r="F7" s="19">
        <f t="shared" si="1"/>
        <v>98000</v>
      </c>
      <c r="G7" s="19">
        <f t="shared" si="1"/>
        <v>62000</v>
      </c>
      <c r="H7" s="19">
        <f t="shared" si="1"/>
        <v>128000</v>
      </c>
      <c r="I7" s="19">
        <f t="shared" si="1"/>
        <v>128000</v>
      </c>
      <c r="J7" s="19">
        <f t="shared" si="1"/>
        <v>62000</v>
      </c>
      <c r="K7" s="19">
        <f t="shared" si="1"/>
        <v>98000</v>
      </c>
      <c r="L7" s="19">
        <f t="shared" si="1"/>
        <v>62000</v>
      </c>
      <c r="M7" s="19">
        <f t="shared" si="1"/>
        <v>62000</v>
      </c>
      <c r="N7" s="20">
        <f t="shared" si="0"/>
        <v>1056000</v>
      </c>
    </row>
    <row r="8" spans="1:15">
      <c r="A8" s="15" t="s">
        <v>931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7">
        <f t="shared" si="0"/>
        <v>0</v>
      </c>
    </row>
    <row r="9" spans="1:15">
      <c r="A9" s="18" t="s">
        <v>932</v>
      </c>
      <c r="B9" s="19">
        <f>SUMIFS(Invoices!$H$3:$H$34,Invoices!$P$3:$P$34,"Course",Invoices!$I$3:$I$34,"Paid",Invoices!$B$3:$B$34,"&gt;="&amp;DATE(2027,1,1),Invoices!$B$3:$B$34,"&lt;"&amp;DATE(2027,2,1))</f>
        <v>0</v>
      </c>
      <c r="C9" s="19">
        <f>SUMIFS(Invoices!$H$3:$H$34,Invoices!$P$3:$P$34,"Course",Invoices!$I$3:$I$34,"Paid",Invoices!$B$3:$B$34,"&gt;="&amp;DATE(2027,2,1),Invoices!$B$3:$B$34,"&lt;"&amp;DATE(2027,3,1))</f>
        <v>0</v>
      </c>
      <c r="D9" s="19">
        <f>SUMIFS(Invoices!$H$3:$H$34,Invoices!$P$3:$P$34,"Course",Invoices!$I$3:$I$34,"Paid",Invoices!$B$3:$B$34,"&gt;="&amp;DATE(2027,3,1),Invoices!$B$3:$B$34,"&lt;"&amp;DATE(2027,4,1))</f>
        <v>0</v>
      </c>
      <c r="E9" s="19">
        <f>SUMIFS(Invoices!$H$3:$H$34,Invoices!$P$3:$P$34,"Course",Invoices!$I$3:$I$34,"Paid",Invoices!$B$3:$B$34,"&gt;="&amp;DATE(2027,4,1),Invoices!$B$3:$B$34,"&lt;"&amp;DATE(2027,5,1))</f>
        <v>0</v>
      </c>
      <c r="F9" s="19">
        <f>SUMIFS(Invoices!$H$3:$H$34,Invoices!$P$3:$P$34,"Course",Invoices!$I$3:$I$34,"Paid",Invoices!$B$3:$B$34,"&gt;="&amp;DATE(2027,5,1),Invoices!$B$3:$B$34,"&lt;"&amp;DATE(2027,6,1))</f>
        <v>0</v>
      </c>
      <c r="G9" s="19">
        <f>SUMIFS(Invoices!$H$3:$H$34,Invoices!$P$3:$P$34,"Course",Invoices!$I$3:$I$34,"Paid",Invoices!$B$3:$B$34,"&gt;="&amp;DATE(2027,6,1),Invoices!$B$3:$B$34,"&lt;"&amp;DATE(2027,7,1))</f>
        <v>0</v>
      </c>
      <c r="H9" s="19">
        <f>SUMIFS(Invoices!$H$3:$H$34,Invoices!$P$3:$P$34,"Course",Invoices!$I$3:$I$34,"Paid",Invoices!$B$3:$B$34,"&gt;="&amp;DATE(2027,7,1),Invoices!$B$3:$B$34,"&lt;"&amp;DATE(2027,8,1))</f>
        <v>0</v>
      </c>
      <c r="I9" s="19">
        <f>SUMIFS(Invoices!$H$3:$H$34,Invoices!$P$3:$P$34,"Course",Invoices!$I$3:$I$34,"Paid",Invoices!$B$3:$B$34,"&gt;="&amp;DATE(2027,8,1),Invoices!$B$3:$B$34,"&lt;"&amp;DATE(2027,9,1))</f>
        <v>0</v>
      </c>
      <c r="J9" s="19">
        <f>SUMIFS(Invoices!$H$3:$H$34,Invoices!$P$3:$P$34,"Course",Invoices!$I$3:$I$34,"Paid",Invoices!$B$3:$B$34,"&gt;="&amp;DATE(2027,9,1),Invoices!$B$3:$B$34,"&lt;"&amp;DATE(2027,10,1))</f>
        <v>0</v>
      </c>
      <c r="K9" s="19">
        <f>SUMIFS(Invoices!$H$3:$H$34,Invoices!$P$3:$P$34,"Course",Invoices!$I$3:$I$34,"Paid",Invoices!$B$3:$B$34,"&gt;="&amp;DATE(2027,10,1),Invoices!$B$3:$B$34,"&lt;"&amp;DATE(2027,11,1))</f>
        <v>0</v>
      </c>
      <c r="L9" s="19">
        <f>SUMIFS(Invoices!$H$3:$H$34,Invoices!$P$3:$P$34,"Course",Invoices!$I$3:$I$34,"Paid",Invoices!$B$3:$B$34,"&gt;="&amp;DATE(2027,11,1),Invoices!$B$3:$B$34,"&lt;"&amp;DATE(2027,12,1))</f>
        <v>0</v>
      </c>
      <c r="M9" s="19">
        <f>SUMIFS(Invoices!$H$3:$H$34,Invoices!$P$3:$P$34,"Course",Invoices!$I$3:$I$34,"Paid",Invoices!$B$3:$B$34,"&gt;="&amp;DATE(2027,12,1),Invoices!$B$3:$B$34,"&lt;"&amp;DATE(2028,1,1))</f>
        <v>0</v>
      </c>
      <c r="N9" s="20">
        <f t="shared" si="0"/>
        <v>0</v>
      </c>
    </row>
    <row r="10" spans="1:15">
      <c r="A10" s="18" t="s">
        <v>933</v>
      </c>
      <c r="B10" s="19">
        <f>SUMIFS(Invoices!$H$3:$H$34,Invoices!$M$3:$M$34,"CCA showcase",Invoices!$I$3:$I$34,"Paid",Invoices!$B$3:$B$34,"&gt;="&amp;DATE(2027,1,1),Invoices!$B$3:$B$34,"&lt;"&amp;DATE(2027,2,1))</f>
        <v>0</v>
      </c>
      <c r="C10" s="19">
        <f>SUMIFS(Invoices!$H$3:$H$34,Invoices!$M$3:$M$34,"CCA showcase",Invoices!$I$3:$I$34,"Paid",Invoices!$B$3:$B$34,"&gt;="&amp;DATE(2027,2,1),Invoices!$B$3:$B$34,"&lt;"&amp;DATE(2027,3,1))</f>
        <v>0</v>
      </c>
      <c r="D10" s="19">
        <f>SUMIFS(Invoices!$H$3:$H$34,Invoices!$M$3:$M$34,"CCA showcase",Invoices!$I$3:$I$34,"Paid",Invoices!$B$3:$B$34,"&gt;="&amp;DATE(2027,3,1),Invoices!$B$3:$B$34,"&lt;"&amp;DATE(2027,4,1))</f>
        <v>0</v>
      </c>
      <c r="E10" s="19">
        <f>SUMIFS(Invoices!$H$3:$H$34,Invoices!$M$3:$M$34,"CCA showcase",Invoices!$I$3:$I$34,"Paid",Invoices!$B$3:$B$34,"&gt;="&amp;DATE(2027,4,1),Invoices!$B$3:$B$34,"&lt;"&amp;DATE(2027,5,1))</f>
        <v>0</v>
      </c>
      <c r="F10" s="19">
        <f>SUMIFS(Invoices!$H$3:$H$34,Invoices!$M$3:$M$34,"CCA showcase",Invoices!$I$3:$I$34,"Paid",Invoices!$B$3:$B$34,"&gt;="&amp;DATE(2027,5,1),Invoices!$B$3:$B$34,"&lt;"&amp;DATE(2027,6,1))</f>
        <v>0</v>
      </c>
      <c r="G10" s="19">
        <f>SUMIFS(Invoices!$H$3:$H$34,Invoices!$M$3:$M$34,"CCA showcase",Invoices!$I$3:$I$34,"Paid",Invoices!$B$3:$B$34,"&gt;="&amp;DATE(2027,6,1),Invoices!$B$3:$B$34,"&lt;"&amp;DATE(2027,7,1))</f>
        <v>0</v>
      </c>
      <c r="H10" s="19">
        <f>SUMIFS(Invoices!$H$3:$H$34,Invoices!$M$3:$M$34,"CCA showcase",Invoices!$I$3:$I$34,"Paid",Invoices!$B$3:$B$34,"&gt;="&amp;DATE(2027,7,1),Invoices!$B$3:$B$34,"&lt;"&amp;DATE(2027,8,1))</f>
        <v>0</v>
      </c>
      <c r="I10" s="19">
        <f>SUMIFS(Invoices!$H$3:$H$34,Invoices!$M$3:$M$34,"CCA showcase",Invoices!$I$3:$I$34,"Paid",Invoices!$B$3:$B$34,"&gt;="&amp;DATE(2027,8,1),Invoices!$B$3:$B$34,"&lt;"&amp;DATE(2027,9,1))</f>
        <v>0</v>
      </c>
      <c r="J10" s="19">
        <f>SUMIFS(Invoices!$H$3:$H$34,Invoices!$M$3:$M$34,"CCA showcase",Invoices!$I$3:$I$34,"Paid",Invoices!$B$3:$B$34,"&gt;="&amp;DATE(2027,9,1),Invoices!$B$3:$B$34,"&lt;"&amp;DATE(2027,10,1))</f>
        <v>0</v>
      </c>
      <c r="K10" s="19">
        <f>SUMIFS(Invoices!$H$3:$H$34,Invoices!$M$3:$M$34,"CCA showcase",Invoices!$I$3:$I$34,"Paid",Invoices!$B$3:$B$34,"&gt;="&amp;DATE(2027,10,1),Invoices!$B$3:$B$34,"&lt;"&amp;DATE(2027,11,1))</f>
        <v>0</v>
      </c>
      <c r="L10" s="19">
        <f>SUMIFS(Invoices!$H$3:$H$34,Invoices!$M$3:$M$34,"CCA showcase",Invoices!$I$3:$I$34,"Paid",Invoices!$B$3:$B$34,"&gt;="&amp;DATE(2027,11,1),Invoices!$B$3:$B$34,"&lt;"&amp;DATE(2027,12,1))</f>
        <v>0</v>
      </c>
      <c r="M10" s="19">
        <f>SUMIFS(Invoices!$H$3:$H$34,Invoices!$M$3:$M$34,"CCA showcase",Invoices!$I$3:$I$34,"Paid",Invoices!$B$3:$B$34,"&gt;="&amp;DATE(2027,12,1),Invoices!$B$3:$B$34,"&lt;"&amp;DATE(2028,1,1))</f>
        <v>0</v>
      </c>
      <c r="N10" s="20">
        <f t="shared" si="0"/>
        <v>0</v>
      </c>
    </row>
    <row r="11" spans="1:15">
      <c r="A11" s="18" t="s">
        <v>934</v>
      </c>
      <c r="B11" s="19">
        <f>SUMIFS(Invoices!$H$3:$H$34,Invoices!$P$3:$P$34,"*camp*",Invoices!$I$3:$I$34,"Paid",Invoices!$B$3:$B$34,"&gt;="&amp;DATE(2027,1,1),Invoices!$B$3:$B$34,"&lt;"&amp;DATE(2027,2,1))</f>
        <v>0</v>
      </c>
      <c r="C11" s="19">
        <f>SUMIFS(Invoices!$H$3:$H$34,Invoices!$P$3:$P$34,"*camp*",Invoices!$I$3:$I$34,"Paid",Invoices!$B$3:$B$34,"&gt;="&amp;DATE(2027,2,1),Invoices!$B$3:$B$34,"&lt;"&amp;DATE(2027,3,1))</f>
        <v>0</v>
      </c>
      <c r="D11" s="19">
        <f>SUMIFS(Invoices!$H$3:$H$34,Invoices!$P$3:$P$34,"*camp*",Invoices!$I$3:$I$34,"Paid",Invoices!$B$3:$B$34,"&gt;="&amp;DATE(2027,3,1),Invoices!$B$3:$B$34,"&lt;"&amp;DATE(2027,4,1))</f>
        <v>0</v>
      </c>
      <c r="E11" s="19">
        <f>SUMIFS(Invoices!$H$3:$H$34,Invoices!$P$3:$P$34,"*camp*",Invoices!$I$3:$I$34,"Paid",Invoices!$B$3:$B$34,"&gt;="&amp;DATE(2027,4,1),Invoices!$B$3:$B$34,"&lt;"&amp;DATE(2027,5,1))</f>
        <v>0</v>
      </c>
      <c r="F11" s="19">
        <f>SUMIFS(Invoices!$H$3:$H$34,Invoices!$P$3:$P$34,"*camp*",Invoices!$I$3:$I$34,"Paid",Invoices!$B$3:$B$34,"&gt;="&amp;DATE(2027,5,1),Invoices!$B$3:$B$34,"&lt;"&amp;DATE(2027,6,1))</f>
        <v>0</v>
      </c>
      <c r="G11" s="19">
        <f>SUMIFS(Invoices!$H$3:$H$34,Invoices!$P$3:$P$34,"*camp*",Invoices!$I$3:$I$34,"Paid",Invoices!$B$3:$B$34,"&gt;="&amp;DATE(2027,6,1),Invoices!$B$3:$B$34,"&lt;"&amp;DATE(2027,7,1))</f>
        <v>0</v>
      </c>
      <c r="H11" s="19">
        <f>SUMIFS(Invoices!$H$3:$H$34,Invoices!$P$3:$P$34,"*camp*",Invoices!$I$3:$I$34,"Paid",Invoices!$B$3:$B$34,"&gt;="&amp;DATE(2027,7,1),Invoices!$B$3:$B$34,"&lt;"&amp;DATE(2027,8,1))</f>
        <v>0</v>
      </c>
      <c r="I11" s="19">
        <f>SUMIFS(Invoices!$H$3:$H$34,Invoices!$P$3:$P$34,"*camp*",Invoices!$I$3:$I$34,"Paid",Invoices!$B$3:$B$34,"&gt;="&amp;DATE(2027,8,1),Invoices!$B$3:$B$34,"&lt;"&amp;DATE(2027,9,1))</f>
        <v>0</v>
      </c>
      <c r="J11" s="19">
        <f>SUMIFS(Invoices!$H$3:$H$34,Invoices!$P$3:$P$34,"*camp*",Invoices!$I$3:$I$34,"Paid",Invoices!$B$3:$B$34,"&gt;="&amp;DATE(2027,9,1),Invoices!$B$3:$B$34,"&lt;"&amp;DATE(2027,10,1))</f>
        <v>0</v>
      </c>
      <c r="K11" s="19">
        <f>SUMIFS(Invoices!$H$3:$H$34,Invoices!$P$3:$P$34,"*camp*",Invoices!$I$3:$I$34,"Paid",Invoices!$B$3:$B$34,"&gt;="&amp;DATE(2027,10,1),Invoices!$B$3:$B$34,"&lt;"&amp;DATE(2027,11,1))</f>
        <v>0</v>
      </c>
      <c r="L11" s="19">
        <f>SUMIFS(Invoices!$H$3:$H$34,Invoices!$P$3:$P$34,"*camp*",Invoices!$I$3:$I$34,"Paid",Invoices!$B$3:$B$34,"&gt;="&amp;DATE(2027,11,1),Invoices!$B$3:$B$34,"&lt;"&amp;DATE(2027,12,1))</f>
        <v>0</v>
      </c>
      <c r="M11" s="19">
        <f>SUMIFS(Invoices!$H$3:$H$34,Invoices!$P$3:$P$34,"*camp*",Invoices!$I$3:$I$34,"Paid",Invoices!$B$3:$B$34,"&gt;="&amp;DATE(2027,12,1),Invoices!$B$3:$B$34,"&lt;"&amp;DATE(2028,1,1))</f>
        <v>0</v>
      </c>
      <c r="N11" s="20">
        <f t="shared" si="0"/>
        <v>0</v>
      </c>
    </row>
    <row r="12" spans="1:15">
      <c r="A12" s="18" t="s">
        <v>935</v>
      </c>
      <c r="B12" s="19">
        <f t="shared" ref="B12:M12" si="2">B9+B10+B11</f>
        <v>0</v>
      </c>
      <c r="C12" s="19">
        <f t="shared" si="2"/>
        <v>0</v>
      </c>
      <c r="D12" s="19">
        <f t="shared" si="2"/>
        <v>0</v>
      </c>
      <c r="E12" s="19">
        <f t="shared" si="2"/>
        <v>0</v>
      </c>
      <c r="F12" s="19">
        <f t="shared" si="2"/>
        <v>0</v>
      </c>
      <c r="G12" s="19">
        <f t="shared" si="2"/>
        <v>0</v>
      </c>
      <c r="H12" s="19">
        <f t="shared" si="2"/>
        <v>0</v>
      </c>
      <c r="I12" s="19">
        <f t="shared" si="2"/>
        <v>0</v>
      </c>
      <c r="J12" s="19">
        <f t="shared" si="2"/>
        <v>0</v>
      </c>
      <c r="K12" s="19">
        <f t="shared" si="2"/>
        <v>0</v>
      </c>
      <c r="L12" s="19">
        <f t="shared" si="2"/>
        <v>0</v>
      </c>
      <c r="M12" s="19">
        <f t="shared" si="2"/>
        <v>0</v>
      </c>
      <c r="N12" s="20">
        <f t="shared" si="0"/>
        <v>0</v>
      </c>
    </row>
    <row r="13" spans="1:15">
      <c r="A13" s="18" t="s">
        <v>936</v>
      </c>
      <c r="B13" s="19">
        <f t="shared" ref="B13:M13" si="3">B12-B7</f>
        <v>-170000</v>
      </c>
      <c r="C13" s="19">
        <f t="shared" si="3"/>
        <v>-62000</v>
      </c>
      <c r="D13" s="19">
        <f t="shared" si="3"/>
        <v>-62000</v>
      </c>
      <c r="E13" s="19">
        <f t="shared" si="3"/>
        <v>-62000</v>
      </c>
      <c r="F13" s="19">
        <f t="shared" si="3"/>
        <v>-98000</v>
      </c>
      <c r="G13" s="19">
        <f t="shared" si="3"/>
        <v>-62000</v>
      </c>
      <c r="H13" s="19">
        <f t="shared" si="3"/>
        <v>-128000</v>
      </c>
      <c r="I13" s="19">
        <f t="shared" si="3"/>
        <v>-128000</v>
      </c>
      <c r="J13" s="19">
        <f t="shared" si="3"/>
        <v>-62000</v>
      </c>
      <c r="K13" s="19">
        <f t="shared" si="3"/>
        <v>-98000</v>
      </c>
      <c r="L13" s="19">
        <f t="shared" si="3"/>
        <v>-62000</v>
      </c>
      <c r="M13" s="19">
        <f t="shared" si="3"/>
        <v>-62000</v>
      </c>
      <c r="N13" s="20">
        <f t="shared" si="0"/>
        <v>-1056000</v>
      </c>
    </row>
    <row r="14" spans="1:15">
      <c r="A14" s="15" t="s">
        <v>937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7">
        <f t="shared" si="0"/>
        <v>0</v>
      </c>
    </row>
    <row r="15" spans="1:15">
      <c r="A15" s="18" t="s">
        <v>938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2">
        <f t="shared" si="0"/>
        <v>0</v>
      </c>
    </row>
    <row r="16" spans="1:15">
      <c r="A16" s="18" t="s">
        <v>939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2">
        <f t="shared" si="0"/>
        <v>0</v>
      </c>
    </row>
    <row r="17" spans="1:14">
      <c r="A17" s="18" t="s">
        <v>940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2">
        <f t="shared" si="0"/>
        <v>0</v>
      </c>
    </row>
    <row r="18" spans="1:14">
      <c r="A18" s="18" t="s">
        <v>941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2">
        <f t="shared" si="0"/>
        <v>0</v>
      </c>
    </row>
    <row r="19" spans="1:14">
      <c r="A19" s="18" t="s">
        <v>942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2">
        <f t="shared" si="0"/>
        <v>0</v>
      </c>
    </row>
    <row r="20" spans="1:14">
      <c r="A20" s="18" t="s">
        <v>943</v>
      </c>
      <c r="B20" s="19">
        <f t="shared" ref="B20:M20" si="4">ROUND(B12*0.03,0)</f>
        <v>0</v>
      </c>
      <c r="C20" s="19">
        <f t="shared" si="4"/>
        <v>0</v>
      </c>
      <c r="D20" s="19">
        <f t="shared" si="4"/>
        <v>0</v>
      </c>
      <c r="E20" s="19">
        <f t="shared" si="4"/>
        <v>0</v>
      </c>
      <c r="F20" s="19">
        <f t="shared" si="4"/>
        <v>0</v>
      </c>
      <c r="G20" s="19">
        <f t="shared" si="4"/>
        <v>0</v>
      </c>
      <c r="H20" s="19">
        <f t="shared" si="4"/>
        <v>0</v>
      </c>
      <c r="I20" s="19">
        <f t="shared" si="4"/>
        <v>0</v>
      </c>
      <c r="J20" s="19">
        <f t="shared" si="4"/>
        <v>0</v>
      </c>
      <c r="K20" s="19">
        <f t="shared" si="4"/>
        <v>0</v>
      </c>
      <c r="L20" s="19">
        <f t="shared" si="4"/>
        <v>0</v>
      </c>
      <c r="M20" s="19">
        <f t="shared" si="4"/>
        <v>0</v>
      </c>
      <c r="N20" s="20">
        <f t="shared" si="0"/>
        <v>0</v>
      </c>
    </row>
    <row r="21" spans="1:14">
      <c r="A21" s="18" t="s">
        <v>944</v>
      </c>
      <c r="B21" s="19">
        <f t="shared" ref="B21:M21" si="5">ROUND(B12*0.1,0)</f>
        <v>0</v>
      </c>
      <c r="C21" s="19">
        <f t="shared" si="5"/>
        <v>0</v>
      </c>
      <c r="D21" s="19">
        <f t="shared" si="5"/>
        <v>0</v>
      </c>
      <c r="E21" s="19">
        <f t="shared" si="5"/>
        <v>0</v>
      </c>
      <c r="F21" s="19">
        <f t="shared" si="5"/>
        <v>0</v>
      </c>
      <c r="G21" s="19">
        <f t="shared" si="5"/>
        <v>0</v>
      </c>
      <c r="H21" s="19">
        <f t="shared" si="5"/>
        <v>0</v>
      </c>
      <c r="I21" s="19">
        <f t="shared" si="5"/>
        <v>0</v>
      </c>
      <c r="J21" s="19">
        <f t="shared" si="5"/>
        <v>0</v>
      </c>
      <c r="K21" s="19">
        <f t="shared" si="5"/>
        <v>0</v>
      </c>
      <c r="L21" s="19">
        <f t="shared" si="5"/>
        <v>0</v>
      </c>
      <c r="M21" s="19">
        <f t="shared" si="5"/>
        <v>0</v>
      </c>
      <c r="N21" s="20">
        <f t="shared" si="0"/>
        <v>0</v>
      </c>
    </row>
    <row r="22" spans="1:14">
      <c r="A22" s="18" t="s">
        <v>945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2">
        <f t="shared" si="0"/>
        <v>0</v>
      </c>
    </row>
    <row r="23" spans="1:14">
      <c r="A23" s="18" t="s">
        <v>946</v>
      </c>
      <c r="B23" s="19">
        <f t="shared" ref="B23:M23" si="6">SUM(B15,B16,B17,B18,B19,B20,B21,B22)</f>
        <v>0</v>
      </c>
      <c r="C23" s="19">
        <f t="shared" si="6"/>
        <v>0</v>
      </c>
      <c r="D23" s="19">
        <f t="shared" si="6"/>
        <v>0</v>
      </c>
      <c r="E23" s="19">
        <f t="shared" si="6"/>
        <v>0</v>
      </c>
      <c r="F23" s="19">
        <f t="shared" si="6"/>
        <v>0</v>
      </c>
      <c r="G23" s="19">
        <f t="shared" si="6"/>
        <v>0</v>
      </c>
      <c r="H23" s="19">
        <f t="shared" si="6"/>
        <v>0</v>
      </c>
      <c r="I23" s="19">
        <f t="shared" si="6"/>
        <v>0</v>
      </c>
      <c r="J23" s="19">
        <f t="shared" si="6"/>
        <v>0</v>
      </c>
      <c r="K23" s="19">
        <f t="shared" si="6"/>
        <v>0</v>
      </c>
      <c r="L23" s="19">
        <f t="shared" si="6"/>
        <v>0</v>
      </c>
      <c r="M23" s="19">
        <f t="shared" si="6"/>
        <v>0</v>
      </c>
      <c r="N23" s="20">
        <f t="shared" si="0"/>
        <v>0</v>
      </c>
    </row>
    <row r="24" spans="1:14">
      <c r="A24" s="15" t="s">
        <v>947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7">
        <f t="shared" si="0"/>
        <v>0</v>
      </c>
    </row>
    <row r="25" spans="1:14">
      <c r="A25" s="18" t="s">
        <v>948</v>
      </c>
      <c r="B25" s="19">
        <f>SUMIFS(Expenses!$D$3:$D$100,Expenses!$A$3:$A$100,"&gt;="&amp;DATE(2027,1,1),Expenses!$A$3:$A$100,"&lt;"&amp;DATE(2027,2,1))</f>
        <v>0</v>
      </c>
      <c r="C25" s="19">
        <f>SUMIFS(Expenses!$D$3:$D$100,Expenses!$A$3:$A$100,"&gt;="&amp;DATE(2027,2,1),Expenses!$A$3:$A$100,"&lt;"&amp;DATE(2027,3,1))</f>
        <v>0</v>
      </c>
      <c r="D25" s="19">
        <f>SUMIFS(Expenses!$D$3:$D$100,Expenses!$A$3:$A$100,"&gt;="&amp;DATE(2027,3,1),Expenses!$A$3:$A$100,"&lt;"&amp;DATE(2027,4,1))</f>
        <v>0</v>
      </c>
      <c r="E25" s="19">
        <f>SUMIFS(Expenses!$D$3:$D$100,Expenses!$A$3:$A$100,"&gt;="&amp;DATE(2027,4,1),Expenses!$A$3:$A$100,"&lt;"&amp;DATE(2027,5,1))</f>
        <v>0</v>
      </c>
      <c r="F25" s="19">
        <f>SUMIFS(Expenses!$D$3:$D$100,Expenses!$A$3:$A$100,"&gt;="&amp;DATE(2027,5,1),Expenses!$A$3:$A$100,"&lt;"&amp;DATE(2027,6,1))</f>
        <v>0</v>
      </c>
      <c r="G25" s="19">
        <f>SUMIFS(Expenses!$D$3:$D$100,Expenses!$A$3:$A$100,"&gt;="&amp;DATE(2027,6,1),Expenses!$A$3:$A$100,"&lt;"&amp;DATE(2027,7,1))</f>
        <v>0</v>
      </c>
      <c r="H25" s="19">
        <f>SUMIFS(Expenses!$D$3:$D$100,Expenses!$A$3:$A$100,"&gt;="&amp;DATE(2027,7,1),Expenses!$A$3:$A$100,"&lt;"&amp;DATE(2027,8,1))</f>
        <v>0</v>
      </c>
      <c r="I25" s="19">
        <f>SUMIFS(Expenses!$D$3:$D$100,Expenses!$A$3:$A$100,"&gt;="&amp;DATE(2027,8,1),Expenses!$A$3:$A$100,"&lt;"&amp;DATE(2027,9,1))</f>
        <v>0</v>
      </c>
      <c r="J25" s="19">
        <f>SUMIFS(Expenses!$D$3:$D$100,Expenses!$A$3:$A$100,"&gt;="&amp;DATE(2027,9,1),Expenses!$A$3:$A$100,"&lt;"&amp;DATE(2027,10,1))</f>
        <v>0</v>
      </c>
      <c r="K25" s="19">
        <f>SUMIFS(Expenses!$D$3:$D$100,Expenses!$A$3:$A$100,"&gt;="&amp;DATE(2027,10,1),Expenses!$A$3:$A$100,"&lt;"&amp;DATE(2027,11,1))</f>
        <v>0</v>
      </c>
      <c r="L25" s="19">
        <f>SUMIFS(Expenses!$D$3:$D$100,Expenses!$A$3:$A$100,"&gt;="&amp;DATE(2027,11,1),Expenses!$A$3:$A$100,"&lt;"&amp;DATE(2027,12,1))</f>
        <v>0</v>
      </c>
      <c r="M25" s="19">
        <f>SUMIFS(Expenses!$D$3:$D$100,Expenses!$A$3:$A$100,"&gt;="&amp;DATE(2027,12,1),Expenses!$A$3:$A$100,"&lt;"&amp;DATE(2028,1,1))</f>
        <v>0</v>
      </c>
      <c r="N25" s="20">
        <f t="shared" si="0"/>
        <v>0</v>
      </c>
    </row>
    <row r="26" ht="14.55" spans="1:14">
      <c r="A26" s="23" t="s">
        <v>949</v>
      </c>
      <c r="B26" s="24">
        <f t="shared" ref="B26:M26" si="7">B12-B25</f>
        <v>0</v>
      </c>
      <c r="C26" s="24">
        <f t="shared" si="7"/>
        <v>0</v>
      </c>
      <c r="D26" s="24">
        <f t="shared" si="7"/>
        <v>0</v>
      </c>
      <c r="E26" s="24">
        <f t="shared" si="7"/>
        <v>0</v>
      </c>
      <c r="F26" s="24">
        <f t="shared" si="7"/>
        <v>0</v>
      </c>
      <c r="G26" s="24">
        <f t="shared" si="7"/>
        <v>0</v>
      </c>
      <c r="H26" s="24">
        <f t="shared" si="7"/>
        <v>0</v>
      </c>
      <c r="I26" s="24">
        <f t="shared" si="7"/>
        <v>0</v>
      </c>
      <c r="J26" s="24">
        <f t="shared" si="7"/>
        <v>0</v>
      </c>
      <c r="K26" s="24">
        <f t="shared" si="7"/>
        <v>0</v>
      </c>
      <c r="L26" s="24">
        <f t="shared" si="7"/>
        <v>0</v>
      </c>
      <c r="M26" s="24">
        <f t="shared" si="7"/>
        <v>0</v>
      </c>
      <c r="N26" s="25">
        <f t="shared" si="0"/>
        <v>0</v>
      </c>
    </row>
  </sheetData>
  <mergeCells count="1">
    <mergeCell ref="A1:N1"/>
  </mergeCells>
  <conditionalFormatting sqref="B13:N13">
    <cfRule type="cellIs" dxfId="9" priority="1" operator="lessThan">
      <formula>0</formula>
    </cfRule>
  </conditionalFormatting>
  <conditionalFormatting sqref="B26:N26">
    <cfRule type="cellIs" dxfId="9" priority="2" operator="lessThan">
      <formula>0</formula>
    </cfRule>
  </conditionalFormatting>
  <pageMargins left="0.75" right="0.75" top="1" bottom="1" header="0.5" footer="0.5"/>
  <pageSetup paperSize="1" scale="56" fitToHeight="0" orientation="landscape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A1:F14"/>
  <sheetViews>
    <sheetView showGridLines="0" workbookViewId="0">
      <pane ySplit="2" topLeftCell="A3" activePane="bottomLeft" state="frozen"/>
      <selection/>
      <selection pane="bottomLeft" activeCell="F1" sqref="F1"/>
    </sheetView>
  </sheetViews>
  <sheetFormatPr defaultColWidth="9" defaultRowHeight="13.8" outlineLevelCol="5"/>
  <cols>
    <col min="1" max="1" width="10" style="1" customWidth="1"/>
    <col min="2" max="2" width="58" style="1" customWidth="1"/>
    <col min="3" max="3" width="24" style="1" customWidth="1"/>
    <col min="4" max="4" width="8" style="1" customWidth="1"/>
    <col min="5" max="5" width="30" style="1" customWidth="1"/>
    <col min="6" max="16384" width="9" style="1"/>
  </cols>
  <sheetData>
    <row r="1" ht="30" customHeight="1" spans="1:6">
      <c r="A1" s="2" t="s">
        <v>950</v>
      </c>
      <c r="B1" s="3"/>
      <c r="C1" s="3"/>
      <c r="D1" s="3"/>
      <c r="E1" s="4"/>
      <c r="F1" s="5" t="str">
        <f>HYPERLINK("#'Cover'!A1","&lt;-")</f>
        <v>&lt;-</v>
      </c>
    </row>
    <row r="2" ht="30" customHeight="1" spans="1:6">
      <c r="A2" s="6" t="s">
        <v>951</v>
      </c>
      <c r="B2" s="7" t="s">
        <v>952</v>
      </c>
      <c r="C2" s="7" t="s">
        <v>953</v>
      </c>
      <c r="D2" s="7" t="s">
        <v>191</v>
      </c>
      <c r="E2" s="8" t="s">
        <v>187</v>
      </c>
    </row>
    <row r="3" spans="1:6">
      <c r="A3" s="9" t="s">
        <v>954</v>
      </c>
      <c r="B3" s="10" t="s">
        <v>955</v>
      </c>
      <c r="C3" s="10" t="s">
        <v>956</v>
      </c>
      <c r="D3" s="10" t="s">
        <v>82</v>
      </c>
      <c r="E3" s="11" t="s">
        <v>82</v>
      </c>
    </row>
    <row r="4" spans="1:6">
      <c r="A4" s="9" t="s">
        <v>954</v>
      </c>
      <c r="B4" s="10" t="s">
        <v>957</v>
      </c>
      <c r="C4" s="10" t="s">
        <v>958</v>
      </c>
      <c r="D4" s="10" t="s">
        <v>82</v>
      </c>
      <c r="E4" s="11" t="s">
        <v>959</v>
      </c>
    </row>
    <row r="5" spans="1:6">
      <c r="A5" s="9" t="s">
        <v>960</v>
      </c>
      <c r="B5" s="10" t="s">
        <v>961</v>
      </c>
      <c r="C5" s="10" t="s">
        <v>962</v>
      </c>
      <c r="D5" s="10" t="s">
        <v>82</v>
      </c>
      <c r="E5" s="11" t="s">
        <v>963</v>
      </c>
    </row>
    <row r="6" spans="1:6">
      <c r="A6" s="9" t="s">
        <v>964</v>
      </c>
      <c r="B6" s="10" t="s">
        <v>965</v>
      </c>
      <c r="C6" s="10" t="s">
        <v>966</v>
      </c>
      <c r="D6" s="10" t="s">
        <v>82</v>
      </c>
      <c r="E6" s="11" t="s">
        <v>82</v>
      </c>
    </row>
    <row r="7" spans="1:6">
      <c r="A7" s="9" t="s">
        <v>967</v>
      </c>
      <c r="B7" s="10" t="s">
        <v>968</v>
      </c>
      <c r="C7" s="10" t="s">
        <v>969</v>
      </c>
      <c r="D7" s="10" t="s">
        <v>82</v>
      </c>
      <c r="E7" s="11" t="s">
        <v>970</v>
      </c>
    </row>
    <row r="8" ht="27.6" spans="1:6">
      <c r="A8" s="9" t="s">
        <v>971</v>
      </c>
      <c r="B8" s="10" t="s">
        <v>972</v>
      </c>
      <c r="C8" s="10" t="s">
        <v>973</v>
      </c>
      <c r="D8" s="10" t="s">
        <v>82</v>
      </c>
      <c r="E8" s="11" t="s">
        <v>974</v>
      </c>
    </row>
    <row r="9" spans="1:6">
      <c r="A9" s="9" t="s">
        <v>902</v>
      </c>
      <c r="B9" s="10" t="s">
        <v>975</v>
      </c>
      <c r="C9" s="10" t="s">
        <v>966</v>
      </c>
      <c r="D9" s="10" t="s">
        <v>82</v>
      </c>
      <c r="E9" s="11" t="s">
        <v>976</v>
      </c>
    </row>
    <row r="10" spans="1:6">
      <c r="A10" s="9" t="s">
        <v>977</v>
      </c>
      <c r="B10" s="10" t="s">
        <v>978</v>
      </c>
      <c r="C10" s="10" t="s">
        <v>979</v>
      </c>
      <c r="D10" s="10" t="s">
        <v>82</v>
      </c>
      <c r="E10" s="11" t="s">
        <v>980</v>
      </c>
    </row>
    <row r="11" ht="27.6" spans="1:6">
      <c r="A11" s="9" t="s">
        <v>981</v>
      </c>
      <c r="B11" s="10" t="s">
        <v>982</v>
      </c>
      <c r="C11" s="10" t="s">
        <v>983</v>
      </c>
      <c r="D11" s="10" t="s">
        <v>82</v>
      </c>
      <c r="E11" s="11" t="s">
        <v>984</v>
      </c>
    </row>
    <row r="12" spans="1:6">
      <c r="A12" s="9" t="s">
        <v>985</v>
      </c>
      <c r="B12" s="10" t="s">
        <v>986</v>
      </c>
      <c r="C12" s="10" t="s">
        <v>987</v>
      </c>
      <c r="D12" s="10" t="s">
        <v>82</v>
      </c>
      <c r="E12" s="11" t="s">
        <v>82</v>
      </c>
    </row>
    <row r="13" spans="1:6">
      <c r="A13" s="9" t="s">
        <v>988</v>
      </c>
      <c r="B13" s="10" t="s">
        <v>989</v>
      </c>
      <c r="C13" s="10" t="s">
        <v>990</v>
      </c>
      <c r="D13" s="10" t="s">
        <v>82</v>
      </c>
      <c r="E13" s="11" t="s">
        <v>241</v>
      </c>
    </row>
    <row r="14" ht="14.55" spans="1:6">
      <c r="A14" s="12" t="s">
        <v>988</v>
      </c>
      <c r="B14" s="13" t="s">
        <v>991</v>
      </c>
      <c r="C14" s="13" t="s">
        <v>170</v>
      </c>
      <c r="D14" s="13" t="s">
        <v>82</v>
      </c>
      <c r="E14" s="14" t="s">
        <v>82</v>
      </c>
    </row>
  </sheetData>
  <mergeCells count="1">
    <mergeCell ref="A1:E1"/>
  </mergeCells>
  <pageMargins left="0.75" right="0.75" top="1" bottom="1" header="0.5" footer="0.5"/>
  <pageSetup paperSize="1" scale="8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43</vt:i4>
      </vt:variant>
    </vt:vector>
  </HeadingPairs>
  <TitlesOfParts>
    <vt:vector size="43" baseType="lpstr">
      <vt:lpstr>Cover</vt:lpstr>
      <vt:lpstr>Dashboard</vt:lpstr>
      <vt:lpstr>Students</vt:lpstr>
      <vt:lpstr>Leads</vt:lpstr>
      <vt:lpstr>Trials</vt:lpstr>
      <vt:lpstr>Invoices</vt:lpstr>
      <vt:lpstr>Expenses</vt:lpstr>
      <vt:lpstr>Makeup_Churn</vt:lpstr>
      <vt:lpstr>Events</vt:lpstr>
      <vt:lpstr>WinterCamp</vt:lpstr>
      <vt:lpstr>Camp_Plan</vt:lpstr>
      <vt:lpstr>Scripts</vt:lpstr>
      <vt:lpstr>Send_Kit</vt:lpstr>
      <vt:lpstr>Programs</vt:lpstr>
      <vt:lpstr>Exhibitions</vt:lpstr>
      <vt:lpstr>Certificates</vt:lpstr>
      <vt:lpstr>Channel_Pivot</vt:lpstr>
      <vt:lpstr>Access</vt:lpstr>
      <vt:lpstr>Consents</vt:lpstr>
      <vt:lpstr>Approvals</vt:lpstr>
      <vt:lpstr>Offboarding</vt:lpstr>
      <vt:lpstr>Assets</vt:lpstr>
      <vt:lpstr>Brand</vt:lpstr>
      <vt:lpstr>PDF_List</vt:lpstr>
      <vt:lpstr>Calendar</vt:lpstr>
      <vt:lpstr>Halloween</vt:lpstr>
      <vt:lpstr>ForFun_EN</vt:lpstr>
      <vt:lpstr>Flyer</vt:lpstr>
      <vt:lpstr>Tasklist</vt:lpstr>
      <vt:lpstr>Invoice_Poster</vt:lpstr>
      <vt:lpstr>Consent_Poster</vt:lpstr>
      <vt:lpstr>Survey_Poster</vt:lpstr>
      <vt:lpstr>Gantt</vt:lpstr>
      <vt:lpstr>Compliance</vt:lpstr>
      <vt:lpstr>AntiFraud</vt:lpstr>
      <vt:lpstr>SOP</vt:lpstr>
      <vt:lpstr>Showcase</vt:lpstr>
      <vt:lpstr>BirthdayWS</vt:lpstr>
      <vt:lpstr>HalloweenPlan</vt:lpstr>
      <vt:lpstr>Certificate</vt:lpstr>
      <vt:lpstr>Sales2027</vt:lpstr>
      <vt:lpstr>PnL2027</vt:lpstr>
      <vt:lpstr>First30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Kiki.Inside</cp:lastModifiedBy>
  <dcterms:created xsi:type="dcterms:W3CDTF">2026-10-12T01:52:00Z</dcterms:created>
  <dcterms:modified xsi:type="dcterms:W3CDTF">2026-10-14T06:38:58Z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9366854E3232467CBAE04D1B823A5BB7_13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