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ew2\Desktop\Project\PowerSupply\"/>
    </mc:Choice>
  </mc:AlternateContent>
  <bookViews>
    <workbookView xWindow="0" yWindow="0" windowWidth="15345" windowHeight="4635"/>
  </bookViews>
  <sheets>
    <sheet name="Sheet1" sheetId="1" r:id="rId1"/>
  </sheets>
  <definedNames>
    <definedName name="solver_adj" localSheetId="0" hidden="1">Sheet1!$P$19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Sheet1!$P$23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G108" i="1" s="1"/>
  <c r="G104" i="1"/>
  <c r="G62" i="1"/>
  <c r="G99" i="1"/>
  <c r="G81" i="1"/>
  <c r="G80" i="1"/>
  <c r="G78" i="1"/>
  <c r="G70" i="1"/>
  <c r="H72" i="1"/>
  <c r="G72" i="1"/>
  <c r="H69" i="1"/>
  <c r="G69" i="1"/>
  <c r="G100" i="1" s="1"/>
  <c r="G68" i="1"/>
  <c r="F69" i="1" s="1"/>
  <c r="G67" i="1"/>
  <c r="H67" i="1"/>
  <c r="F67" i="1"/>
  <c r="G65" i="1"/>
  <c r="G63" i="1"/>
  <c r="G85" i="1"/>
  <c r="G84" i="1"/>
  <c r="G86" i="1" l="1"/>
  <c r="G87" i="1" s="1"/>
  <c r="G83" i="1"/>
  <c r="G110" i="1" s="1"/>
  <c r="G92" i="1"/>
  <c r="G93" i="1" s="1"/>
  <c r="G101" i="1"/>
  <c r="G103" i="1" s="1"/>
  <c r="G105" i="1" s="1"/>
  <c r="G106" i="1" s="1"/>
  <c r="G82" i="1"/>
  <c r="G109" i="1" s="1"/>
  <c r="G64" i="1"/>
  <c r="J125" i="1"/>
  <c r="J124" i="1"/>
  <c r="J122" i="1"/>
  <c r="J121" i="1"/>
  <c r="J120" i="1"/>
  <c r="K118" i="1"/>
  <c r="J118" i="1"/>
  <c r="I118" i="1"/>
  <c r="K117" i="1"/>
  <c r="I117" i="1"/>
  <c r="G125" i="1"/>
  <c r="G124" i="1"/>
  <c r="G122" i="1"/>
  <c r="G121" i="1"/>
  <c r="G120" i="1"/>
  <c r="H118" i="1"/>
  <c r="F118" i="1"/>
  <c r="H117" i="1"/>
  <c r="F117" i="1"/>
  <c r="H18" i="1"/>
  <c r="F18" i="1"/>
  <c r="G13" i="1"/>
  <c r="G18" i="1" s="1"/>
  <c r="G12" i="1"/>
  <c r="G44" i="1"/>
  <c r="H49" i="1"/>
  <c r="G45" i="1"/>
  <c r="G43" i="1"/>
  <c r="P21" i="1"/>
  <c r="G42" i="1"/>
  <c r="G48" i="1"/>
  <c r="G118" i="1" s="1"/>
  <c r="H36" i="1"/>
  <c r="F36" i="1"/>
  <c r="G26" i="1"/>
  <c r="G27" i="1"/>
  <c r="G23" i="1"/>
  <c r="P6" i="1"/>
  <c r="G22" i="1"/>
  <c r="G38" i="1" s="1"/>
  <c r="G39" i="1" s="1"/>
  <c r="G21" i="1"/>
  <c r="H19" i="1"/>
  <c r="G19" i="1"/>
  <c r="F19" i="1"/>
  <c r="G88" i="1" l="1"/>
  <c r="G66" i="1"/>
  <c r="G74" i="1"/>
  <c r="G76" i="1" s="1"/>
  <c r="G79" i="1" s="1"/>
  <c r="G71" i="1"/>
  <c r="F72" i="1" s="1"/>
  <c r="G46" i="1"/>
  <c r="N19" i="1"/>
  <c r="G24" i="1"/>
  <c r="G25" i="1" s="1"/>
  <c r="N4" i="1"/>
  <c r="G28" i="1"/>
  <c r="G29" i="1" s="1"/>
  <c r="N5" i="1"/>
  <c r="N6" i="1"/>
  <c r="N7" i="1"/>
  <c r="G89" i="1" l="1"/>
  <c r="G91" i="1" s="1"/>
  <c r="G90" i="1"/>
  <c r="G94" i="1" s="1"/>
  <c r="G95" i="1" s="1"/>
  <c r="G96" i="1" s="1"/>
  <c r="G97" i="1" s="1"/>
  <c r="G75" i="1"/>
  <c r="G73" i="1"/>
  <c r="G35" i="1"/>
  <c r="G30" i="1"/>
  <c r="P7" i="1"/>
  <c r="P8" i="1" s="1"/>
  <c r="G98" i="1" l="1"/>
  <c r="G51" i="1"/>
  <c r="G47" i="1"/>
  <c r="G50" i="1" s="1"/>
  <c r="N21" i="1"/>
  <c r="N20" i="1"/>
  <c r="G52" i="1" l="1"/>
  <c r="G53" i="1"/>
  <c r="P22" i="1"/>
  <c r="P23" i="1" s="1"/>
  <c r="G117" i="1" l="1"/>
  <c r="J117" i="1"/>
  <c r="J123" i="1" l="1"/>
  <c r="J126" i="1"/>
  <c r="G123" i="1"/>
  <c r="G126" i="1"/>
  <c r="J128" i="1" l="1"/>
  <c r="J127" i="1"/>
  <c r="G127" i="1"/>
  <c r="G128" i="1"/>
  <c r="L17" i="1"/>
</calcChain>
</file>

<file path=xl/sharedStrings.xml><?xml version="1.0" encoding="utf-8"?>
<sst xmlns="http://schemas.openxmlformats.org/spreadsheetml/2006/main" count="228" uniqueCount="102">
  <si>
    <t>Description</t>
  </si>
  <si>
    <t>MIN</t>
  </si>
  <si>
    <t>TYP</t>
  </si>
  <si>
    <t>MAX</t>
  </si>
  <si>
    <r>
      <t>Allowable Output Voltage Transient (</t>
    </r>
    <r>
      <rPr>
        <sz val="11"/>
        <color theme="1"/>
        <rFont val="Calibri"/>
        <family val="2"/>
      </rPr>
      <t>ΔV</t>
    </r>
    <r>
      <rPr>
        <sz val="9"/>
        <color theme="1"/>
        <rFont val="Calibri"/>
        <family val="2"/>
      </rPr>
      <t>C</t>
    </r>
    <r>
      <rPr>
        <sz val="8"/>
        <color theme="1"/>
        <rFont val="Calibri"/>
        <family val="2"/>
      </rPr>
      <t>pk-pk</t>
    </r>
    <r>
      <rPr>
        <sz val="11"/>
        <color theme="1"/>
        <rFont val="Calibri"/>
        <family val="2"/>
      </rPr>
      <t>) V</t>
    </r>
  </si>
  <si>
    <r>
      <t>Output Power (P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W</t>
    </r>
  </si>
  <si>
    <r>
      <t>Switching frequency (f</t>
    </r>
    <r>
      <rPr>
        <sz val="8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>) Hz</t>
    </r>
  </si>
  <si>
    <t>INPUT VALUES</t>
  </si>
  <si>
    <t>POWER SUPPLY</t>
  </si>
  <si>
    <r>
      <t>Input Voltage (V</t>
    </r>
    <r>
      <rPr>
        <sz val="8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VAC</t>
    </r>
  </si>
  <si>
    <t>RECTIFIER VALUES</t>
  </si>
  <si>
    <r>
      <t>Maximum forward voltage drop (V</t>
    </r>
    <r>
      <rPr>
        <sz val="8"/>
        <color theme="1"/>
        <rFont val="Calibri"/>
        <family val="2"/>
        <scheme val="minor"/>
      </rPr>
      <t>FWD</t>
    </r>
    <r>
      <rPr>
        <sz val="11"/>
        <color theme="1"/>
        <rFont val="Calibri"/>
        <family val="2"/>
        <scheme val="minor"/>
      </rPr>
      <t>) V</t>
    </r>
  </si>
  <si>
    <t>-</t>
  </si>
  <si>
    <r>
      <t>Output Capacitor Value (C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F</t>
    </r>
  </si>
  <si>
    <t>a</t>
  </si>
  <si>
    <t>b</t>
  </si>
  <si>
    <t>c</t>
  </si>
  <si>
    <t>d</t>
  </si>
  <si>
    <t>x</t>
  </si>
  <si>
    <t>y</t>
  </si>
  <si>
    <t>LHS (y)</t>
  </si>
  <si>
    <t>RHS(ax^3+bx^2+cx+d)</t>
  </si>
  <si>
    <t>Difference</t>
  </si>
  <si>
    <r>
      <t>Voltage Doubler Output Voltage (V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V</t>
    </r>
  </si>
  <si>
    <r>
      <t>Voltage Doubler Output Voltage Transient (ΔV</t>
    </r>
    <r>
      <rPr>
        <sz val="10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pk-pk</t>
    </r>
    <r>
      <rPr>
        <sz val="11"/>
        <color theme="1"/>
        <rFont val="Calibri"/>
        <family val="2"/>
        <scheme val="minor"/>
      </rPr>
      <t>) V</t>
    </r>
  </si>
  <si>
    <r>
      <t>Equivalent resistance (R</t>
    </r>
    <r>
      <rPr>
        <sz val="8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</rPr>
      <t>Ω</t>
    </r>
  </si>
  <si>
    <r>
      <t>Output Voltage (V</t>
    </r>
    <r>
      <rPr>
        <sz val="8"/>
        <color theme="1"/>
        <rFont val="Calibri"/>
        <family val="2"/>
        <scheme val="minor"/>
      </rPr>
      <t>OUT,max</t>
    </r>
    <r>
      <rPr>
        <sz val="11"/>
        <color theme="1"/>
        <rFont val="Calibri"/>
        <family val="2"/>
        <scheme val="minor"/>
      </rPr>
      <t>) V</t>
    </r>
  </si>
  <si>
    <r>
      <t>Output Voltage (V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>rms</t>
    </r>
    <r>
      <rPr>
        <sz val="11"/>
        <color theme="1"/>
        <rFont val="Calibri"/>
        <family val="2"/>
        <scheme val="minor"/>
      </rPr>
      <t>) V</t>
    </r>
  </si>
  <si>
    <r>
      <t>Ideal Output Voltage (V</t>
    </r>
    <r>
      <rPr>
        <sz val="8"/>
        <color theme="1"/>
        <rFont val="Calibri"/>
        <family val="2"/>
        <scheme val="minor"/>
      </rPr>
      <t>OUT,max,ideal</t>
    </r>
    <r>
      <rPr>
        <sz val="11"/>
        <color theme="1"/>
        <rFont val="Calibri"/>
        <family val="2"/>
        <scheme val="minor"/>
      </rPr>
      <t>) V</t>
    </r>
  </si>
  <si>
    <t>BOOST CONVERTER VALUES</t>
  </si>
  <si>
    <r>
      <t>Input Voltage (V</t>
    </r>
    <r>
      <rPr>
        <sz val="8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VDC</t>
    </r>
  </si>
  <si>
    <r>
      <t>Input frequency (f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Hz</t>
    </r>
  </si>
  <si>
    <r>
      <t>R</t>
    </r>
    <r>
      <rPr>
        <sz val="8"/>
        <color theme="1"/>
        <rFont val="Calibri"/>
        <family val="2"/>
        <scheme val="minor"/>
      </rPr>
      <t>DS(ON)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</rPr>
      <t>Ω</t>
    </r>
  </si>
  <si>
    <t>0.063</t>
  </si>
  <si>
    <t>0.164</t>
  </si>
  <si>
    <r>
      <t>Expected Output Voltage (V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V</t>
    </r>
  </si>
  <si>
    <r>
      <t>Output Current (I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</t>
    </r>
  </si>
  <si>
    <r>
      <t>Duty Ratio (</t>
    </r>
    <r>
      <rPr>
        <sz val="11"/>
        <color theme="1"/>
        <rFont val="Calibri"/>
        <family val="2"/>
      </rPr>
      <t>δ)</t>
    </r>
  </si>
  <si>
    <r>
      <t>Inductor equivalent resistnce (r</t>
    </r>
    <r>
      <rPr>
        <sz val="8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)  </t>
    </r>
    <r>
      <rPr>
        <sz val="11"/>
        <color theme="1"/>
        <rFont val="Calibri"/>
        <family val="2"/>
      </rPr>
      <t>Ω</t>
    </r>
  </si>
  <si>
    <t>RHS (ax^2+bx+c)</t>
  </si>
  <si>
    <t>Output Inductor (L) H</t>
  </si>
  <si>
    <r>
      <t>Allowable Output current Transient (</t>
    </r>
    <r>
      <rPr>
        <sz val="11"/>
        <color theme="1"/>
        <rFont val="Calibri"/>
        <family val="2"/>
      </rPr>
      <t>Δi</t>
    </r>
    <r>
      <rPr>
        <sz val="9"/>
        <color theme="1"/>
        <rFont val="Calibri"/>
        <family val="2"/>
      </rPr>
      <t>L</t>
    </r>
    <r>
      <rPr>
        <sz val="8"/>
        <color theme="1"/>
        <rFont val="Calibri"/>
        <family val="2"/>
      </rPr>
      <t>pk-pk</t>
    </r>
    <r>
      <rPr>
        <sz val="11"/>
        <color theme="1"/>
        <rFont val="Calibri"/>
        <family val="2"/>
      </rPr>
      <t>) A</t>
    </r>
  </si>
  <si>
    <r>
      <t>Actual Output current Transient (</t>
    </r>
    <r>
      <rPr>
        <sz val="11"/>
        <color theme="1"/>
        <rFont val="Calibri"/>
        <family val="2"/>
      </rPr>
      <t>Δi</t>
    </r>
    <r>
      <rPr>
        <sz val="9"/>
        <color theme="1"/>
        <rFont val="Calibri"/>
        <family val="2"/>
      </rPr>
      <t>L</t>
    </r>
    <r>
      <rPr>
        <sz val="8"/>
        <color theme="1"/>
        <rFont val="Calibri"/>
        <family val="2"/>
      </rPr>
      <t>pk-pk</t>
    </r>
    <r>
      <rPr>
        <sz val="11"/>
        <color theme="1"/>
        <rFont val="Calibri"/>
        <family val="2"/>
      </rPr>
      <t>) A</t>
    </r>
  </si>
  <si>
    <t>Actual Output Voltage Transient (ΔVCpk-pk) V</t>
  </si>
  <si>
    <t>Adjustable Duty Ratio (δ)</t>
  </si>
  <si>
    <t>EMI FILTER VALUES</t>
  </si>
  <si>
    <r>
      <t>Output Voltage (V</t>
    </r>
    <r>
      <rPr>
        <sz val="8"/>
        <color theme="1"/>
        <rFont val="Calibri"/>
        <family val="2"/>
        <scheme val="minor"/>
      </rPr>
      <t>out,rms</t>
    </r>
    <r>
      <rPr>
        <sz val="11"/>
        <color theme="1"/>
        <rFont val="Calibri"/>
        <family val="2"/>
        <scheme val="minor"/>
      </rPr>
      <t>) VAC</t>
    </r>
  </si>
  <si>
    <r>
      <t>Actual Output RMS Voltage (V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>rms</t>
    </r>
    <r>
      <rPr>
        <sz val="11"/>
        <color theme="1"/>
        <rFont val="Calibri"/>
        <family val="2"/>
        <scheme val="minor"/>
      </rPr>
      <t>) V</t>
    </r>
  </si>
  <si>
    <r>
      <t>Actual Output AVE Voltage (V</t>
    </r>
    <r>
      <rPr>
        <sz val="8"/>
        <color theme="1"/>
        <rFont val="Calibri"/>
        <family val="2"/>
        <scheme val="minor"/>
      </rPr>
      <t>OUT,ave</t>
    </r>
    <r>
      <rPr>
        <sz val="11"/>
        <color theme="1"/>
        <rFont val="Calibri"/>
        <family val="2"/>
        <scheme val="minor"/>
      </rPr>
      <t>) V</t>
    </r>
  </si>
  <si>
    <t>UCC28950 600-W, Phase-Shifted, Full-Bridge</t>
  </si>
  <si>
    <t>0-30 V</t>
  </si>
  <si>
    <t>30-110 V</t>
  </si>
  <si>
    <t>UC3854/Boost VALUES</t>
  </si>
  <si>
    <r>
      <t>Maximum peak line current (I</t>
    </r>
    <r>
      <rPr>
        <sz val="8"/>
        <color theme="1"/>
        <rFont val="Calibri"/>
        <family val="2"/>
        <scheme val="minor"/>
      </rPr>
      <t>pk</t>
    </r>
    <r>
      <rPr>
        <sz val="11"/>
        <color theme="1"/>
        <rFont val="Calibri"/>
        <family val="2"/>
        <scheme val="minor"/>
      </rPr>
      <t xml:space="preserve">) A </t>
    </r>
  </si>
  <si>
    <t xml:space="preserve">Hypothetical duty ratio (D) </t>
  </si>
  <si>
    <r>
      <t>Sense Resistor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</rPr>
      <t>Ω</t>
    </r>
  </si>
  <si>
    <r>
      <t>Independent peak current resistor (R</t>
    </r>
    <r>
      <rPr>
        <sz val="8"/>
        <color theme="1"/>
        <rFont val="Calibri"/>
        <family val="2"/>
        <scheme val="minor"/>
      </rPr>
      <t>pk1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</rPr>
      <t>Ω</t>
    </r>
  </si>
  <si>
    <r>
      <t>Independent peak current resistor (R</t>
    </r>
    <r>
      <rPr>
        <sz val="8"/>
        <color theme="1"/>
        <rFont val="Calibri"/>
        <family val="2"/>
        <scheme val="minor"/>
      </rPr>
      <t>pk2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</rPr>
      <t>Ω</t>
    </r>
  </si>
  <si>
    <r>
      <t>Reference Voltage (V</t>
    </r>
    <r>
      <rPr>
        <sz val="8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>) V</t>
    </r>
  </si>
  <si>
    <r>
      <t>R</t>
    </r>
    <r>
      <rPr>
        <sz val="9"/>
        <color theme="1"/>
        <rFont val="Calibri"/>
        <family val="2"/>
        <scheme val="minor"/>
      </rPr>
      <t>ff</t>
    </r>
    <r>
      <rPr>
        <sz val="8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Ω</t>
    </r>
  </si>
  <si>
    <r>
      <t>R</t>
    </r>
    <r>
      <rPr>
        <sz val="9"/>
        <color theme="1"/>
        <rFont val="Calibri"/>
        <family val="2"/>
        <scheme val="minor"/>
      </rPr>
      <t>ff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</rPr>
      <t>Ω</t>
    </r>
  </si>
  <si>
    <r>
      <t>R</t>
    </r>
    <r>
      <rPr>
        <sz val="9"/>
        <color theme="1"/>
        <rFont val="Calibri"/>
        <family val="2"/>
        <scheme val="minor"/>
      </rPr>
      <t>ff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</rPr>
      <t>Ω</t>
    </r>
  </si>
  <si>
    <r>
      <t>R</t>
    </r>
    <r>
      <rPr>
        <sz val="8"/>
        <color theme="1"/>
        <rFont val="Calibri"/>
        <family val="2"/>
        <scheme val="minor"/>
      </rPr>
      <t>vac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</rPr>
      <t>Ω</t>
    </r>
  </si>
  <si>
    <r>
      <t>Maximum multiplier input current (I</t>
    </r>
    <r>
      <rPr>
        <sz val="8"/>
        <color theme="1"/>
        <rFont val="Calibri"/>
        <family val="2"/>
        <scheme val="minor"/>
      </rPr>
      <t>mult(max)</t>
    </r>
    <r>
      <rPr>
        <sz val="11"/>
        <color theme="1"/>
        <rFont val="Calibri"/>
        <family val="2"/>
        <scheme val="minor"/>
      </rPr>
      <t>) A</t>
    </r>
  </si>
  <si>
    <r>
      <t>Maximum peak Voltage (V</t>
    </r>
    <r>
      <rPr>
        <sz val="8"/>
        <color theme="1"/>
        <rFont val="Calibri"/>
        <family val="2"/>
        <scheme val="minor"/>
      </rPr>
      <t>pk(max)</t>
    </r>
    <r>
      <rPr>
        <sz val="11"/>
        <color theme="1"/>
        <rFont val="Calibri"/>
        <family val="2"/>
        <scheme val="minor"/>
      </rPr>
      <t>) V</t>
    </r>
  </si>
  <si>
    <r>
      <t>R</t>
    </r>
    <r>
      <rPr>
        <sz val="8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</rPr>
      <t>Ω</t>
    </r>
  </si>
  <si>
    <r>
      <t>I</t>
    </r>
    <r>
      <rPr>
        <sz val="8"/>
        <color theme="1"/>
        <rFont val="Calibri"/>
        <family val="2"/>
        <scheme val="minor"/>
      </rPr>
      <t>ac(min)</t>
    </r>
    <r>
      <rPr>
        <sz val="11"/>
        <color theme="1"/>
        <rFont val="Calibri"/>
        <family val="2"/>
        <scheme val="minor"/>
      </rPr>
      <t xml:space="preserve">  (A)</t>
    </r>
  </si>
  <si>
    <r>
      <t>R</t>
    </r>
    <r>
      <rPr>
        <sz val="8"/>
        <color theme="1"/>
        <rFont val="Calibri"/>
        <family val="2"/>
        <scheme val="minor"/>
      </rPr>
      <t>set</t>
    </r>
    <r>
      <rPr>
        <sz val="11"/>
        <color theme="1"/>
        <rFont val="Calibri"/>
        <family val="2"/>
        <scheme val="minor"/>
      </rPr>
      <t xml:space="preserve">  Ω</t>
    </r>
  </si>
  <si>
    <r>
      <t>R</t>
    </r>
    <r>
      <rPr>
        <sz val="8"/>
        <color theme="1"/>
        <rFont val="Calibri"/>
        <family val="2"/>
        <scheme val="minor"/>
      </rPr>
      <t>mo</t>
    </r>
    <r>
      <rPr>
        <sz val="11"/>
        <color theme="1"/>
        <rFont val="Calibri"/>
        <family val="2"/>
        <scheme val="minor"/>
      </rPr>
      <t xml:space="preserve">  Ω</t>
    </r>
  </si>
  <si>
    <r>
      <t>Sense Resistor Voltage (V</t>
    </r>
    <r>
      <rPr>
        <sz val="8"/>
        <color theme="1"/>
        <rFont val="Calibri"/>
        <family val="2"/>
        <scheme val="minor"/>
      </rPr>
      <t>rs</t>
    </r>
    <r>
      <rPr>
        <sz val="11"/>
        <color theme="1"/>
        <rFont val="Calibri"/>
        <family val="2"/>
        <scheme val="minor"/>
      </rPr>
      <t>) V</t>
    </r>
  </si>
  <si>
    <r>
      <t>C</t>
    </r>
    <r>
      <rPr>
        <sz val="8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F</t>
    </r>
  </si>
  <si>
    <t>Chosen inductor Value (L) H</t>
  </si>
  <si>
    <t>Inductor (L) H</t>
  </si>
  <si>
    <r>
      <t>Chosen output Capacitor Value (C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F</t>
    </r>
  </si>
  <si>
    <r>
      <t>Chosen sense resistor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</rPr>
      <t>Ω</t>
    </r>
  </si>
  <si>
    <r>
      <t>Sense Resistor Power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(W)</t>
    </r>
  </si>
  <si>
    <r>
      <t>Maximum Current Peak (I</t>
    </r>
    <r>
      <rPr>
        <sz val="8"/>
        <color theme="1"/>
        <rFont val="Calibri"/>
        <family val="2"/>
        <scheme val="minor"/>
      </rPr>
      <t>pk(max)</t>
    </r>
    <r>
      <rPr>
        <sz val="11"/>
        <color theme="1"/>
        <rFont val="Calibri"/>
        <family val="2"/>
        <scheme val="minor"/>
      </rPr>
      <t>) A</t>
    </r>
  </si>
  <si>
    <r>
      <t>Actual Peak sense resistor Voltage (V</t>
    </r>
    <r>
      <rPr>
        <sz val="8"/>
        <color theme="1"/>
        <rFont val="Calibri"/>
        <family val="2"/>
        <scheme val="minor"/>
      </rPr>
      <t>Rs(pk)</t>
    </r>
    <r>
      <rPr>
        <sz val="11"/>
        <color theme="1"/>
        <rFont val="Calibri"/>
        <family val="2"/>
        <scheme val="minor"/>
      </rPr>
      <t>) V</t>
    </r>
  </si>
  <si>
    <t>0</t>
  </si>
  <si>
    <t>5</t>
  </si>
  <si>
    <t>20000</t>
  </si>
  <si>
    <r>
      <t>Peak sense resistor overload Voltage (V</t>
    </r>
    <r>
      <rPr>
        <sz val="8"/>
        <color theme="1"/>
        <rFont val="Calibri"/>
        <family val="2"/>
        <scheme val="minor"/>
      </rPr>
      <t>Rs(ovld)</t>
    </r>
    <r>
      <rPr>
        <sz val="11"/>
        <color theme="1"/>
        <rFont val="Calibri"/>
        <family val="2"/>
        <scheme val="minor"/>
      </rPr>
      <t>) V</t>
    </r>
  </si>
  <si>
    <r>
      <t>Minimum average line Voltage (V</t>
    </r>
    <r>
      <rPr>
        <sz val="8"/>
        <color theme="1"/>
        <rFont val="Calibri"/>
        <family val="2"/>
        <scheme val="minor"/>
      </rPr>
      <t>in(ave)</t>
    </r>
    <r>
      <rPr>
        <sz val="11"/>
        <color theme="1"/>
        <rFont val="Calibri"/>
        <family val="2"/>
        <scheme val="minor"/>
      </rPr>
      <t>) V</t>
    </r>
  </si>
  <si>
    <r>
      <rPr>
        <sz val="11"/>
        <color theme="1"/>
        <rFont val="Calibri"/>
        <family val="2"/>
      </rPr>
      <t>ΔV</t>
    </r>
    <r>
      <rPr>
        <sz val="8"/>
        <color theme="1"/>
        <rFont val="Calibri"/>
        <family val="2"/>
      </rPr>
      <t>Rs</t>
    </r>
    <r>
      <rPr>
        <sz val="11"/>
        <color theme="1"/>
        <rFont val="Calibri"/>
        <family val="2"/>
      </rPr>
      <t xml:space="preserve">  V</t>
    </r>
  </si>
  <si>
    <r>
      <t>G</t>
    </r>
    <r>
      <rPr>
        <sz val="8"/>
        <color theme="1"/>
        <rFont val="Calibri"/>
        <family val="2"/>
      </rPr>
      <t>ca</t>
    </r>
  </si>
  <si>
    <r>
      <t>R</t>
    </r>
    <r>
      <rPr>
        <sz val="8"/>
        <color theme="1"/>
        <rFont val="Calibri"/>
        <family val="2"/>
      </rPr>
      <t>ci</t>
    </r>
    <r>
      <rPr>
        <sz val="11"/>
        <color theme="1"/>
        <rFont val="Calibri"/>
        <family val="2"/>
      </rPr>
      <t xml:space="preserve">  Ω</t>
    </r>
  </si>
  <si>
    <r>
      <t>R</t>
    </r>
    <r>
      <rPr>
        <sz val="8"/>
        <color theme="1"/>
        <rFont val="Calibri"/>
        <family val="2"/>
      </rPr>
      <t>cz</t>
    </r>
    <r>
      <rPr>
        <sz val="11"/>
        <color theme="1"/>
        <rFont val="Calibri"/>
        <family val="2"/>
      </rPr>
      <t xml:space="preserve">  Ω</t>
    </r>
  </si>
  <si>
    <r>
      <t>Current loop crossover frequency (f</t>
    </r>
    <r>
      <rPr>
        <sz val="8"/>
        <color theme="1"/>
        <rFont val="Calibri"/>
        <family val="2"/>
      </rPr>
      <t>ci</t>
    </r>
    <r>
      <rPr>
        <sz val="11"/>
        <color theme="1"/>
        <rFont val="Calibri"/>
        <family val="2"/>
      </rPr>
      <t>) Hz</t>
    </r>
  </si>
  <si>
    <r>
      <t>C</t>
    </r>
    <r>
      <rPr>
        <sz val="8"/>
        <color theme="1"/>
        <rFont val="Calibri"/>
        <family val="2"/>
      </rPr>
      <t>cz</t>
    </r>
    <r>
      <rPr>
        <sz val="11"/>
        <color theme="1"/>
        <rFont val="Calibri"/>
        <family val="2"/>
      </rPr>
      <t xml:space="preserve">  F</t>
    </r>
  </si>
  <si>
    <r>
      <t>C</t>
    </r>
    <r>
      <rPr>
        <sz val="8"/>
        <color theme="1"/>
        <rFont val="Calibri"/>
        <family val="2"/>
      </rPr>
      <t>cp</t>
    </r>
    <r>
      <rPr>
        <sz val="11"/>
        <color theme="1"/>
        <rFont val="Calibri"/>
        <family val="2"/>
      </rPr>
      <t xml:space="preserve">  F</t>
    </r>
  </si>
  <si>
    <t>Harmonic distortion budget (3rd harmonic)</t>
  </si>
  <si>
    <r>
      <t>Voltage Error Amplifier gain (G</t>
    </r>
    <r>
      <rPr>
        <sz val="8"/>
        <color theme="1"/>
        <rFont val="Calibri"/>
        <family val="2"/>
      </rPr>
      <t>va</t>
    </r>
    <r>
      <rPr>
        <sz val="11"/>
        <color theme="1"/>
        <rFont val="Calibri"/>
        <family val="2"/>
      </rPr>
      <t>)</t>
    </r>
  </si>
  <si>
    <r>
      <t>Output Voltage ripple (ΔV</t>
    </r>
    <r>
      <rPr>
        <sz val="8"/>
        <color theme="1"/>
        <rFont val="Calibri"/>
        <family val="2"/>
      </rPr>
      <t>opk-pk</t>
    </r>
    <r>
      <rPr>
        <sz val="11"/>
        <color theme="1"/>
        <rFont val="Calibri"/>
        <family val="2"/>
      </rPr>
      <t>) V</t>
    </r>
  </si>
  <si>
    <r>
      <t>R</t>
    </r>
    <r>
      <rPr>
        <sz val="8"/>
        <color theme="1"/>
        <rFont val="Calibri"/>
        <family val="2"/>
      </rPr>
      <t>vi</t>
    </r>
    <r>
      <rPr>
        <sz val="11"/>
        <color theme="1"/>
        <rFont val="Calibri"/>
        <family val="2"/>
      </rPr>
      <t xml:space="preserve">  Ω</t>
    </r>
  </si>
  <si>
    <r>
      <t>C</t>
    </r>
    <r>
      <rPr>
        <sz val="8"/>
        <color theme="1"/>
        <rFont val="Calibri"/>
        <family val="2"/>
      </rPr>
      <t>vf</t>
    </r>
    <r>
      <rPr>
        <sz val="11"/>
        <color theme="1"/>
        <rFont val="Calibri"/>
        <family val="2"/>
      </rPr>
      <t xml:space="preserve">  F</t>
    </r>
  </si>
  <si>
    <r>
      <t>R</t>
    </r>
    <r>
      <rPr>
        <sz val="8"/>
        <color theme="1"/>
        <rFont val="Calibri"/>
        <family val="2"/>
      </rPr>
      <t>vd</t>
    </r>
    <r>
      <rPr>
        <sz val="11"/>
        <color theme="1"/>
        <rFont val="Calibri"/>
        <family val="2"/>
      </rPr>
      <t xml:space="preserve">  Ω</t>
    </r>
  </si>
  <si>
    <r>
      <t>Pole frequency (f</t>
    </r>
    <r>
      <rPr>
        <sz val="8"/>
        <color theme="1"/>
        <rFont val="Calibri"/>
        <family val="2"/>
      </rPr>
      <t>vi</t>
    </r>
    <r>
      <rPr>
        <sz val="11"/>
        <color theme="1"/>
        <rFont val="Calibri"/>
        <family val="2"/>
      </rPr>
      <t>) Hz</t>
    </r>
  </si>
  <si>
    <r>
      <t>R</t>
    </r>
    <r>
      <rPr>
        <sz val="8"/>
        <color theme="1"/>
        <rFont val="Calibri"/>
        <family val="2"/>
      </rPr>
      <t>vf</t>
    </r>
    <r>
      <rPr>
        <sz val="11"/>
        <color theme="1"/>
        <rFont val="Calibri"/>
        <family val="2"/>
      </rPr>
      <t xml:space="preserve">  Ω</t>
    </r>
  </si>
  <si>
    <r>
      <t>G</t>
    </r>
    <r>
      <rPr>
        <sz val="8"/>
        <color theme="1"/>
        <rFont val="Calibri"/>
        <family val="2"/>
      </rPr>
      <t>ff</t>
    </r>
  </si>
  <si>
    <r>
      <t>Pole frequency (f</t>
    </r>
    <r>
      <rPr>
        <sz val="8"/>
        <color theme="1"/>
        <rFont val="Calibri"/>
        <family val="2"/>
      </rPr>
      <t>p</t>
    </r>
    <r>
      <rPr>
        <sz val="11"/>
        <color theme="1"/>
        <rFont val="Calibri"/>
        <family val="2"/>
      </rPr>
      <t>) Hz</t>
    </r>
  </si>
  <si>
    <r>
      <t>C</t>
    </r>
    <r>
      <rPr>
        <sz val="8"/>
        <color theme="1"/>
        <rFont val="Calibri"/>
        <family val="2"/>
      </rPr>
      <t>ff1</t>
    </r>
    <r>
      <rPr>
        <sz val="11"/>
        <color theme="1"/>
        <rFont val="Calibri"/>
        <family val="2"/>
      </rPr>
      <t xml:space="preserve">  F</t>
    </r>
  </si>
  <si>
    <r>
      <t>C</t>
    </r>
    <r>
      <rPr>
        <sz val="8"/>
        <color theme="1"/>
        <rFont val="Calibri"/>
        <family val="2"/>
      </rPr>
      <t>ff2</t>
    </r>
    <r>
      <rPr>
        <sz val="11"/>
        <color theme="1"/>
        <rFont val="Calibri"/>
        <family val="2"/>
      </rPr>
      <t xml:space="preserve">  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</si>
</sst>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0"/>
    <numFmt numFmtId="168" formatCode="0.00000"/>
    <numFmt numFmtId="170" formatCode="0.000000"/>
    <numFmt numFmtId="171" formatCode="0.00000000"/>
    <numFmt numFmtId="172" formatCode="0.0"/>
    <numFmt numFmtId="173" formatCode="0.000000000"/>
    <numFmt numFmtId="174" formatCode="0.0000000000"/>
    <numFmt numFmtId="177" formatCode="0.000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0" fillId="0" borderId="0" xfId="0" applyFont="1"/>
    <xf numFmtId="0" fontId="3" fillId="0" borderId="0" xfId="0" applyFont="1"/>
    <xf numFmtId="49" fontId="0" fillId="0" borderId="1" xfId="0" applyNumberFormat="1" applyBorder="1" applyAlignment="1">
      <alignment horizontal="center"/>
    </xf>
    <xf numFmtId="0" fontId="3" fillId="0" borderId="1" xfId="0" applyFont="1" applyBorder="1"/>
    <xf numFmtId="9" fontId="0" fillId="0" borderId="0" xfId="1" applyFont="1"/>
    <xf numFmtId="2" fontId="0" fillId="0" borderId="1" xfId="0" applyNumberFormat="1" applyBorder="1"/>
    <xf numFmtId="49" fontId="10" fillId="0" borderId="1" xfId="0" applyNumberFormat="1" applyFont="1" applyBorder="1" applyAlignment="1">
      <alignment horizontal="center"/>
    </xf>
    <xf numFmtId="49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/>
    <xf numFmtId="49" fontId="3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164" fontId="0" fillId="0" borderId="1" xfId="0" applyNumberFormat="1" applyBorder="1"/>
    <xf numFmtId="49" fontId="0" fillId="0" borderId="0" xfId="1" applyNumberFormat="1" applyFont="1" applyBorder="1" applyAlignment="1">
      <alignment horizontal="center"/>
    </xf>
    <xf numFmtId="2" fontId="0" fillId="0" borderId="0" xfId="1" applyNumberFormat="1" applyFont="1" applyBorder="1"/>
    <xf numFmtId="2" fontId="10" fillId="0" borderId="0" xfId="0" applyNumberFormat="1" applyFont="1"/>
    <xf numFmtId="0" fontId="0" fillId="0" borderId="1" xfId="0" applyBorder="1" applyAlignment="1">
      <alignment horizontal="center"/>
    </xf>
    <xf numFmtId="2" fontId="2" fillId="0" borderId="1" xfId="0" applyNumberFormat="1" applyFont="1" applyBorder="1"/>
    <xf numFmtId="165" fontId="2" fillId="0" borderId="1" xfId="0" applyNumberFormat="1" applyFont="1" applyBorder="1"/>
    <xf numFmtId="165" fontId="10" fillId="0" borderId="1" xfId="0" applyNumberFormat="1" applyFont="1" applyBorder="1"/>
    <xf numFmtId="9" fontId="0" fillId="0" borderId="0" xfId="1" applyFont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1" applyNumberFormat="1" applyFont="1"/>
    <xf numFmtId="0" fontId="3" fillId="0" borderId="0" xfId="1" applyNumberFormat="1" applyFont="1"/>
    <xf numFmtId="164" fontId="10" fillId="0" borderId="1" xfId="0" applyNumberFormat="1" applyFont="1" applyBorder="1"/>
    <xf numFmtId="2" fontId="10" fillId="0" borderId="1" xfId="0" applyNumberFormat="1" applyFont="1" applyBorder="1"/>
    <xf numFmtId="172" fontId="10" fillId="0" borderId="1" xfId="0" applyNumberFormat="1" applyFont="1" applyBorder="1"/>
    <xf numFmtId="1" fontId="10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72" fontId="0" fillId="0" borderId="1" xfId="0" applyNumberFormat="1" applyBorder="1"/>
    <xf numFmtId="171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77" fontId="0" fillId="0" borderId="1" xfId="0" applyNumberFormat="1" applyBorder="1"/>
    <xf numFmtId="9" fontId="0" fillId="0" borderId="1" xfId="1" applyFont="1" applyBorder="1"/>
    <xf numFmtId="0" fontId="3" fillId="0" borderId="1" xfId="1" applyNumberFormat="1" applyFont="1" applyBorder="1"/>
    <xf numFmtId="0" fontId="10" fillId="0" borderId="1" xfId="0" applyFont="1" applyBorder="1"/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0" fillId="0" borderId="1" xfId="0" applyNumberFormat="1" applyFont="1" applyBorder="1" applyAlignment="1"/>
    <xf numFmtId="49" fontId="10" fillId="0" borderId="1" xfId="0" applyNumberFormat="1" applyFont="1" applyBorder="1" applyAlignment="1">
      <alignment horizontal="right"/>
    </xf>
    <xf numFmtId="0" fontId="10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70" fontId="10" fillId="0" borderId="1" xfId="0" applyNumberFormat="1" applyFont="1" applyBorder="1" applyAlignment="1">
      <alignment horizontal="right"/>
    </xf>
    <xf numFmtId="168" fontId="10" fillId="0" borderId="1" xfId="0" applyNumberFormat="1" applyFont="1" applyBorder="1" applyAlignment="1">
      <alignment horizontal="right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10" fontId="0" fillId="0" borderId="1" xfId="0" applyNumberFormat="1" applyBorder="1"/>
    <xf numFmtId="10" fontId="10" fillId="0" borderId="1" xfId="0" applyNumberFormat="1" applyFont="1" applyBorder="1"/>
    <xf numFmtId="10" fontId="0" fillId="0" borderId="1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21" horiz="1" max="10000" page="10" val="1500"/>
</file>

<file path=xl/ctrlProps/ctrlProp10.xml><?xml version="1.0" encoding="utf-8"?>
<formControlPr xmlns="http://schemas.microsoft.com/office/spreadsheetml/2009/9/main" objectType="Scroll" dx="22" fmlaLink="$H$22" horiz="1" max="600" page="10" val="600"/>
</file>

<file path=xl/ctrlProps/ctrlProp11.xml><?xml version="1.0" encoding="utf-8"?>
<formControlPr xmlns="http://schemas.microsoft.com/office/spreadsheetml/2009/9/main" objectType="Scroll" dx="22" fmlaLink="$H$21" horiz="1" max="10000" page="10" val="1500"/>
</file>

<file path=xl/ctrlProps/ctrlProp12.xml><?xml version="1.0" encoding="utf-8"?>
<formControlPr xmlns="http://schemas.microsoft.com/office/spreadsheetml/2009/9/main" objectType="Scroll" dx="22" fmlaLink="$H$22" horiz="1" max="600" page="10" val="600"/>
</file>

<file path=xl/ctrlProps/ctrlProp13.xml><?xml version="1.0" encoding="utf-8"?>
<formControlPr xmlns="http://schemas.microsoft.com/office/spreadsheetml/2009/9/main" objectType="Scroll" dx="22" fmlaLink="$G$58" horiz="1" max="600" page="10" val="500"/>
</file>

<file path=xl/ctrlProps/ctrlProp14.xml><?xml version="1.0" encoding="utf-8"?>
<formControlPr xmlns="http://schemas.microsoft.com/office/spreadsheetml/2009/9/main" objectType="Scroll" dx="22" fmlaLink="$G$59" horiz="1" max="240" min="100" page="10" val="230"/>
</file>

<file path=xl/ctrlProps/ctrlProp15.xml><?xml version="1.0" encoding="utf-8"?>
<formControlPr xmlns="http://schemas.microsoft.com/office/spreadsheetml/2009/9/main" objectType="Scroll" dx="22" fmlaLink="$G$60" horiz="1" max="65" min="45" page="10" val="50"/>
</file>

<file path=xl/ctrlProps/ctrlProp16.xml><?xml version="1.0" encoding="utf-8"?>
<formControlPr xmlns="http://schemas.microsoft.com/office/spreadsheetml/2009/9/main" objectType="Scroll" dx="22" fmlaLink="$J$67" horiz="1" inc="10" max="4500" page="10" val="4300"/>
</file>

<file path=xl/ctrlProps/ctrlProp17.xml><?xml version="1.0" encoding="utf-8"?>
<formControlPr xmlns="http://schemas.microsoft.com/office/spreadsheetml/2009/9/main" objectType="Scroll" dx="22" fmlaLink="$G$61" horiz="1" max="400" min="350" page="10" val="400"/>
</file>

<file path=xl/ctrlProps/ctrlProp18.xml><?xml version="1.0" encoding="utf-8"?>
<formControlPr xmlns="http://schemas.microsoft.com/office/spreadsheetml/2009/9/main" objectType="Scroll" dx="22" fmlaLink="$J$69" horiz="1" inc="10" max="3700" min="590" page="10" val="1700"/>
</file>

<file path=xl/ctrlProps/ctrlProp19.xml><?xml version="1.0" encoding="utf-8"?>
<formControlPr xmlns="http://schemas.microsoft.com/office/spreadsheetml/2009/9/main" objectType="Scroll" dx="22" fmlaLink="$J$70" horiz="1" max="500" page="10" val="100"/>
</file>

<file path=xl/ctrlProps/ctrlProp2.xml><?xml version="1.0" encoding="utf-8"?>
<formControlPr xmlns="http://schemas.microsoft.com/office/spreadsheetml/2009/9/main" objectType="Scroll" dx="22" fmlaLink="$H$22" horiz="1" max="600" page="10" val="600"/>
</file>

<file path=xl/ctrlProps/ctrlProp20.xml><?xml version="1.0" encoding="utf-8"?>
<formControlPr xmlns="http://schemas.microsoft.com/office/spreadsheetml/2009/9/main" objectType="Scroll" dx="22" fmlaLink="$J$72" horiz="1" inc="10" max="500" page="10" val="250"/>
</file>

<file path=xl/ctrlProps/ctrlProp21.xml><?xml version="1.0" encoding="utf-8"?>
<formControlPr xmlns="http://schemas.microsoft.com/office/spreadsheetml/2009/9/main" objectType="Scroll" dx="22" fmlaLink="$J$78" horiz="1" inc="10" max="20000" page="10" val="10000"/>
</file>

<file path=xl/ctrlProps/ctrlProp22.xml><?xml version="1.0" encoding="utf-8"?>
<formControlPr xmlns="http://schemas.microsoft.com/office/spreadsheetml/2009/9/main" objectType="Scroll" dx="22" fmlaLink="$J$81" horiz="1" inc="10" max="1500" page="10" val="1000"/>
</file>

<file path=xl/ctrlProps/ctrlProp23.xml><?xml version="1.0" encoding="utf-8"?>
<formControlPr xmlns="http://schemas.microsoft.com/office/spreadsheetml/2009/9/main" objectType="Scroll" dx="22" fmlaLink="$J$99" horiz="1" max="50" page="10" val="10"/>
</file>

<file path=xl/ctrlProps/ctrlProp24.xml><?xml version="1.0" encoding="utf-8"?>
<formControlPr xmlns="http://schemas.microsoft.com/office/spreadsheetml/2009/9/main" objectType="Scroll" dx="22" fmlaLink="$J$62" horiz="1" max="15000" page="10" val="10000"/>
</file>

<file path=xl/ctrlProps/ctrlProp3.xml><?xml version="1.0" encoding="utf-8"?>
<formControlPr xmlns="http://schemas.microsoft.com/office/spreadsheetml/2009/9/main" objectType="Scroll" dx="22" fmlaLink="$G$6" horiz="1" max="240" min="100" page="10" val="230"/>
</file>

<file path=xl/ctrlProps/ctrlProp4.xml><?xml version="1.0" encoding="utf-8"?>
<formControlPr xmlns="http://schemas.microsoft.com/office/spreadsheetml/2009/9/main" objectType="Scroll" dx="22" fmlaLink="$G$7" horiz="1" max="65" min="45" page="10" val="50"/>
</file>

<file path=xl/ctrlProps/ctrlProp5.xml><?xml version="1.0" encoding="utf-8"?>
<formControlPr xmlns="http://schemas.microsoft.com/office/spreadsheetml/2009/9/main" objectType="Scroll" dx="22" fmlaLink="$H$48" horiz="1" max="10000" page="10" val="704"/>
</file>

<file path=xl/ctrlProps/ctrlProp6.xml><?xml version="1.0" encoding="utf-8"?>
<formControlPr xmlns="http://schemas.microsoft.com/office/spreadsheetml/2009/9/main" objectType="Scroll" dx="22" fmlaLink="$G$37" horiz="1" max="440" min="330" page="10" val="400"/>
</file>

<file path=xl/ctrlProps/ctrlProp7.xml><?xml version="1.0" encoding="utf-8"?>
<formControlPr xmlns="http://schemas.microsoft.com/office/spreadsheetml/2009/9/main" objectType="Scroll" dx="22" fmlaLink="$H$45" horiz="1" max="3300" page="10" val="1000"/>
</file>

<file path=xl/ctrlProps/ctrlProp8.xml><?xml version="1.0" encoding="utf-8"?>
<formControlPr xmlns="http://schemas.microsoft.com/office/spreadsheetml/2009/9/main" objectType="Scroll" dx="22" fmlaLink="$H$44" horiz="1" max="10000" page="10" val="2540"/>
</file>

<file path=xl/ctrlProps/ctrlProp9.xml><?xml version="1.0" encoding="utf-8"?>
<formControlPr xmlns="http://schemas.microsoft.com/office/spreadsheetml/2009/9/main" objectType="Scroll" dx="22" fmlaLink="$H$21" horiz="1" max="10000" page="10" val="15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9526</xdr:colOff>
          <xdr:row>20</xdr:row>
          <xdr:rowOff>9525</xdr:rowOff>
        </xdr:from>
        <xdr:to>
          <xdr:col>5</xdr:col>
          <xdr:colOff>581026</xdr:colOff>
          <xdr:row>20</xdr:row>
          <xdr:rowOff>171451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21</xdr:row>
          <xdr:rowOff>9525</xdr:rowOff>
        </xdr:from>
        <xdr:to>
          <xdr:col>5</xdr:col>
          <xdr:colOff>590550</xdr:colOff>
          <xdr:row>21</xdr:row>
          <xdr:rowOff>171450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</xdr:row>
          <xdr:rowOff>9525</xdr:rowOff>
        </xdr:from>
        <xdr:to>
          <xdr:col>5</xdr:col>
          <xdr:colOff>590550</xdr:colOff>
          <xdr:row>5</xdr:row>
          <xdr:rowOff>171450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</xdr:row>
          <xdr:rowOff>9525</xdr:rowOff>
        </xdr:from>
        <xdr:to>
          <xdr:col>5</xdr:col>
          <xdr:colOff>590550</xdr:colOff>
          <xdr:row>6</xdr:row>
          <xdr:rowOff>171450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9526</xdr:colOff>
          <xdr:row>47</xdr:row>
          <xdr:rowOff>9525</xdr:rowOff>
        </xdr:from>
        <xdr:ext cx="571500" cy="161926"/>
        <xdr:sp macro="" textlink="">
          <xdr:nvSpPr>
            <xdr:cNvPr id="2527" name="Scroll Bar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19050</xdr:rowOff>
        </xdr:from>
        <xdr:to>
          <xdr:col>5</xdr:col>
          <xdr:colOff>600075</xdr:colOff>
          <xdr:row>36</xdr:row>
          <xdr:rowOff>180975</xdr:rowOff>
        </xdr:to>
        <xdr:sp macro="" textlink="">
          <xdr:nvSpPr>
            <xdr:cNvPr id="3395" name="Scroll Bar 2371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44</xdr:row>
          <xdr:rowOff>9525</xdr:rowOff>
        </xdr:from>
        <xdr:to>
          <xdr:col>5</xdr:col>
          <xdr:colOff>590550</xdr:colOff>
          <xdr:row>44</xdr:row>
          <xdr:rowOff>171450</xdr:rowOff>
        </xdr:to>
        <xdr:sp macro="" textlink="">
          <xdr:nvSpPr>
            <xdr:cNvPr id="3930" name="Scroll Bar 2906" hidden="1">
              <a:extLst>
                <a:ext uri="{63B3BB69-23CF-44E3-9099-C40C66FF867C}">
                  <a14:compatExt spid="_x0000_s3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9525</xdr:rowOff>
        </xdr:from>
        <xdr:to>
          <xdr:col>5</xdr:col>
          <xdr:colOff>590550</xdr:colOff>
          <xdr:row>43</xdr:row>
          <xdr:rowOff>171450</xdr:rowOff>
        </xdr:to>
        <xdr:sp macro="" textlink="">
          <xdr:nvSpPr>
            <xdr:cNvPr id="5329" name="Scroll Bar 4305" hidden="1">
              <a:extLst>
                <a:ext uri="{63B3BB69-23CF-44E3-9099-C40C66FF867C}">
                  <a14:compatExt spid="_x0000_s5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9526</xdr:colOff>
          <xdr:row>119</xdr:row>
          <xdr:rowOff>9525</xdr:rowOff>
        </xdr:from>
        <xdr:ext cx="571500" cy="161926"/>
        <xdr:sp macro="" textlink="">
          <xdr:nvSpPr>
            <xdr:cNvPr id="8008" name="Scroll Bar 6984" hidden="1">
              <a:extLst>
                <a:ext uri="{63B3BB69-23CF-44E3-9099-C40C66FF867C}">
                  <a14:compatExt spid="_x0000_s8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9525</xdr:colOff>
          <xdr:row>120</xdr:row>
          <xdr:rowOff>9525</xdr:rowOff>
        </xdr:from>
        <xdr:ext cx="581025" cy="161925"/>
        <xdr:sp macro="" textlink="">
          <xdr:nvSpPr>
            <xdr:cNvPr id="8009" name="Scroll Bar 6985" hidden="1">
              <a:extLst>
                <a:ext uri="{63B3BB69-23CF-44E3-9099-C40C66FF867C}">
                  <a14:compatExt spid="_x0000_s8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9526</xdr:colOff>
          <xdr:row>119</xdr:row>
          <xdr:rowOff>9525</xdr:rowOff>
        </xdr:from>
        <xdr:ext cx="571500" cy="161926"/>
        <xdr:sp macro="" textlink="">
          <xdr:nvSpPr>
            <xdr:cNvPr id="8012" name="Scroll Bar 6988" hidden="1">
              <a:extLst>
                <a:ext uri="{63B3BB69-23CF-44E3-9099-C40C66FF867C}">
                  <a14:compatExt spid="_x0000_s8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9525</xdr:colOff>
          <xdr:row>120</xdr:row>
          <xdr:rowOff>9525</xdr:rowOff>
        </xdr:from>
        <xdr:ext cx="581025" cy="161925"/>
        <xdr:sp macro="" textlink="">
          <xdr:nvSpPr>
            <xdr:cNvPr id="8013" name="Scroll Bar 6989" hidden="1">
              <a:extLst>
                <a:ext uri="{63B3BB69-23CF-44E3-9099-C40C66FF867C}">
                  <a14:compatExt spid="_x0000_s8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9526</xdr:colOff>
          <xdr:row>57</xdr:row>
          <xdr:rowOff>9526</xdr:rowOff>
        </xdr:from>
        <xdr:to>
          <xdr:col>8</xdr:col>
          <xdr:colOff>581026</xdr:colOff>
          <xdr:row>57</xdr:row>
          <xdr:rowOff>180976</xdr:rowOff>
        </xdr:to>
        <xdr:sp macro="" textlink="">
          <xdr:nvSpPr>
            <xdr:cNvPr id="10047" name="Scroll Bar 7999" hidden="1">
              <a:extLst>
                <a:ext uri="{63B3BB69-23CF-44E3-9099-C40C66FF867C}">
                  <a14:compatExt spid="_x0000_s10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58</xdr:row>
          <xdr:rowOff>9525</xdr:rowOff>
        </xdr:from>
        <xdr:to>
          <xdr:col>8</xdr:col>
          <xdr:colOff>600075</xdr:colOff>
          <xdr:row>58</xdr:row>
          <xdr:rowOff>171450</xdr:rowOff>
        </xdr:to>
        <xdr:sp macro="" textlink="">
          <xdr:nvSpPr>
            <xdr:cNvPr id="10166" name="Scroll Bar 8118" hidden="1">
              <a:extLst>
                <a:ext uri="{63B3BB69-23CF-44E3-9099-C40C66FF867C}">
                  <a14:compatExt spid="_x0000_s10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59</xdr:row>
          <xdr:rowOff>9525</xdr:rowOff>
        </xdr:from>
        <xdr:to>
          <xdr:col>8</xdr:col>
          <xdr:colOff>590550</xdr:colOff>
          <xdr:row>59</xdr:row>
          <xdr:rowOff>171450</xdr:rowOff>
        </xdr:to>
        <xdr:sp macro="" textlink="">
          <xdr:nvSpPr>
            <xdr:cNvPr id="10169" name="Scroll Bar 8121" hidden="1">
              <a:extLst>
                <a:ext uri="{63B3BB69-23CF-44E3-9099-C40C66FF867C}">
                  <a14:compatExt spid="_x0000_s10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66</xdr:row>
          <xdr:rowOff>19050</xdr:rowOff>
        </xdr:from>
        <xdr:to>
          <xdr:col>8</xdr:col>
          <xdr:colOff>590550</xdr:colOff>
          <xdr:row>66</xdr:row>
          <xdr:rowOff>180975</xdr:rowOff>
        </xdr:to>
        <xdr:sp macro="" textlink="">
          <xdr:nvSpPr>
            <xdr:cNvPr id="10209" name="Scroll Bar 8161" hidden="1">
              <a:extLst>
                <a:ext uri="{63B3BB69-23CF-44E3-9099-C40C66FF867C}">
                  <a14:compatExt spid="_x0000_s10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60</xdr:row>
          <xdr:rowOff>19050</xdr:rowOff>
        </xdr:from>
        <xdr:to>
          <xdr:col>8</xdr:col>
          <xdr:colOff>590550</xdr:colOff>
          <xdr:row>60</xdr:row>
          <xdr:rowOff>180975</xdr:rowOff>
        </xdr:to>
        <xdr:sp macro="" textlink="">
          <xdr:nvSpPr>
            <xdr:cNvPr id="10412" name="Scroll Bar 8364" hidden="1">
              <a:extLst>
                <a:ext uri="{63B3BB69-23CF-44E3-9099-C40C66FF867C}">
                  <a14:compatExt spid="_x0000_s10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68</xdr:row>
          <xdr:rowOff>9525</xdr:rowOff>
        </xdr:from>
        <xdr:to>
          <xdr:col>8</xdr:col>
          <xdr:colOff>590550</xdr:colOff>
          <xdr:row>68</xdr:row>
          <xdr:rowOff>171450</xdr:rowOff>
        </xdr:to>
        <xdr:sp macro="" textlink="">
          <xdr:nvSpPr>
            <xdr:cNvPr id="10465" name="Scroll Bar 8417" hidden="1">
              <a:extLst>
                <a:ext uri="{63B3BB69-23CF-44E3-9099-C40C66FF867C}">
                  <a14:compatExt spid="_x0000_s10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69</xdr:row>
          <xdr:rowOff>9525</xdr:rowOff>
        </xdr:from>
        <xdr:to>
          <xdr:col>8</xdr:col>
          <xdr:colOff>590550</xdr:colOff>
          <xdr:row>69</xdr:row>
          <xdr:rowOff>171450</xdr:rowOff>
        </xdr:to>
        <xdr:sp macro="" textlink="">
          <xdr:nvSpPr>
            <xdr:cNvPr id="10532" name="Scroll Bar 8484" hidden="1">
              <a:extLst>
                <a:ext uri="{63B3BB69-23CF-44E3-9099-C40C66FF867C}">
                  <a14:compatExt spid="_x0000_s10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71</xdr:row>
          <xdr:rowOff>19050</xdr:rowOff>
        </xdr:from>
        <xdr:to>
          <xdr:col>8</xdr:col>
          <xdr:colOff>581025</xdr:colOff>
          <xdr:row>71</xdr:row>
          <xdr:rowOff>180975</xdr:rowOff>
        </xdr:to>
        <xdr:sp macro="" textlink="">
          <xdr:nvSpPr>
            <xdr:cNvPr id="10747" name="Scroll Bar 8699" hidden="1">
              <a:extLst>
                <a:ext uri="{63B3BB69-23CF-44E3-9099-C40C66FF867C}">
                  <a14:compatExt spid="_x0000_s10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77</xdr:row>
          <xdr:rowOff>9525</xdr:rowOff>
        </xdr:from>
        <xdr:to>
          <xdr:col>8</xdr:col>
          <xdr:colOff>590550</xdr:colOff>
          <xdr:row>77</xdr:row>
          <xdr:rowOff>171450</xdr:rowOff>
        </xdr:to>
        <xdr:sp macro="" textlink="">
          <xdr:nvSpPr>
            <xdr:cNvPr id="10985" name="Scroll Bar 8937" hidden="1">
              <a:extLst>
                <a:ext uri="{63B3BB69-23CF-44E3-9099-C40C66FF867C}">
                  <a14:compatExt spid="_x0000_s10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80</xdr:row>
          <xdr:rowOff>19050</xdr:rowOff>
        </xdr:from>
        <xdr:to>
          <xdr:col>8</xdr:col>
          <xdr:colOff>581025</xdr:colOff>
          <xdr:row>80</xdr:row>
          <xdr:rowOff>180975</xdr:rowOff>
        </xdr:to>
        <xdr:sp macro="" textlink="">
          <xdr:nvSpPr>
            <xdr:cNvPr id="11188" name="Scroll Bar 9140" hidden="1">
              <a:extLst>
                <a:ext uri="{63B3BB69-23CF-44E3-9099-C40C66FF867C}">
                  <a14:compatExt spid="_x0000_s1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98</xdr:row>
          <xdr:rowOff>9525</xdr:rowOff>
        </xdr:from>
        <xdr:to>
          <xdr:col>8</xdr:col>
          <xdr:colOff>590550</xdr:colOff>
          <xdr:row>98</xdr:row>
          <xdr:rowOff>171450</xdr:rowOff>
        </xdr:to>
        <xdr:sp macro="" textlink="">
          <xdr:nvSpPr>
            <xdr:cNvPr id="11260" name="Scroll Bar 9212" hidden="1">
              <a:extLst>
                <a:ext uri="{63B3BB69-23CF-44E3-9099-C40C66FF867C}">
                  <a14:compatExt spid="_x0000_s1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61</xdr:row>
          <xdr:rowOff>19050</xdr:rowOff>
        </xdr:from>
        <xdr:to>
          <xdr:col>8</xdr:col>
          <xdr:colOff>590550</xdr:colOff>
          <xdr:row>61</xdr:row>
          <xdr:rowOff>180975</xdr:rowOff>
        </xdr:to>
        <xdr:sp macro="" textlink="">
          <xdr:nvSpPr>
            <xdr:cNvPr id="11312" name="Scroll Bar 9264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8"/>
  <sheetViews>
    <sheetView tabSelected="1" topLeftCell="A65" zoomScaleNormal="100" workbookViewId="0">
      <selection activeCell="L91" sqref="L91"/>
    </sheetView>
  </sheetViews>
  <sheetFormatPr defaultRowHeight="15" x14ac:dyDescent="0.25"/>
  <cols>
    <col min="5" max="5" width="10.42578125" customWidth="1"/>
    <col min="7" max="7" width="16.7109375" bestFit="1" customWidth="1"/>
    <col min="8" max="8" width="9.42578125" customWidth="1"/>
    <col min="11" max="12" width="9.28515625" bestFit="1" customWidth="1"/>
    <col min="14" max="14" width="11.7109375" bestFit="1" customWidth="1"/>
    <col min="15" max="15" width="10.28515625" customWidth="1"/>
    <col min="16" max="16" width="12.7109375" bestFit="1" customWidth="1"/>
  </cols>
  <sheetData>
    <row r="1" spans="1:22" ht="18.75" x14ac:dyDescent="0.3">
      <c r="A1" s="33" t="s">
        <v>8</v>
      </c>
      <c r="B1" s="33"/>
      <c r="C1" s="3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8.75" x14ac:dyDescent="0.3">
      <c r="A2" s="1"/>
      <c r="B2" s="1"/>
      <c r="C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8.75" x14ac:dyDescent="0.3">
      <c r="A3" s="33" t="s">
        <v>7</v>
      </c>
      <c r="B3" s="33"/>
      <c r="C3" s="3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J4" s="5"/>
      <c r="K4" s="5"/>
      <c r="L4" s="5"/>
      <c r="M4" s="5" t="s">
        <v>14</v>
      </c>
      <c r="N4" s="5">
        <f>(4*G19*G21*3)+4*G19*G21</f>
        <v>1.2</v>
      </c>
      <c r="O4" s="5" t="s">
        <v>18</v>
      </c>
      <c r="P4" s="19">
        <v>304.56126242654</v>
      </c>
      <c r="Q4" s="5"/>
      <c r="R4" s="5"/>
      <c r="S4" s="5"/>
      <c r="T4" s="5"/>
      <c r="U4" s="5"/>
      <c r="V4" s="5"/>
    </row>
    <row r="5" spans="1:22" x14ac:dyDescent="0.25">
      <c r="A5" s="32" t="s">
        <v>0</v>
      </c>
      <c r="B5" s="32"/>
      <c r="C5" s="32"/>
      <c r="D5" s="32"/>
      <c r="E5" s="32"/>
      <c r="F5" s="2" t="s">
        <v>1</v>
      </c>
      <c r="G5" s="2" t="s">
        <v>2</v>
      </c>
      <c r="H5" s="2" t="s">
        <v>3</v>
      </c>
      <c r="J5" s="5"/>
      <c r="K5" s="5"/>
      <c r="L5" s="5"/>
      <c r="M5" s="5" t="s">
        <v>15</v>
      </c>
      <c r="N5" s="5">
        <f>(-2*SQRT(2)*G18*4*G19*G21)-(SQRT(2)*G18*4*G19*G21*3)-(SQRT(2)*G18*4*G19*G21)</f>
        <v>-560.02872343481044</v>
      </c>
      <c r="O5" s="5" t="s">
        <v>19</v>
      </c>
      <c r="P5" s="5">
        <v>0</v>
      </c>
      <c r="Q5" s="6"/>
      <c r="R5" s="5"/>
      <c r="S5" s="5"/>
      <c r="T5" s="5"/>
      <c r="U5" s="5"/>
      <c r="V5" s="5"/>
    </row>
    <row r="6" spans="1:22" x14ac:dyDescent="0.25">
      <c r="A6" s="27" t="s">
        <v>9</v>
      </c>
      <c r="B6" s="27"/>
      <c r="C6" s="27"/>
      <c r="D6" s="27"/>
      <c r="E6" s="27"/>
      <c r="F6" s="3">
        <v>100</v>
      </c>
      <c r="G6" s="3">
        <v>230</v>
      </c>
      <c r="H6" s="3">
        <v>240</v>
      </c>
      <c r="J6" s="5"/>
      <c r="K6" s="5"/>
      <c r="L6" s="5"/>
      <c r="M6" s="5" t="s">
        <v>16</v>
      </c>
      <c r="N6" s="5">
        <f>((SQRT(2)*G18)^2 *4*G19*G21)+(G22*3)+(2*(SQRT(2)*G18)^2 *4*G19*G21)</f>
        <v>88920.047520006512</v>
      </c>
      <c r="O6" s="5" t="s">
        <v>20</v>
      </c>
      <c r="P6" s="5">
        <f>P5</f>
        <v>0</v>
      </c>
      <c r="Q6" s="5"/>
      <c r="R6" s="5"/>
      <c r="S6" s="5"/>
      <c r="T6" s="5"/>
      <c r="U6" s="5"/>
      <c r="V6" s="5"/>
    </row>
    <row r="7" spans="1:22" x14ac:dyDescent="0.25">
      <c r="A7" s="27" t="s">
        <v>31</v>
      </c>
      <c r="B7" s="27"/>
      <c r="C7" s="27"/>
      <c r="D7" s="27"/>
      <c r="E7" s="27"/>
      <c r="F7" s="3">
        <v>45</v>
      </c>
      <c r="G7" s="3">
        <v>50</v>
      </c>
      <c r="H7" s="3">
        <v>65</v>
      </c>
      <c r="J7" s="5"/>
      <c r="K7" s="5"/>
      <c r="L7" s="5"/>
      <c r="M7" s="5" t="s">
        <v>17</v>
      </c>
      <c r="N7" s="5">
        <f>(-(SQRT(2)*G18)^3)*(4*G19*G21)</f>
        <v>-9035134.9996683821</v>
      </c>
      <c r="O7" s="5" t="s">
        <v>21</v>
      </c>
      <c r="P7" s="5">
        <f>N4*(P4)^3 +N5*(P4)^2 +N6*(P4) +N7</f>
        <v>-2.9429793357849121E-7</v>
      </c>
      <c r="Q7" s="5"/>
      <c r="R7" s="5"/>
      <c r="S7" s="5"/>
      <c r="T7" s="5"/>
      <c r="U7" s="5"/>
      <c r="V7" s="5"/>
    </row>
    <row r="8" spans="1:22" x14ac:dyDescent="0.25">
      <c r="J8" s="5"/>
      <c r="K8" s="6"/>
      <c r="L8" s="5"/>
      <c r="M8" s="5"/>
      <c r="N8" s="5"/>
      <c r="O8" s="5" t="s">
        <v>22</v>
      </c>
      <c r="P8" s="5">
        <f>(P7-P6)^2</f>
        <v>8.6611273708570025E-14</v>
      </c>
      <c r="Q8" s="5"/>
      <c r="R8" s="5"/>
      <c r="S8" s="5"/>
      <c r="T8" s="5"/>
      <c r="U8" s="5"/>
      <c r="V8" s="5"/>
    </row>
    <row r="9" spans="1:22" ht="18.75" x14ac:dyDescent="0.3">
      <c r="A9" s="33" t="s">
        <v>45</v>
      </c>
      <c r="B9" s="33"/>
      <c r="C9" s="33"/>
      <c r="J9" s="5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5">
      <c r="J10" s="5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A11" s="32" t="s">
        <v>0</v>
      </c>
      <c r="B11" s="32"/>
      <c r="C11" s="32"/>
      <c r="D11" s="32"/>
      <c r="E11" s="32"/>
      <c r="F11" s="2" t="s">
        <v>1</v>
      </c>
      <c r="G11" s="2" t="s">
        <v>2</v>
      </c>
      <c r="H11" s="2" t="s">
        <v>3</v>
      </c>
      <c r="J11" s="5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25">
      <c r="A12" s="27" t="s">
        <v>9</v>
      </c>
      <c r="B12" s="27"/>
      <c r="C12" s="27"/>
      <c r="D12" s="27"/>
      <c r="E12" s="27"/>
      <c r="F12" s="3">
        <v>100</v>
      </c>
      <c r="G12" s="3">
        <f>G6</f>
        <v>230</v>
      </c>
      <c r="H12" s="3">
        <v>240</v>
      </c>
      <c r="J12" s="5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A13" s="27" t="s">
        <v>46</v>
      </c>
      <c r="B13" s="27"/>
      <c r="C13" s="27"/>
      <c r="D13" s="27"/>
      <c r="E13" s="27"/>
      <c r="F13" s="3">
        <v>96</v>
      </c>
      <c r="G13" s="26">
        <f>G6-(4.3478*G6/100)</f>
        <v>220.00005999999999</v>
      </c>
      <c r="H13" s="3">
        <v>230</v>
      </c>
      <c r="J13" s="5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25">
      <c r="J14" s="5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8.75" x14ac:dyDescent="0.3">
      <c r="A15" s="33" t="s">
        <v>10</v>
      </c>
      <c r="B15" s="33"/>
      <c r="C15" s="33"/>
      <c r="J15" s="5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5">
      <c r="J16" s="5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5">
      <c r="A17" s="32" t="s">
        <v>0</v>
      </c>
      <c r="B17" s="32"/>
      <c r="C17" s="32"/>
      <c r="D17" s="32"/>
      <c r="E17" s="32"/>
      <c r="F17" s="2" t="s">
        <v>1</v>
      </c>
      <c r="G17" s="2" t="s">
        <v>2</v>
      </c>
      <c r="H17" s="2" t="s">
        <v>3</v>
      </c>
      <c r="J17" s="5"/>
      <c r="K17" s="6">
        <v>1</v>
      </c>
      <c r="L17" s="5">
        <f ca="1">(SQRT(2)*G18)/(1+(1/(4*G19*G21*((L17^2+((SQRT(2)*G18)-L17)^2)/3)/G22)))</f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25">
      <c r="A18" s="27" t="s">
        <v>9</v>
      </c>
      <c r="B18" s="27"/>
      <c r="C18" s="27"/>
      <c r="D18" s="27"/>
      <c r="E18" s="27"/>
      <c r="F18" s="3">
        <f>F13</f>
        <v>96</v>
      </c>
      <c r="G18" s="26">
        <f>G13</f>
        <v>220.00005999999999</v>
      </c>
      <c r="H18" s="3">
        <f>H13</f>
        <v>230</v>
      </c>
      <c r="J18" s="5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25">
      <c r="A19" s="27" t="s">
        <v>31</v>
      </c>
      <c r="B19" s="27"/>
      <c r="C19" s="27"/>
      <c r="D19" s="27"/>
      <c r="E19" s="27"/>
      <c r="F19" s="3">
        <f>F7</f>
        <v>45</v>
      </c>
      <c r="G19" s="3">
        <f>G7</f>
        <v>50</v>
      </c>
      <c r="H19" s="3">
        <f>H7</f>
        <v>65</v>
      </c>
      <c r="J19" s="5"/>
      <c r="K19" s="6"/>
      <c r="L19" s="5"/>
      <c r="M19" s="5" t="s">
        <v>14</v>
      </c>
      <c r="N19" s="5">
        <f>G37+G40+(G39*G41)</f>
        <v>401.70500000000004</v>
      </c>
      <c r="O19" s="5" t="s">
        <v>18</v>
      </c>
      <c r="P19" s="5">
        <v>0.25387955160416387</v>
      </c>
      <c r="Q19" s="5"/>
      <c r="R19" s="5"/>
      <c r="S19" s="5"/>
      <c r="T19" s="5"/>
      <c r="U19" s="5"/>
      <c r="V19" s="5"/>
    </row>
    <row r="20" spans="1:22" x14ac:dyDescent="0.25">
      <c r="A20" s="27" t="s">
        <v>11</v>
      </c>
      <c r="B20" s="27"/>
      <c r="C20" s="27"/>
      <c r="D20" s="27"/>
      <c r="E20" s="27"/>
      <c r="F20" s="7" t="s">
        <v>12</v>
      </c>
      <c r="G20" s="3">
        <v>1.6</v>
      </c>
      <c r="H20" s="7" t="s">
        <v>12</v>
      </c>
      <c r="J20" s="5"/>
      <c r="K20" s="6"/>
      <c r="L20" s="5"/>
      <c r="M20" s="5" t="s">
        <v>15</v>
      </c>
      <c r="N20" s="5">
        <f>G35-(2*G37)</f>
        <v>-503.56705092207136</v>
      </c>
      <c r="O20" s="5" t="s">
        <v>19</v>
      </c>
      <c r="P20" s="5">
        <v>0</v>
      </c>
      <c r="Q20" s="5"/>
      <c r="R20" s="5"/>
      <c r="S20" s="5"/>
      <c r="T20" s="5"/>
      <c r="U20" s="5"/>
      <c r="V20" s="5"/>
    </row>
    <row r="21" spans="1:22" x14ac:dyDescent="0.25">
      <c r="A21" s="27" t="s">
        <v>13</v>
      </c>
      <c r="B21" s="27"/>
      <c r="C21" s="27"/>
      <c r="D21" s="27"/>
      <c r="E21" s="27"/>
      <c r="F21" s="7"/>
      <c r="G21" s="3">
        <f>H21/1000000</f>
        <v>1.5E-3</v>
      </c>
      <c r="H21" s="8">
        <v>1500</v>
      </c>
      <c r="J21" s="5"/>
      <c r="K21" s="6"/>
      <c r="L21" s="5"/>
      <c r="M21" s="5" t="s">
        <v>16</v>
      </c>
      <c r="N21" s="19">
        <f>G37-G35-(G39*G42)-G40</f>
        <v>101.95355092207137</v>
      </c>
      <c r="O21" s="5" t="s">
        <v>20</v>
      </c>
      <c r="P21" s="5">
        <f>P20</f>
        <v>0</v>
      </c>
      <c r="Q21" s="5"/>
      <c r="R21" s="5"/>
      <c r="S21" s="5"/>
      <c r="T21" s="5"/>
      <c r="U21" s="5"/>
      <c r="V21" s="5"/>
    </row>
    <row r="22" spans="1:22" x14ac:dyDescent="0.25">
      <c r="A22" s="27" t="s">
        <v>5</v>
      </c>
      <c r="B22" s="27"/>
      <c r="C22" s="27"/>
      <c r="D22" s="27"/>
      <c r="E22" s="27"/>
      <c r="F22" s="3"/>
      <c r="G22" s="3">
        <f>H22</f>
        <v>600</v>
      </c>
      <c r="H22" s="8">
        <v>600</v>
      </c>
      <c r="J22" s="5"/>
      <c r="K22" s="6"/>
      <c r="L22" s="5"/>
      <c r="M22" s="5"/>
      <c r="N22" s="5"/>
      <c r="O22" s="5" t="s">
        <v>39</v>
      </c>
      <c r="P22" s="5">
        <f>N19*(P19^2) +(N20*P19)+ N21</f>
        <v>-4.8316906031686813E-13</v>
      </c>
      <c r="Q22" s="5"/>
      <c r="R22" s="5"/>
      <c r="S22" s="5"/>
      <c r="T22" s="5"/>
      <c r="U22" s="5"/>
      <c r="V22" s="5"/>
    </row>
    <row r="23" spans="1:22" x14ac:dyDescent="0.25">
      <c r="A23" s="29" t="s">
        <v>23</v>
      </c>
      <c r="B23" s="30"/>
      <c r="C23" s="30"/>
      <c r="D23" s="30"/>
      <c r="E23" s="31"/>
      <c r="F23" s="7" t="s">
        <v>12</v>
      </c>
      <c r="G23" s="10">
        <f>2*P4</f>
        <v>609.12252485307999</v>
      </c>
      <c r="H23" s="11" t="s">
        <v>12</v>
      </c>
      <c r="J23" s="5"/>
      <c r="K23" s="6"/>
      <c r="L23" s="5"/>
      <c r="M23" s="5"/>
      <c r="N23" s="5"/>
      <c r="O23" s="5" t="s">
        <v>22</v>
      </c>
      <c r="P23" s="5">
        <f>(P22-P21)^2</f>
        <v>2.3345234084748535E-25</v>
      </c>
      <c r="Q23" s="5"/>
      <c r="R23" s="5"/>
      <c r="S23" s="5"/>
      <c r="T23" s="5"/>
      <c r="U23" s="5"/>
      <c r="V23" s="5"/>
    </row>
    <row r="24" spans="1:22" x14ac:dyDescent="0.25">
      <c r="A24" s="29" t="s">
        <v>24</v>
      </c>
      <c r="B24" s="30"/>
      <c r="C24" s="30"/>
      <c r="D24" s="30"/>
      <c r="E24" s="31"/>
      <c r="F24" s="7" t="s">
        <v>12</v>
      </c>
      <c r="G24" s="10">
        <f>2*((2*SQRT(2)*G18)-G23)</f>
        <v>26.263224593418727</v>
      </c>
      <c r="H24" s="11" t="s">
        <v>12</v>
      </c>
      <c r="J24" s="5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5">
      <c r="A25" s="29" t="s">
        <v>27</v>
      </c>
      <c r="B25" s="30"/>
      <c r="C25" s="30"/>
      <c r="D25" s="30"/>
      <c r="E25" s="31"/>
      <c r="F25" s="7" t="s">
        <v>12</v>
      </c>
      <c r="G25" s="10">
        <f>SQRT((G23-(G24/2))^2 +(G24/(2*SQRT(3)))^2)</f>
        <v>596.03913260535649</v>
      </c>
      <c r="H25" s="11" t="s">
        <v>12</v>
      </c>
      <c r="J25" s="5"/>
      <c r="K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25">
      <c r="A26" s="27" t="s">
        <v>28</v>
      </c>
      <c r="B26" s="27"/>
      <c r="C26" s="27"/>
      <c r="D26" s="27"/>
      <c r="E26" s="27"/>
      <c r="F26" s="7"/>
      <c r="G26" s="21">
        <f>P4</f>
        <v>304.56126242654</v>
      </c>
      <c r="H26" s="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25">
      <c r="A27" s="27" t="s">
        <v>26</v>
      </c>
      <c r="B27" s="27"/>
      <c r="C27" s="27"/>
      <c r="D27" s="27"/>
      <c r="E27" s="27"/>
      <c r="F27" s="7" t="s">
        <v>12</v>
      </c>
      <c r="G27" s="10">
        <f>P4-(G20)</f>
        <v>302.96126242653997</v>
      </c>
      <c r="H27" s="11" t="s">
        <v>12</v>
      </c>
      <c r="J27" s="5"/>
      <c r="K27" s="5"/>
      <c r="L27" s="6"/>
      <c r="M27" s="6"/>
      <c r="N27" s="6"/>
      <c r="O27" s="6"/>
      <c r="P27" s="5"/>
      <c r="Q27" s="5"/>
      <c r="R27" s="5"/>
      <c r="S27" s="5"/>
      <c r="T27" s="5"/>
      <c r="U27" s="5"/>
      <c r="V27" s="5"/>
    </row>
    <row r="28" spans="1:22" s="9" customFormat="1" x14ac:dyDescent="0.25">
      <c r="A28" s="27" t="s">
        <v>4</v>
      </c>
      <c r="B28" s="27"/>
      <c r="C28" s="27"/>
      <c r="D28" s="27"/>
      <c r="E28" s="27"/>
      <c r="F28" s="12" t="s">
        <v>12</v>
      </c>
      <c r="G28" s="13">
        <f>2*((SQRT(2)*G18)-G27)</f>
        <v>16.331612296709409</v>
      </c>
      <c r="H28" s="12" t="s">
        <v>12</v>
      </c>
    </row>
    <row r="29" spans="1:22" s="9" customFormat="1" x14ac:dyDescent="0.25">
      <c r="A29" s="29" t="s">
        <v>27</v>
      </c>
      <c r="B29" s="30"/>
      <c r="C29" s="30"/>
      <c r="D29" s="30"/>
      <c r="E29" s="31"/>
      <c r="F29" s="12"/>
      <c r="G29" s="13">
        <f>SQRT((G26-(G28/2))^2 +(G28/(2*SQRT(3)))^2)</f>
        <v>296.43294907792864</v>
      </c>
      <c r="H29" s="12"/>
    </row>
    <row r="30" spans="1:22" s="9" customFormat="1" x14ac:dyDescent="0.25">
      <c r="A30" s="27" t="s">
        <v>25</v>
      </c>
      <c r="B30" s="27"/>
      <c r="C30" s="27"/>
      <c r="D30" s="27"/>
      <c r="E30" s="27"/>
      <c r="F30" s="12" t="s">
        <v>12</v>
      </c>
      <c r="G30" s="13">
        <f>(SQRT((G26)^2 + (G28/(2*SQRT(3)))^2))^2 /G22</f>
        <v>154.63298227921987</v>
      </c>
      <c r="H30" s="12" t="s">
        <v>12</v>
      </c>
    </row>
    <row r="31" spans="1:22" s="9" customFormat="1" x14ac:dyDescent="0.25">
      <c r="A31" s="4"/>
      <c r="B31" s="4"/>
      <c r="C31" s="4"/>
      <c r="D31" s="4"/>
      <c r="E31" s="4"/>
      <c r="F31" s="17"/>
      <c r="G31" s="18"/>
      <c r="H31" s="17"/>
    </row>
    <row r="32" spans="1:22" s="9" customFormat="1" ht="18.75" x14ac:dyDescent="0.3">
      <c r="A32" s="34" t="s">
        <v>29</v>
      </c>
      <c r="B32" s="34"/>
      <c r="C32" s="34"/>
      <c r="D32" s="34"/>
      <c r="E32" s="4"/>
      <c r="F32" s="17"/>
      <c r="G32" s="18"/>
      <c r="H32" s="17"/>
    </row>
    <row r="33" spans="1:8" s="9" customFormat="1" x14ac:dyDescent="0.25">
      <c r="A33" s="4"/>
      <c r="B33" s="4"/>
      <c r="C33" s="4"/>
      <c r="D33" s="4"/>
      <c r="E33" s="4"/>
      <c r="F33" s="17"/>
      <c r="G33" s="18"/>
      <c r="H33" s="17"/>
    </row>
    <row r="34" spans="1:8" s="9" customFormat="1" x14ac:dyDescent="0.25">
      <c r="A34" s="32" t="s">
        <v>0</v>
      </c>
      <c r="B34" s="32"/>
      <c r="C34" s="32"/>
      <c r="D34" s="32"/>
      <c r="E34" s="32"/>
      <c r="F34" s="2" t="s">
        <v>1</v>
      </c>
      <c r="G34" s="2" t="s">
        <v>2</v>
      </c>
      <c r="H34" s="2" t="s">
        <v>3</v>
      </c>
    </row>
    <row r="35" spans="1:8" s="9" customFormat="1" x14ac:dyDescent="0.25">
      <c r="A35" s="27" t="s">
        <v>30</v>
      </c>
      <c r="B35" s="27"/>
      <c r="C35" s="27"/>
      <c r="D35" s="27"/>
      <c r="E35" s="27"/>
      <c r="F35" s="10">
        <v>256.99</v>
      </c>
      <c r="G35" s="10">
        <f>IF(G6&gt;121,G29,G25)</f>
        <v>296.43294907792864</v>
      </c>
      <c r="H35" s="3">
        <v>324.25</v>
      </c>
    </row>
    <row r="36" spans="1:8" s="9" customFormat="1" x14ac:dyDescent="0.25">
      <c r="A36" s="27" t="s">
        <v>6</v>
      </c>
      <c r="B36" s="27"/>
      <c r="C36" s="27"/>
      <c r="D36" s="27"/>
      <c r="E36" s="27"/>
      <c r="F36" s="20" t="str">
        <f>F30</f>
        <v>-</v>
      </c>
      <c r="G36" s="3">
        <v>100000</v>
      </c>
      <c r="H36" s="20" t="str">
        <f>H30</f>
        <v>-</v>
      </c>
    </row>
    <row r="37" spans="1:8" s="9" customFormat="1" x14ac:dyDescent="0.25">
      <c r="A37" s="29" t="s">
        <v>35</v>
      </c>
      <c r="B37" s="30"/>
      <c r="C37" s="30"/>
      <c r="D37" s="30"/>
      <c r="E37" s="31"/>
      <c r="F37" s="20"/>
      <c r="G37" s="3">
        <v>400</v>
      </c>
      <c r="H37" s="20"/>
    </row>
    <row r="38" spans="1:8" s="9" customFormat="1" x14ac:dyDescent="0.25">
      <c r="A38" s="27" t="s">
        <v>5</v>
      </c>
      <c r="B38" s="27"/>
      <c r="C38" s="27"/>
      <c r="D38" s="27"/>
      <c r="E38" s="27"/>
      <c r="F38" s="20">
        <v>0</v>
      </c>
      <c r="G38" s="3">
        <f>G22</f>
        <v>600</v>
      </c>
      <c r="H38" s="20">
        <v>600</v>
      </c>
    </row>
    <row r="39" spans="1:8" s="9" customFormat="1" x14ac:dyDescent="0.25">
      <c r="A39" s="29" t="s">
        <v>36</v>
      </c>
      <c r="B39" s="30"/>
      <c r="C39" s="30"/>
      <c r="D39" s="30"/>
      <c r="E39" s="31"/>
      <c r="F39" s="20">
        <v>0</v>
      </c>
      <c r="G39" s="10">
        <f>G38/G37</f>
        <v>1.5</v>
      </c>
      <c r="H39" s="20">
        <v>1.82</v>
      </c>
    </row>
    <row r="40" spans="1:8" s="9" customFormat="1" x14ac:dyDescent="0.25">
      <c r="A40" s="27" t="s">
        <v>11</v>
      </c>
      <c r="B40" s="27"/>
      <c r="C40" s="27"/>
      <c r="D40" s="27"/>
      <c r="E40" s="27"/>
      <c r="F40" s="7" t="s">
        <v>12</v>
      </c>
      <c r="G40" s="3">
        <v>1.6</v>
      </c>
      <c r="H40" s="7" t="s">
        <v>12</v>
      </c>
    </row>
    <row r="41" spans="1:8" s="9" customFormat="1" x14ac:dyDescent="0.25">
      <c r="A41" s="29" t="s">
        <v>32</v>
      </c>
      <c r="B41" s="30"/>
      <c r="C41" s="30"/>
      <c r="D41" s="30"/>
      <c r="E41" s="31"/>
      <c r="F41" s="25" t="s">
        <v>33</v>
      </c>
      <c r="G41" s="3">
        <v>7.0000000000000007E-2</v>
      </c>
      <c r="H41" s="25" t="s">
        <v>34</v>
      </c>
    </row>
    <row r="42" spans="1:8" s="9" customFormat="1" x14ac:dyDescent="0.25">
      <c r="A42" s="29" t="s">
        <v>38</v>
      </c>
      <c r="B42" s="30"/>
      <c r="C42" s="30"/>
      <c r="D42" s="30"/>
      <c r="E42" s="31"/>
      <c r="F42" s="7" t="s">
        <v>12</v>
      </c>
      <c r="G42" s="3">
        <f>9/1000</f>
        <v>8.9999999999999993E-3</v>
      </c>
      <c r="H42" s="7" t="s">
        <v>12</v>
      </c>
    </row>
    <row r="43" spans="1:8" s="9" customFormat="1" x14ac:dyDescent="0.25">
      <c r="A43" s="29" t="s">
        <v>37</v>
      </c>
      <c r="B43" s="30"/>
      <c r="C43" s="30"/>
      <c r="D43" s="30"/>
      <c r="E43" s="31"/>
      <c r="F43" s="7"/>
      <c r="G43" s="22">
        <f>P19</f>
        <v>0.25387955160416387</v>
      </c>
      <c r="H43" s="7"/>
    </row>
    <row r="44" spans="1:8" s="9" customFormat="1" x14ac:dyDescent="0.25">
      <c r="A44" s="29" t="s">
        <v>44</v>
      </c>
      <c r="B44" s="30"/>
      <c r="C44" s="30"/>
      <c r="D44" s="30"/>
      <c r="E44" s="31"/>
      <c r="F44" s="7"/>
      <c r="G44" s="23">
        <f>H44/10000</f>
        <v>0.254</v>
      </c>
      <c r="H44" s="14">
        <v>2540</v>
      </c>
    </row>
    <row r="45" spans="1:8" s="9" customFormat="1" x14ac:dyDescent="0.25">
      <c r="A45" s="29" t="s">
        <v>40</v>
      </c>
      <c r="B45" s="30"/>
      <c r="C45" s="30"/>
      <c r="D45" s="30"/>
      <c r="E45" s="31"/>
      <c r="F45" s="7"/>
      <c r="G45" s="23">
        <f>H45/(10^6)</f>
        <v>1E-3</v>
      </c>
      <c r="H45" s="14">
        <v>1000</v>
      </c>
    </row>
    <row r="46" spans="1:8" s="9" customFormat="1" x14ac:dyDescent="0.25">
      <c r="A46" s="27" t="s">
        <v>41</v>
      </c>
      <c r="B46" s="27"/>
      <c r="C46" s="27"/>
      <c r="D46" s="27"/>
      <c r="E46" s="27"/>
      <c r="F46" s="7"/>
      <c r="G46" s="23">
        <f>(0.2*G39)/(1-G44)</f>
        <v>0.40214477211796251</v>
      </c>
      <c r="H46" s="7"/>
    </row>
    <row r="47" spans="1:8" s="9" customFormat="1" x14ac:dyDescent="0.25">
      <c r="A47" s="27" t="s">
        <v>42</v>
      </c>
      <c r="B47" s="27"/>
      <c r="C47" s="27"/>
      <c r="D47" s="27"/>
      <c r="E47" s="27"/>
      <c r="F47" s="7"/>
      <c r="G47" s="23">
        <f>(((G35-((G39*G42)/(1-G44))-((G44*G39*G41)/(1-G44)))*G44*(1/G36))/G45)</f>
        <v>0.75280291880807293</v>
      </c>
      <c r="H47" s="7"/>
    </row>
    <row r="48" spans="1:8" s="9" customFormat="1" x14ac:dyDescent="0.25">
      <c r="A48" s="27" t="s">
        <v>13</v>
      </c>
      <c r="B48" s="27"/>
      <c r="C48" s="27"/>
      <c r="D48" s="27"/>
      <c r="E48" s="27"/>
      <c r="F48" s="7"/>
      <c r="G48" s="15">
        <f>H48/1000000</f>
        <v>7.0399999999999998E-4</v>
      </c>
      <c r="H48" s="8">
        <v>704</v>
      </c>
    </row>
    <row r="49" spans="1:11" s="9" customFormat="1" x14ac:dyDescent="0.25">
      <c r="A49" s="27" t="s">
        <v>4</v>
      </c>
      <c r="B49" s="27"/>
      <c r="C49" s="27"/>
      <c r="D49" s="27"/>
      <c r="E49" s="27"/>
      <c r="F49" s="7" t="s">
        <v>12</v>
      </c>
      <c r="G49" s="24" t="s">
        <v>12</v>
      </c>
      <c r="H49" s="3">
        <f>0.02*G37</f>
        <v>8</v>
      </c>
    </row>
    <row r="50" spans="1:11" x14ac:dyDescent="0.25">
      <c r="A50" s="27" t="s">
        <v>43</v>
      </c>
      <c r="B50" s="27"/>
      <c r="C50" s="27"/>
      <c r="D50" s="27"/>
      <c r="E50" s="27"/>
      <c r="F50" s="3"/>
      <c r="G50" s="16">
        <f>1000*(G47*G44*(1/G36))/(G48)</f>
        <v>2.7160787127450359</v>
      </c>
      <c r="H50" s="8">
        <v>600</v>
      </c>
    </row>
    <row r="51" spans="1:11" x14ac:dyDescent="0.25">
      <c r="A51" s="29" t="s">
        <v>48</v>
      </c>
      <c r="B51" s="30"/>
      <c r="C51" s="30"/>
      <c r="D51" s="30"/>
      <c r="E51" s="31"/>
      <c r="F51" s="3"/>
      <c r="G51" s="26">
        <f>(-G35-((G39/(1-G44))*G42)-G40-(G44*G40)+(G41*(G44*G44*G39)/(1-G44)))/(G44-1)</f>
        <v>400.06483233570066</v>
      </c>
      <c r="H51" s="8"/>
    </row>
    <row r="52" spans="1:11" x14ac:dyDescent="0.25">
      <c r="A52" s="29" t="s">
        <v>47</v>
      </c>
      <c r="B52" s="30"/>
      <c r="C52" s="30"/>
      <c r="D52" s="30"/>
      <c r="E52" s="31"/>
      <c r="F52" s="12"/>
      <c r="G52" s="13">
        <f>G51-G50</f>
        <v>397.3487536229556</v>
      </c>
      <c r="H52" s="12"/>
    </row>
    <row r="53" spans="1:11" x14ac:dyDescent="0.25">
      <c r="A53" s="27" t="s">
        <v>25</v>
      </c>
      <c r="B53" s="27"/>
      <c r="C53" s="27"/>
      <c r="D53" s="27"/>
      <c r="E53" s="27"/>
      <c r="F53" s="12" t="s">
        <v>12</v>
      </c>
      <c r="G53" s="13">
        <f>(G51^2)/G38</f>
        <v>266.75311678632045</v>
      </c>
      <c r="H53" s="12" t="s">
        <v>12</v>
      </c>
    </row>
    <row r="55" spans="1:11" ht="18.75" x14ac:dyDescent="0.3">
      <c r="A55" s="34" t="s">
        <v>52</v>
      </c>
      <c r="B55" s="34"/>
      <c r="C55" s="34"/>
      <c r="D55" s="34"/>
      <c r="E55" s="4"/>
      <c r="F55" s="17"/>
      <c r="G55" s="18"/>
      <c r="H55" s="17"/>
      <c r="I55" s="9"/>
      <c r="J55" s="9"/>
      <c r="K55" s="9"/>
    </row>
    <row r="56" spans="1:11" x14ac:dyDescent="0.25">
      <c r="A56" s="4"/>
      <c r="B56" s="4"/>
      <c r="C56" s="4"/>
      <c r="D56" s="4"/>
      <c r="E56" s="4"/>
      <c r="F56" s="17"/>
      <c r="G56" s="18"/>
      <c r="H56" s="17"/>
      <c r="I56" s="9"/>
      <c r="J56" s="9"/>
      <c r="K56" s="9"/>
    </row>
    <row r="57" spans="1:11" x14ac:dyDescent="0.25">
      <c r="A57" s="32" t="s">
        <v>0</v>
      </c>
      <c r="B57" s="32"/>
      <c r="C57" s="32"/>
      <c r="D57" s="32"/>
      <c r="E57" s="32"/>
      <c r="F57" s="2" t="s">
        <v>1</v>
      </c>
      <c r="G57" s="2" t="s">
        <v>2</v>
      </c>
      <c r="H57" s="2" t="s">
        <v>3</v>
      </c>
      <c r="I57" s="49"/>
      <c r="J57" s="9"/>
      <c r="K57" s="9"/>
    </row>
    <row r="58" spans="1:11" x14ac:dyDescent="0.25">
      <c r="A58" s="27" t="s">
        <v>5</v>
      </c>
      <c r="B58" s="27"/>
      <c r="C58" s="27"/>
      <c r="D58" s="27"/>
      <c r="E58" s="27"/>
      <c r="F58" s="3">
        <v>0</v>
      </c>
      <c r="G58" s="3">
        <v>500</v>
      </c>
      <c r="H58" s="51">
        <v>600</v>
      </c>
      <c r="I58" s="49"/>
      <c r="J58" s="9"/>
      <c r="K58" s="9"/>
    </row>
    <row r="59" spans="1:11" x14ac:dyDescent="0.25">
      <c r="A59" s="27" t="s">
        <v>9</v>
      </c>
      <c r="B59" s="27"/>
      <c r="C59" s="27"/>
      <c r="D59" s="27"/>
      <c r="E59" s="27"/>
      <c r="F59" s="52">
        <v>100</v>
      </c>
      <c r="G59" s="3">
        <v>230</v>
      </c>
      <c r="H59" s="52">
        <v>240</v>
      </c>
      <c r="I59" s="50">
        <v>200</v>
      </c>
      <c r="J59" s="9"/>
      <c r="K59" s="9"/>
    </row>
    <row r="60" spans="1:11" x14ac:dyDescent="0.25">
      <c r="A60" s="27" t="s">
        <v>31</v>
      </c>
      <c r="B60" s="27"/>
      <c r="C60" s="27"/>
      <c r="D60" s="27"/>
      <c r="E60" s="27"/>
      <c r="F60" s="52">
        <v>45</v>
      </c>
      <c r="G60" s="3">
        <v>50</v>
      </c>
      <c r="H60" s="53">
        <v>65</v>
      </c>
      <c r="I60" s="49"/>
      <c r="J60" s="9"/>
      <c r="K60" s="9"/>
    </row>
    <row r="61" spans="1:11" x14ac:dyDescent="0.25">
      <c r="A61" s="29" t="s">
        <v>48</v>
      </c>
      <c r="B61" s="30"/>
      <c r="C61" s="30"/>
      <c r="D61" s="30"/>
      <c r="E61" s="31"/>
      <c r="F61" s="3">
        <v>350</v>
      </c>
      <c r="G61" s="26">
        <v>400</v>
      </c>
      <c r="H61" s="51">
        <v>400</v>
      </c>
      <c r="I61" s="49"/>
      <c r="J61" s="9"/>
      <c r="K61" s="9"/>
    </row>
    <row r="62" spans="1:11" x14ac:dyDescent="0.25">
      <c r="A62" s="27" t="s">
        <v>6</v>
      </c>
      <c r="B62" s="27"/>
      <c r="C62" s="27"/>
      <c r="D62" s="27"/>
      <c r="E62" s="27"/>
      <c r="F62" s="7" t="s">
        <v>12</v>
      </c>
      <c r="G62" s="52">
        <f>J62*10</f>
        <v>100000</v>
      </c>
      <c r="H62" s="7" t="s">
        <v>12</v>
      </c>
      <c r="I62" s="49"/>
      <c r="J62" s="36">
        <v>10000</v>
      </c>
      <c r="K62" s="9"/>
    </row>
    <row r="63" spans="1:11" x14ac:dyDescent="0.25">
      <c r="A63" s="27" t="s">
        <v>53</v>
      </c>
      <c r="B63" s="27"/>
      <c r="C63" s="27"/>
      <c r="D63" s="27"/>
      <c r="E63" s="27"/>
      <c r="F63" s="7" t="s">
        <v>12</v>
      </c>
      <c r="G63" s="62">
        <f>SQRT(2)*G58/F59</f>
        <v>7.0710678118654755</v>
      </c>
      <c r="H63" s="7" t="s">
        <v>12</v>
      </c>
      <c r="I63" s="49"/>
      <c r="J63" s="9"/>
      <c r="K63" s="9"/>
    </row>
    <row r="64" spans="1:11" x14ac:dyDescent="0.25">
      <c r="A64" s="27" t="s">
        <v>41</v>
      </c>
      <c r="B64" s="27"/>
      <c r="C64" s="27"/>
      <c r="D64" s="27"/>
      <c r="E64" s="27"/>
      <c r="F64" s="25" t="s">
        <v>12</v>
      </c>
      <c r="G64" s="63">
        <f>0.2*G63</f>
        <v>1.4142135623730951</v>
      </c>
      <c r="H64" s="25" t="s">
        <v>12</v>
      </c>
      <c r="I64" s="49"/>
      <c r="J64" s="9"/>
      <c r="K64" s="9"/>
    </row>
    <row r="65" spans="1:11" x14ac:dyDescent="0.25">
      <c r="A65" s="29" t="s">
        <v>54</v>
      </c>
      <c r="B65" s="30"/>
      <c r="C65" s="30"/>
      <c r="D65" s="30"/>
      <c r="E65" s="31"/>
      <c r="F65" s="7" t="s">
        <v>12</v>
      </c>
      <c r="G65" s="63">
        <f>(G61-(SQRT(2)*F59))/G61</f>
        <v>0.64644660940672627</v>
      </c>
      <c r="H65" s="7" t="s">
        <v>12</v>
      </c>
      <c r="I65" s="49"/>
      <c r="J65" s="9"/>
      <c r="K65" s="35"/>
    </row>
    <row r="66" spans="1:11" x14ac:dyDescent="0.25">
      <c r="A66" s="29" t="s">
        <v>72</v>
      </c>
      <c r="B66" s="30"/>
      <c r="C66" s="30"/>
      <c r="D66" s="30"/>
      <c r="E66" s="31"/>
      <c r="F66" s="7" t="s">
        <v>12</v>
      </c>
      <c r="G66" s="64">
        <f>(SQRT(2)*F59*G65)/(G62*G64)</f>
        <v>6.4644660940672621E-4</v>
      </c>
      <c r="H66" s="7" t="s">
        <v>12</v>
      </c>
      <c r="I66" s="49"/>
      <c r="J66" s="9"/>
      <c r="K66" s="9"/>
    </row>
    <row r="67" spans="1:11" x14ac:dyDescent="0.25">
      <c r="A67" s="29" t="s">
        <v>71</v>
      </c>
      <c r="B67" s="30"/>
      <c r="C67" s="30"/>
      <c r="D67" s="30"/>
      <c r="E67" s="31"/>
      <c r="F67" s="55">
        <f>650*10^(-6)</f>
        <v>6.4999999999999997E-4</v>
      </c>
      <c r="G67" s="64">
        <f>J67/(1*10^(6))</f>
        <v>4.3E-3</v>
      </c>
      <c r="H67" s="55">
        <f>4.3*10^(-3)</f>
        <v>4.3E-3</v>
      </c>
      <c r="I67" s="49"/>
      <c r="J67" s="36">
        <v>4300</v>
      </c>
      <c r="K67" s="9"/>
    </row>
    <row r="68" spans="1:11" x14ac:dyDescent="0.25">
      <c r="A68" s="27" t="s">
        <v>13</v>
      </c>
      <c r="B68" s="27"/>
      <c r="C68" s="27"/>
      <c r="D68" s="27"/>
      <c r="E68" s="27"/>
      <c r="F68" s="7" t="s">
        <v>12</v>
      </c>
      <c r="G68" s="65">
        <f>(2*G58*(1/F60))/(G61^2 - F61^2)</f>
        <v>5.9259259259259258E-4</v>
      </c>
      <c r="H68" s="11" t="s">
        <v>12</v>
      </c>
      <c r="I68" s="49"/>
      <c r="J68" s="9"/>
      <c r="K68" s="9"/>
    </row>
    <row r="69" spans="1:11" x14ac:dyDescent="0.25">
      <c r="A69" s="27" t="s">
        <v>73</v>
      </c>
      <c r="B69" s="27"/>
      <c r="C69" s="27"/>
      <c r="D69" s="27"/>
      <c r="E69" s="27"/>
      <c r="F69" s="56">
        <f>G68</f>
        <v>5.9259259259259258E-4</v>
      </c>
      <c r="G69" s="65">
        <f>J69/1000000</f>
        <v>1.6999999999999999E-3</v>
      </c>
      <c r="H69" s="58">
        <f>3700/1000000</f>
        <v>3.7000000000000002E-3</v>
      </c>
      <c r="I69" s="49"/>
      <c r="J69" s="36">
        <v>1700</v>
      </c>
      <c r="K69" s="9"/>
    </row>
    <row r="70" spans="1:11" x14ac:dyDescent="0.25">
      <c r="A70" s="29" t="s">
        <v>69</v>
      </c>
      <c r="B70" s="30"/>
      <c r="C70" s="30"/>
      <c r="D70" s="30"/>
      <c r="E70" s="31"/>
      <c r="F70" s="61" t="s">
        <v>78</v>
      </c>
      <c r="G70" s="38">
        <f>J70/100</f>
        <v>1</v>
      </c>
      <c r="H70" s="59" t="s">
        <v>79</v>
      </c>
      <c r="I70" s="49"/>
      <c r="J70" s="36">
        <v>100</v>
      </c>
      <c r="K70" s="9"/>
    </row>
    <row r="71" spans="1:11" x14ac:dyDescent="0.25">
      <c r="A71" s="29" t="s">
        <v>55</v>
      </c>
      <c r="B71" s="30"/>
      <c r="C71" s="30"/>
      <c r="D71" s="30"/>
      <c r="E71" s="31"/>
      <c r="F71" s="7" t="s">
        <v>12</v>
      </c>
      <c r="G71" s="38">
        <f>G70/(G63+(G64/2))</f>
        <v>0.12856486930664499</v>
      </c>
      <c r="H71" s="54" t="s">
        <v>12</v>
      </c>
      <c r="I71" s="49"/>
      <c r="J71" s="9"/>
      <c r="K71" s="9"/>
    </row>
    <row r="72" spans="1:11" x14ac:dyDescent="0.25">
      <c r="A72" s="29" t="s">
        <v>74</v>
      </c>
      <c r="B72" s="30"/>
      <c r="C72" s="30"/>
      <c r="D72" s="30"/>
      <c r="E72" s="31"/>
      <c r="F72" s="57">
        <f>G71</f>
        <v>0.12856486930664499</v>
      </c>
      <c r="G72" s="38">
        <f>J72/1000</f>
        <v>0.25</v>
      </c>
      <c r="H72" s="60">
        <f>0.5</f>
        <v>0.5</v>
      </c>
      <c r="I72" s="49"/>
      <c r="J72" s="36">
        <v>250</v>
      </c>
      <c r="K72" s="9"/>
    </row>
    <row r="73" spans="1:11" x14ac:dyDescent="0.25">
      <c r="A73" s="29" t="s">
        <v>75</v>
      </c>
      <c r="B73" s="30"/>
      <c r="C73" s="30"/>
      <c r="D73" s="30"/>
      <c r="E73" s="31"/>
      <c r="F73" s="7" t="s">
        <v>12</v>
      </c>
      <c r="G73" s="37">
        <f>G74*G74*G72</f>
        <v>15.125000000000002</v>
      </c>
      <c r="H73" s="11" t="s">
        <v>12</v>
      </c>
      <c r="I73" s="49"/>
      <c r="J73" s="9"/>
      <c r="K73" s="9"/>
    </row>
    <row r="74" spans="1:11" x14ac:dyDescent="0.25">
      <c r="A74" s="29" t="s">
        <v>76</v>
      </c>
      <c r="B74" s="30"/>
      <c r="C74" s="30"/>
      <c r="D74" s="30"/>
      <c r="E74" s="31"/>
      <c r="F74" s="7" t="s">
        <v>12</v>
      </c>
      <c r="G74" s="37">
        <f>G63+(G64/2)</f>
        <v>7.7781745930520234</v>
      </c>
      <c r="H74" s="11" t="s">
        <v>12</v>
      </c>
      <c r="I74" s="49"/>
      <c r="J74" s="9"/>
      <c r="K74" s="9"/>
    </row>
    <row r="75" spans="1:11" x14ac:dyDescent="0.25">
      <c r="A75" s="29" t="s">
        <v>77</v>
      </c>
      <c r="B75" s="30"/>
      <c r="C75" s="30"/>
      <c r="D75" s="30"/>
      <c r="E75" s="31"/>
      <c r="F75" s="7" t="s">
        <v>12</v>
      </c>
      <c r="G75" s="37">
        <f>G74*G72</f>
        <v>1.9445436482630059</v>
      </c>
      <c r="H75" s="11" t="s">
        <v>12</v>
      </c>
      <c r="I75" s="49"/>
      <c r="J75" s="9"/>
      <c r="K75" s="9"/>
    </row>
    <row r="76" spans="1:11" x14ac:dyDescent="0.25">
      <c r="A76" s="29" t="s">
        <v>81</v>
      </c>
      <c r="B76" s="30"/>
      <c r="C76" s="30"/>
      <c r="D76" s="30"/>
      <c r="E76" s="31"/>
      <c r="F76" s="7"/>
      <c r="G76" s="37">
        <f>1.12*G74*G72</f>
        <v>2.1778888860545669</v>
      </c>
      <c r="H76" s="11"/>
      <c r="I76" s="49"/>
      <c r="J76" s="9"/>
      <c r="K76" s="9"/>
    </row>
    <row r="77" spans="1:11" x14ac:dyDescent="0.25">
      <c r="A77" s="41" t="s">
        <v>58</v>
      </c>
      <c r="B77" s="42"/>
      <c r="C77" s="42"/>
      <c r="D77" s="42"/>
      <c r="E77" s="43"/>
      <c r="F77" s="7" t="s">
        <v>12</v>
      </c>
      <c r="G77" s="39">
        <v>7.5</v>
      </c>
      <c r="H77" s="11" t="s">
        <v>12</v>
      </c>
      <c r="I77" s="49"/>
      <c r="J77" s="9"/>
      <c r="K77" s="9"/>
    </row>
    <row r="78" spans="1:11" x14ac:dyDescent="0.25">
      <c r="A78" s="27" t="s">
        <v>56</v>
      </c>
      <c r="B78" s="27"/>
      <c r="C78" s="27"/>
      <c r="D78" s="27"/>
      <c r="E78" s="27"/>
      <c r="F78" s="55">
        <v>0</v>
      </c>
      <c r="G78" s="40">
        <f>J78</f>
        <v>10000</v>
      </c>
      <c r="H78" s="60" t="s">
        <v>80</v>
      </c>
      <c r="I78" s="49"/>
      <c r="J78" s="36">
        <v>10000</v>
      </c>
      <c r="K78" s="9"/>
    </row>
    <row r="79" spans="1:11" x14ac:dyDescent="0.25">
      <c r="A79" s="27" t="s">
        <v>57</v>
      </c>
      <c r="B79" s="27"/>
      <c r="C79" s="27"/>
      <c r="D79" s="27"/>
      <c r="E79" s="27"/>
      <c r="F79" s="7"/>
      <c r="G79" s="40">
        <f>ROUND(((G76*G78)/G77),-1)</f>
        <v>2900</v>
      </c>
      <c r="H79" s="7"/>
      <c r="I79" s="49"/>
      <c r="J79" s="9"/>
      <c r="K79" s="9"/>
    </row>
    <row r="80" spans="1:11" x14ac:dyDescent="0.25">
      <c r="A80" s="27" t="s">
        <v>82</v>
      </c>
      <c r="B80" s="27"/>
      <c r="C80" s="27"/>
      <c r="D80" s="27"/>
      <c r="E80" s="27"/>
      <c r="F80" s="7"/>
      <c r="G80" s="26">
        <f>0.9*F59</f>
        <v>90</v>
      </c>
      <c r="H80" s="8"/>
      <c r="I80" s="49"/>
      <c r="J80" s="9"/>
      <c r="K80" s="9"/>
    </row>
    <row r="81" spans="1:11" x14ac:dyDescent="0.25">
      <c r="A81" s="29" t="s">
        <v>59</v>
      </c>
      <c r="B81" s="30"/>
      <c r="C81" s="30"/>
      <c r="D81" s="30"/>
      <c r="E81" s="31"/>
      <c r="F81" s="61" t="s">
        <v>78</v>
      </c>
      <c r="G81" s="26">
        <f>J81*1000</f>
        <v>1000000</v>
      </c>
      <c r="H81" s="51">
        <v>15000000</v>
      </c>
      <c r="I81" s="49"/>
      <c r="J81" s="36">
        <v>1000</v>
      </c>
      <c r="K81" s="9"/>
    </row>
    <row r="82" spans="1:11" x14ac:dyDescent="0.25">
      <c r="A82" s="29" t="s">
        <v>60</v>
      </c>
      <c r="B82" s="30"/>
      <c r="C82" s="30"/>
      <c r="D82" s="30"/>
      <c r="E82" s="31"/>
      <c r="F82" s="7"/>
      <c r="G82" s="26">
        <f>ROUNDUP((G81*(SQRT(2)-G77))/(7.5-G80),-3)</f>
        <v>74000</v>
      </c>
      <c r="H82" s="8"/>
      <c r="I82" s="49"/>
      <c r="J82" s="9"/>
      <c r="K82" s="9"/>
    </row>
    <row r="83" spans="1:11" x14ac:dyDescent="0.25">
      <c r="A83" s="29" t="s">
        <v>61</v>
      </c>
      <c r="B83" s="30"/>
      <c r="C83" s="30"/>
      <c r="D83" s="30"/>
      <c r="E83" s="31"/>
      <c r="F83" s="7"/>
      <c r="G83" s="26">
        <f>ROUND(((G80*(G81*(SQRT(2)-G77))/(7.5-G80))-(G77*G81)-(G77*(G81*(SQRT(2)-G77))/(7.5-G80)))/(G77-G80), -3)</f>
        <v>17000</v>
      </c>
      <c r="H83" s="8"/>
      <c r="I83" s="49"/>
      <c r="J83" s="9"/>
      <c r="K83" s="9"/>
    </row>
    <row r="84" spans="1:11" x14ac:dyDescent="0.25">
      <c r="A84" s="29" t="s">
        <v>64</v>
      </c>
      <c r="B84" s="30"/>
      <c r="C84" s="30"/>
      <c r="D84" s="30"/>
      <c r="E84" s="31"/>
      <c r="F84" s="7"/>
      <c r="G84" s="10">
        <f>SQRT(2)*H12</f>
        <v>339.41125496954282</v>
      </c>
      <c r="H84" s="8"/>
      <c r="I84" s="49"/>
      <c r="J84" s="9"/>
      <c r="K84" s="9"/>
    </row>
    <row r="85" spans="1:11" x14ac:dyDescent="0.25">
      <c r="A85" s="29" t="s">
        <v>63</v>
      </c>
      <c r="B85" s="30"/>
      <c r="C85" s="30"/>
      <c r="D85" s="30"/>
      <c r="E85" s="31"/>
      <c r="F85" s="7"/>
      <c r="G85" s="15">
        <f>600*10^(-6)</f>
        <v>5.9999999999999995E-4</v>
      </c>
      <c r="H85" s="8"/>
      <c r="I85" s="49"/>
      <c r="J85" s="9"/>
      <c r="K85" s="9"/>
    </row>
    <row r="86" spans="1:11" x14ac:dyDescent="0.25">
      <c r="A86" s="29" t="s">
        <v>62</v>
      </c>
      <c r="B86" s="30"/>
      <c r="C86" s="30"/>
      <c r="D86" s="30"/>
      <c r="E86" s="31"/>
      <c r="F86" s="7"/>
      <c r="G86" s="26">
        <f>ROUNDUP(G84/G85, -4)</f>
        <v>570000</v>
      </c>
      <c r="H86" s="8"/>
      <c r="I86" s="49"/>
      <c r="J86" s="9"/>
      <c r="K86" s="9"/>
    </row>
    <row r="87" spans="1:11" x14ac:dyDescent="0.25">
      <c r="A87" s="29" t="s">
        <v>65</v>
      </c>
      <c r="B87" s="30"/>
      <c r="C87" s="30"/>
      <c r="D87" s="30"/>
      <c r="E87" s="31"/>
      <c r="F87" s="7"/>
      <c r="G87" s="26">
        <f>ROUND(0.25*G86,-4)</f>
        <v>140000</v>
      </c>
      <c r="H87" s="8"/>
      <c r="I87" s="49"/>
      <c r="J87" s="9"/>
      <c r="K87" s="9"/>
    </row>
    <row r="88" spans="1:11" x14ac:dyDescent="0.25">
      <c r="A88" s="29" t="s">
        <v>66</v>
      </c>
      <c r="B88" s="30"/>
      <c r="C88" s="30"/>
      <c r="D88" s="30"/>
      <c r="E88" s="31"/>
      <c r="F88" s="7"/>
      <c r="G88" s="45">
        <f>(G84)/G86</f>
        <v>5.9545834205182956E-4</v>
      </c>
      <c r="H88" s="8"/>
      <c r="I88" s="49"/>
      <c r="J88" s="9"/>
      <c r="K88" s="9"/>
    </row>
    <row r="89" spans="1:11" x14ac:dyDescent="0.25">
      <c r="A89" s="29" t="s">
        <v>67</v>
      </c>
      <c r="B89" s="30"/>
      <c r="C89" s="30"/>
      <c r="D89" s="30"/>
      <c r="E89" s="31"/>
      <c r="F89" s="7"/>
      <c r="G89" s="26">
        <f>ROUNDUP(3.75/(2*G88),-2)</f>
        <v>3200</v>
      </c>
      <c r="H89" s="8"/>
      <c r="I89" s="49"/>
      <c r="J89" s="9"/>
      <c r="K89" s="9"/>
    </row>
    <row r="90" spans="1:11" x14ac:dyDescent="0.25">
      <c r="A90" s="29" t="s">
        <v>68</v>
      </c>
      <c r="B90" s="30"/>
      <c r="C90" s="30"/>
      <c r="D90" s="30"/>
      <c r="E90" s="31"/>
      <c r="F90" s="7"/>
      <c r="G90" s="26">
        <f>ROUNDDOWN((G70*1.12)/(2*G88),-2)</f>
        <v>900</v>
      </c>
      <c r="H90" s="8"/>
      <c r="I90" s="49"/>
      <c r="J90" s="9"/>
      <c r="K90" s="9"/>
    </row>
    <row r="91" spans="1:11" x14ac:dyDescent="0.25">
      <c r="A91" s="29" t="s">
        <v>70</v>
      </c>
      <c r="B91" s="30"/>
      <c r="C91" s="30"/>
      <c r="D91" s="30"/>
      <c r="E91" s="31"/>
      <c r="F91" s="7"/>
      <c r="G91" s="47">
        <f>1.25/(G89*G62)</f>
        <v>3.9062499999999998E-9</v>
      </c>
      <c r="H91" s="8"/>
      <c r="I91" s="49"/>
      <c r="J91" s="9"/>
      <c r="K91" s="9"/>
    </row>
    <row r="92" spans="1:11" x14ac:dyDescent="0.25">
      <c r="A92" s="66" t="s">
        <v>83</v>
      </c>
      <c r="B92" s="30"/>
      <c r="C92" s="30"/>
      <c r="D92" s="30"/>
      <c r="E92" s="31"/>
      <c r="F92" s="7"/>
      <c r="G92" s="15">
        <f>G61*G72/(G67*G62)</f>
        <v>0.23255813953488372</v>
      </c>
      <c r="H92" s="8"/>
      <c r="I92" s="49"/>
      <c r="J92" s="9"/>
      <c r="K92" s="9"/>
    </row>
    <row r="93" spans="1:11" x14ac:dyDescent="0.25">
      <c r="A93" s="66" t="s">
        <v>84</v>
      </c>
      <c r="B93" s="67"/>
      <c r="C93" s="67"/>
      <c r="D93" s="67"/>
      <c r="E93" s="68"/>
      <c r="F93" s="7"/>
      <c r="G93" s="15">
        <f>5.2/G92</f>
        <v>22.36</v>
      </c>
      <c r="H93" s="8"/>
      <c r="I93" s="49"/>
      <c r="J93" s="9"/>
      <c r="K93" s="9"/>
    </row>
    <row r="94" spans="1:11" x14ac:dyDescent="0.25">
      <c r="A94" s="66" t="s">
        <v>85</v>
      </c>
      <c r="B94" s="67"/>
      <c r="C94" s="67"/>
      <c r="D94" s="67"/>
      <c r="E94" s="68"/>
      <c r="F94" s="7"/>
      <c r="G94" s="26">
        <f>G90</f>
        <v>900</v>
      </c>
      <c r="H94" s="8"/>
      <c r="I94" s="49"/>
      <c r="J94" s="9"/>
      <c r="K94" s="9"/>
    </row>
    <row r="95" spans="1:11" x14ac:dyDescent="0.25">
      <c r="A95" s="66" t="s">
        <v>86</v>
      </c>
      <c r="B95" s="67"/>
      <c r="C95" s="67"/>
      <c r="D95" s="67"/>
      <c r="E95" s="68"/>
      <c r="F95" s="7"/>
      <c r="G95" s="26">
        <f>ROUND(G93*G94,-2)</f>
        <v>20100</v>
      </c>
      <c r="H95" s="8"/>
      <c r="I95" s="49"/>
      <c r="J95" s="9"/>
      <c r="K95" s="9"/>
    </row>
    <row r="96" spans="1:11" x14ac:dyDescent="0.25">
      <c r="A96" s="66" t="s">
        <v>87</v>
      </c>
      <c r="B96" s="67"/>
      <c r="C96" s="67"/>
      <c r="D96" s="67"/>
      <c r="E96" s="68"/>
      <c r="F96" s="7"/>
      <c r="G96" s="26">
        <f>(G61*G72*G95)/(5.2*2*PI()*G67*G94)</f>
        <v>15896.513397669929</v>
      </c>
      <c r="H96" s="8"/>
      <c r="I96" s="49"/>
      <c r="J96" s="9"/>
      <c r="K96" s="9"/>
    </row>
    <row r="97" spans="1:11" x14ac:dyDescent="0.25">
      <c r="A97" s="66" t="s">
        <v>88</v>
      </c>
      <c r="B97" s="67"/>
      <c r="C97" s="67"/>
      <c r="D97" s="67"/>
      <c r="E97" s="68"/>
      <c r="F97" s="7"/>
      <c r="G97" s="48">
        <f>1/(2*PI()*G96*G95)</f>
        <v>4.9810648251280904E-10</v>
      </c>
      <c r="H97" s="8"/>
      <c r="I97" s="49"/>
      <c r="J97" s="9"/>
      <c r="K97" s="9"/>
    </row>
    <row r="98" spans="1:11" x14ac:dyDescent="0.25">
      <c r="A98" s="66" t="s">
        <v>89</v>
      </c>
      <c r="B98" s="67"/>
      <c r="C98" s="67"/>
      <c r="D98" s="67"/>
      <c r="E98" s="68"/>
      <c r="F98" s="7"/>
      <c r="G98" s="48">
        <f>1/(2*PI()*G62*G95)</f>
        <v>7.9181563727311125E-11</v>
      </c>
      <c r="H98" s="8"/>
      <c r="I98" s="49"/>
      <c r="J98" s="9"/>
      <c r="K98" s="9"/>
    </row>
    <row r="99" spans="1:11" x14ac:dyDescent="0.25">
      <c r="A99" s="66" t="s">
        <v>90</v>
      </c>
      <c r="B99" s="67"/>
      <c r="C99" s="67"/>
      <c r="D99" s="67"/>
      <c r="E99" s="68"/>
      <c r="F99" s="71">
        <v>0</v>
      </c>
      <c r="G99" s="69">
        <f>J99/1000</f>
        <v>0.01</v>
      </c>
      <c r="H99" s="70">
        <v>0.05</v>
      </c>
      <c r="I99" s="49"/>
      <c r="J99" s="36">
        <v>10</v>
      </c>
      <c r="K99" s="9"/>
    </row>
    <row r="100" spans="1:11" x14ac:dyDescent="0.25">
      <c r="A100" s="66" t="s">
        <v>92</v>
      </c>
      <c r="B100" s="67"/>
      <c r="C100" s="67"/>
      <c r="D100" s="67"/>
      <c r="E100" s="68"/>
      <c r="F100" s="71"/>
      <c r="G100" s="15">
        <f>G58/(2*PI()*2*G60*G69*G61)</f>
        <v>1.1702569344992306</v>
      </c>
      <c r="H100" s="70"/>
      <c r="I100" s="49"/>
      <c r="J100" s="36"/>
      <c r="K100" s="9"/>
    </row>
    <row r="101" spans="1:11" x14ac:dyDescent="0.25">
      <c r="A101" s="66" t="s">
        <v>91</v>
      </c>
      <c r="B101" s="67"/>
      <c r="C101" s="67"/>
      <c r="D101" s="67"/>
      <c r="E101" s="68"/>
      <c r="F101" s="7"/>
      <c r="G101" s="15">
        <f>(4*G99)/(G100)</f>
        <v>3.4180528071056947E-2</v>
      </c>
      <c r="H101" s="8"/>
      <c r="I101" s="49"/>
      <c r="J101" s="9"/>
      <c r="K101" s="9"/>
    </row>
    <row r="102" spans="1:11" x14ac:dyDescent="0.25">
      <c r="A102" s="66" t="s">
        <v>93</v>
      </c>
      <c r="B102" s="67"/>
      <c r="C102" s="67"/>
      <c r="D102" s="67"/>
      <c r="E102" s="68"/>
      <c r="F102" s="7"/>
      <c r="G102" s="26">
        <v>511000</v>
      </c>
      <c r="H102" s="8"/>
      <c r="I102" s="49"/>
      <c r="J102" s="9"/>
      <c r="K102" s="9"/>
    </row>
    <row r="103" spans="1:11" x14ac:dyDescent="0.25">
      <c r="A103" s="66" t="s">
        <v>94</v>
      </c>
      <c r="B103" s="67"/>
      <c r="C103" s="67"/>
      <c r="D103" s="67"/>
      <c r="E103" s="68"/>
      <c r="F103" s="7"/>
      <c r="G103" s="47">
        <f>1/(2*PI()*2*G60*G102*G101)</f>
        <v>9.1121416738317472E-8</v>
      </c>
      <c r="H103" s="8"/>
      <c r="I103" s="49"/>
      <c r="J103" s="9"/>
      <c r="K103" s="9"/>
    </row>
    <row r="104" spans="1:11" x14ac:dyDescent="0.25">
      <c r="A104" s="66" t="s">
        <v>95</v>
      </c>
      <c r="B104" s="67"/>
      <c r="C104" s="67"/>
      <c r="D104" s="67"/>
      <c r="E104" s="68"/>
      <c r="F104" s="7"/>
      <c r="G104" s="26">
        <f>ROUND((G102*G77)/(G61-G77),-3)</f>
        <v>10000</v>
      </c>
      <c r="H104" s="8"/>
      <c r="I104" s="49"/>
      <c r="J104" s="9"/>
      <c r="K104" s="9"/>
    </row>
    <row r="105" spans="1:11" x14ac:dyDescent="0.25">
      <c r="A105" s="66" t="s">
        <v>96</v>
      </c>
      <c r="B105" s="67"/>
      <c r="C105" s="67"/>
      <c r="D105" s="67"/>
      <c r="E105" s="68"/>
      <c r="F105" s="7"/>
      <c r="G105" s="44">
        <f>SQRT(G58/(4*G61*G102*G69*G103*((2*PI()))^2))</f>
        <v>10</v>
      </c>
      <c r="H105" s="8"/>
      <c r="I105" s="49"/>
      <c r="J105" s="9"/>
      <c r="K105" s="9"/>
    </row>
    <row r="106" spans="1:11" x14ac:dyDescent="0.25">
      <c r="A106" s="66" t="s">
        <v>97</v>
      </c>
      <c r="B106" s="67"/>
      <c r="C106" s="67"/>
      <c r="D106" s="67"/>
      <c r="E106" s="68"/>
      <c r="F106" s="7"/>
      <c r="G106" s="26">
        <f>ROUND(1/(2*PI()*G105*G103),-3)</f>
        <v>175000</v>
      </c>
      <c r="H106" s="8"/>
      <c r="I106" s="49"/>
      <c r="J106" s="9"/>
      <c r="K106" s="9"/>
    </row>
    <row r="107" spans="1:11" x14ac:dyDescent="0.25">
      <c r="A107" s="66" t="s">
        <v>98</v>
      </c>
      <c r="B107" s="67"/>
      <c r="C107" s="67"/>
      <c r="D107" s="67"/>
      <c r="E107" s="68"/>
      <c r="F107" s="7"/>
      <c r="G107" s="15">
        <f>G99/66.2%</f>
        <v>1.5105740181268881E-2</v>
      </c>
      <c r="H107" s="8"/>
      <c r="I107" s="49"/>
      <c r="J107" s="9"/>
      <c r="K107" s="9"/>
    </row>
    <row r="108" spans="1:11" x14ac:dyDescent="0.25">
      <c r="A108" s="66" t="s">
        <v>99</v>
      </c>
      <c r="B108" s="67"/>
      <c r="C108" s="67"/>
      <c r="D108" s="67"/>
      <c r="E108" s="68"/>
      <c r="F108" s="7"/>
      <c r="G108" s="10">
        <f>SQRT(G107)*2*G60</f>
        <v>12.290541152149844</v>
      </c>
      <c r="H108" s="8"/>
      <c r="I108" s="49"/>
      <c r="J108" s="9"/>
      <c r="K108" s="9"/>
    </row>
    <row r="109" spans="1:11" x14ac:dyDescent="0.25">
      <c r="A109" s="66" t="s">
        <v>100</v>
      </c>
      <c r="B109" s="67"/>
      <c r="C109" s="67"/>
      <c r="D109" s="67"/>
      <c r="E109" s="68"/>
      <c r="F109" s="7"/>
      <c r="G109" s="46">
        <f>1/(2*PI()*G108*G82)</f>
        <v>1.7499168243203E-7</v>
      </c>
      <c r="H109" s="8"/>
      <c r="I109" s="49"/>
      <c r="J109" s="9"/>
      <c r="K109" s="9"/>
    </row>
    <row r="110" spans="1:11" x14ac:dyDescent="0.25">
      <c r="A110" s="66" t="s">
        <v>101</v>
      </c>
      <c r="B110" s="67"/>
      <c r="C110" s="67"/>
      <c r="D110" s="67"/>
      <c r="E110" s="68"/>
      <c r="F110" s="7"/>
      <c r="G110" s="46">
        <f>1/(2*PI()*G108*G83)</f>
        <v>7.6172849999824822E-7</v>
      </c>
      <c r="H110" s="8"/>
      <c r="I110" s="49"/>
      <c r="J110" s="9"/>
      <c r="K110" s="9"/>
    </row>
    <row r="112" spans="1:11" ht="18.75" x14ac:dyDescent="0.3">
      <c r="A112" s="33" t="s">
        <v>49</v>
      </c>
      <c r="B112" s="33"/>
      <c r="C112" s="33"/>
      <c r="D112" s="33"/>
      <c r="E112" s="33"/>
      <c r="F112" s="33"/>
    </row>
    <row r="115" spans="1:11" x14ac:dyDescent="0.25">
      <c r="F115" s="28" t="s">
        <v>50</v>
      </c>
      <c r="G115" s="28"/>
      <c r="H115" s="28"/>
      <c r="I115" s="28" t="s">
        <v>51</v>
      </c>
      <c r="J115" s="28"/>
      <c r="K115" s="28"/>
    </row>
    <row r="116" spans="1:11" x14ac:dyDescent="0.25">
      <c r="A116" s="32" t="s">
        <v>0</v>
      </c>
      <c r="B116" s="32"/>
      <c r="C116" s="32"/>
      <c r="D116" s="32"/>
      <c r="E116" s="32"/>
      <c r="F116" s="2" t="s">
        <v>1</v>
      </c>
      <c r="G116" s="2" t="s">
        <v>2</v>
      </c>
      <c r="H116" s="2" t="s">
        <v>3</v>
      </c>
      <c r="I116" s="2" t="s">
        <v>1</v>
      </c>
      <c r="J116" s="2" t="s">
        <v>2</v>
      </c>
      <c r="K116" s="2" t="s">
        <v>3</v>
      </c>
    </row>
    <row r="117" spans="1:11" x14ac:dyDescent="0.25">
      <c r="A117" s="27" t="s">
        <v>30</v>
      </c>
      <c r="B117" s="27"/>
      <c r="C117" s="27"/>
      <c r="D117" s="27"/>
      <c r="E117" s="27"/>
      <c r="F117" s="3">
        <f>F54</f>
        <v>0</v>
      </c>
      <c r="G117" s="26">
        <f>G52</f>
        <v>397.3487536229556</v>
      </c>
      <c r="H117" s="3">
        <f>H54</f>
        <v>0</v>
      </c>
      <c r="I117" s="3">
        <f>I54</f>
        <v>0</v>
      </c>
      <c r="J117" s="26">
        <f>G52</f>
        <v>397.3487536229556</v>
      </c>
      <c r="K117" s="3">
        <f>K54</f>
        <v>0</v>
      </c>
    </row>
    <row r="118" spans="1:11" x14ac:dyDescent="0.25">
      <c r="A118" s="27" t="s">
        <v>31</v>
      </c>
      <c r="B118" s="27"/>
      <c r="C118" s="27"/>
      <c r="D118" s="27"/>
      <c r="E118" s="27"/>
      <c r="F118" s="3">
        <f>F48</f>
        <v>0</v>
      </c>
      <c r="G118" s="3">
        <f>G48</f>
        <v>7.0399999999999998E-4</v>
      </c>
      <c r="H118" s="3">
        <f>H48</f>
        <v>704</v>
      </c>
      <c r="I118" s="3">
        <f t="shared" ref="I118:K118" si="0">I48</f>
        <v>0</v>
      </c>
      <c r="J118" s="3">
        <f t="shared" si="0"/>
        <v>0</v>
      </c>
      <c r="K118" s="3">
        <f t="shared" si="0"/>
        <v>0</v>
      </c>
    </row>
    <row r="119" spans="1:11" x14ac:dyDescent="0.25">
      <c r="A119" s="27" t="s">
        <v>11</v>
      </c>
      <c r="B119" s="27"/>
      <c r="C119" s="27"/>
      <c r="D119" s="27"/>
      <c r="E119" s="27"/>
      <c r="F119" s="7" t="s">
        <v>12</v>
      </c>
      <c r="G119" s="3">
        <v>1.6</v>
      </c>
      <c r="H119" s="7" t="s">
        <v>12</v>
      </c>
      <c r="I119" s="7" t="s">
        <v>12</v>
      </c>
      <c r="J119" s="3">
        <v>1.6</v>
      </c>
      <c r="K119" s="7" t="s">
        <v>12</v>
      </c>
    </row>
    <row r="120" spans="1:11" x14ac:dyDescent="0.25">
      <c r="A120" s="27" t="s">
        <v>13</v>
      </c>
      <c r="B120" s="27"/>
      <c r="C120" s="27"/>
      <c r="D120" s="27"/>
      <c r="E120" s="27"/>
      <c r="F120" s="7"/>
      <c r="G120" s="3">
        <f>H120/1000000</f>
        <v>1.5E-3</v>
      </c>
      <c r="H120" s="8">
        <v>1500</v>
      </c>
      <c r="I120" s="7"/>
      <c r="J120" s="3">
        <f>K120/1000000</f>
        <v>1.5E-3</v>
      </c>
      <c r="K120" s="8">
        <v>1500</v>
      </c>
    </row>
    <row r="121" spans="1:11" x14ac:dyDescent="0.25">
      <c r="A121" s="27" t="s">
        <v>5</v>
      </c>
      <c r="B121" s="27"/>
      <c r="C121" s="27"/>
      <c r="D121" s="27"/>
      <c r="E121" s="27"/>
      <c r="F121" s="3"/>
      <c r="G121" s="3">
        <f>H121</f>
        <v>600</v>
      </c>
      <c r="H121" s="8">
        <v>600</v>
      </c>
      <c r="I121" s="3"/>
      <c r="J121" s="3">
        <f>K121</f>
        <v>600</v>
      </c>
      <c r="K121" s="8">
        <v>600</v>
      </c>
    </row>
    <row r="122" spans="1:11" x14ac:dyDescent="0.25">
      <c r="A122" s="29" t="s">
        <v>23</v>
      </c>
      <c r="B122" s="30"/>
      <c r="C122" s="30"/>
      <c r="D122" s="30"/>
      <c r="E122" s="31"/>
      <c r="F122" s="7" t="s">
        <v>12</v>
      </c>
      <c r="G122" s="10">
        <f>2*P45</f>
        <v>0</v>
      </c>
      <c r="H122" s="11" t="s">
        <v>12</v>
      </c>
      <c r="I122" s="7" t="s">
        <v>12</v>
      </c>
      <c r="J122" s="10">
        <f>2*S45</f>
        <v>0</v>
      </c>
      <c r="K122" s="11" t="s">
        <v>12</v>
      </c>
    </row>
    <row r="123" spans="1:11" x14ac:dyDescent="0.25">
      <c r="A123" s="29" t="s">
        <v>24</v>
      </c>
      <c r="B123" s="30"/>
      <c r="C123" s="30"/>
      <c r="D123" s="30"/>
      <c r="E123" s="31"/>
      <c r="F123" s="7" t="s">
        <v>12</v>
      </c>
      <c r="G123" s="10">
        <f>2*((2*SQRT(2)*G117)-G122)</f>
        <v>2247.7439854625172</v>
      </c>
      <c r="H123" s="11" t="s">
        <v>12</v>
      </c>
      <c r="I123" s="7" t="s">
        <v>12</v>
      </c>
      <c r="J123" s="10">
        <f>2*((2*SQRT(2)*J117)-J122)</f>
        <v>2247.7439854625172</v>
      </c>
      <c r="K123" s="11" t="s">
        <v>12</v>
      </c>
    </row>
    <row r="124" spans="1:11" x14ac:dyDescent="0.25">
      <c r="A124" s="27" t="s">
        <v>28</v>
      </c>
      <c r="B124" s="27"/>
      <c r="C124" s="27"/>
      <c r="D124" s="27"/>
      <c r="E124" s="27"/>
      <c r="F124" s="7"/>
      <c r="G124" s="21">
        <f>P45</f>
        <v>0</v>
      </c>
      <c r="H124" s="11"/>
      <c r="I124" s="7"/>
      <c r="J124" s="21">
        <f>S45</f>
        <v>0</v>
      </c>
      <c r="K124" s="11"/>
    </row>
    <row r="125" spans="1:11" x14ac:dyDescent="0.25">
      <c r="A125" s="27" t="s">
        <v>26</v>
      </c>
      <c r="B125" s="27"/>
      <c r="C125" s="27"/>
      <c r="D125" s="27"/>
      <c r="E125" s="27"/>
      <c r="F125" s="7" t="s">
        <v>12</v>
      </c>
      <c r="G125" s="10">
        <f>P45-(G119)</f>
        <v>-1.6</v>
      </c>
      <c r="H125" s="11" t="s">
        <v>12</v>
      </c>
      <c r="I125" s="7" t="s">
        <v>12</v>
      </c>
      <c r="J125" s="10">
        <f>S45-(J119)</f>
        <v>-1.6</v>
      </c>
      <c r="K125" s="11" t="s">
        <v>12</v>
      </c>
    </row>
    <row r="126" spans="1:11" x14ac:dyDescent="0.25">
      <c r="A126" s="27" t="s">
        <v>4</v>
      </c>
      <c r="B126" s="27"/>
      <c r="C126" s="27"/>
      <c r="D126" s="27"/>
      <c r="E126" s="27"/>
      <c r="F126" s="12" t="s">
        <v>12</v>
      </c>
      <c r="G126" s="13">
        <f>2*((SQRT(2)*G117)-G125)</f>
        <v>1127.0719927312587</v>
      </c>
      <c r="H126" s="12" t="s">
        <v>12</v>
      </c>
      <c r="I126" s="12" t="s">
        <v>12</v>
      </c>
      <c r="J126" s="13">
        <f>2*((SQRT(2)*J117)-J125)</f>
        <v>1127.0719927312587</v>
      </c>
      <c r="K126" s="12" t="s">
        <v>12</v>
      </c>
    </row>
    <row r="127" spans="1:11" x14ac:dyDescent="0.25">
      <c r="A127" s="29" t="s">
        <v>27</v>
      </c>
      <c r="B127" s="30"/>
      <c r="C127" s="30"/>
      <c r="D127" s="30"/>
      <c r="E127" s="31"/>
      <c r="F127" s="12"/>
      <c r="G127" s="13">
        <f>SQRT((G124-(G126/2))^2 +(G126/(2*SQRT(3)))^2)</f>
        <v>650.71531839948011</v>
      </c>
      <c r="H127" s="12"/>
      <c r="I127" s="12"/>
      <c r="J127" s="13">
        <f>SQRT((J124-(J126/2))^2 +(J126/(2*SQRT(3)))^2)</f>
        <v>650.71531839948011</v>
      </c>
      <c r="K127" s="12"/>
    </row>
    <row r="128" spans="1:11" x14ac:dyDescent="0.25">
      <c r="A128" s="27" t="s">
        <v>25</v>
      </c>
      <c r="B128" s="27"/>
      <c r="C128" s="27"/>
      <c r="D128" s="27"/>
      <c r="E128" s="27"/>
      <c r="F128" s="12" t="s">
        <v>12</v>
      </c>
      <c r="G128" s="13">
        <f>(SQRT((G124)^2 + (G126/(2*SQRT(3)))^2))^2 /G121</f>
        <v>176.42934399989034</v>
      </c>
      <c r="H128" s="12" t="s">
        <v>12</v>
      </c>
      <c r="I128" s="12" t="s">
        <v>12</v>
      </c>
      <c r="J128" s="13">
        <f>(SQRT((J124)^2 + (J126/(2*SQRT(3)))^2))^2 /J121</f>
        <v>176.42934399989034</v>
      </c>
      <c r="K128" s="12" t="s">
        <v>12</v>
      </c>
    </row>
  </sheetData>
  <mergeCells count="116">
    <mergeCell ref="A106:E106"/>
    <mergeCell ref="A107:E107"/>
    <mergeCell ref="A108:E108"/>
    <mergeCell ref="A109:E109"/>
    <mergeCell ref="A110:E110"/>
    <mergeCell ref="A93:E93"/>
    <mergeCell ref="A94:E94"/>
    <mergeCell ref="A95:E95"/>
    <mergeCell ref="A96:E96"/>
    <mergeCell ref="A70:E70"/>
    <mergeCell ref="A74:E74"/>
    <mergeCell ref="A77:E77"/>
    <mergeCell ref="A81:E81"/>
    <mergeCell ref="A82:E82"/>
    <mergeCell ref="A83:E83"/>
    <mergeCell ref="A84:E84"/>
    <mergeCell ref="A86:E86"/>
    <mergeCell ref="A85:E85"/>
    <mergeCell ref="A87:E87"/>
    <mergeCell ref="A88:E88"/>
    <mergeCell ref="A89:E89"/>
    <mergeCell ref="A90:E90"/>
    <mergeCell ref="A91:E91"/>
    <mergeCell ref="A80:E80"/>
    <mergeCell ref="A92:E92"/>
    <mergeCell ref="A97:E97"/>
    <mergeCell ref="A98:E98"/>
    <mergeCell ref="A99:E99"/>
    <mergeCell ref="A101:E101"/>
    <mergeCell ref="A100:E100"/>
    <mergeCell ref="A102:E102"/>
    <mergeCell ref="A103:E103"/>
    <mergeCell ref="A104:E104"/>
    <mergeCell ref="A105:E105"/>
    <mergeCell ref="A66:E66"/>
    <mergeCell ref="A68:E68"/>
    <mergeCell ref="A71:E71"/>
    <mergeCell ref="A78:E78"/>
    <mergeCell ref="A79:E79"/>
    <mergeCell ref="A67:E67"/>
    <mergeCell ref="A69:E69"/>
    <mergeCell ref="A72:E72"/>
    <mergeCell ref="A73:E73"/>
    <mergeCell ref="A75:E75"/>
    <mergeCell ref="A76:E76"/>
    <mergeCell ref="A61:E61"/>
    <mergeCell ref="A62:E62"/>
    <mergeCell ref="A63:E63"/>
    <mergeCell ref="A64:E64"/>
    <mergeCell ref="A65:E65"/>
    <mergeCell ref="A1:C1"/>
    <mergeCell ref="A6:E6"/>
    <mergeCell ref="A50:E50"/>
    <mergeCell ref="A28:E28"/>
    <mergeCell ref="A7:E7"/>
    <mergeCell ref="A5:E5"/>
    <mergeCell ref="A3:C3"/>
    <mergeCell ref="A15:C15"/>
    <mergeCell ref="A24:E24"/>
    <mergeCell ref="A30:E30"/>
    <mergeCell ref="A29:E29"/>
    <mergeCell ref="A26:E26"/>
    <mergeCell ref="A17:E17"/>
    <mergeCell ref="A18:E18"/>
    <mergeCell ref="A19:E19"/>
    <mergeCell ref="A20:E20"/>
    <mergeCell ref="A21:E21"/>
    <mergeCell ref="A22:E22"/>
    <mergeCell ref="A112:F112"/>
    <mergeCell ref="A43:E43"/>
    <mergeCell ref="A42:E42"/>
    <mergeCell ref="A45:E45"/>
    <mergeCell ref="A46:E46"/>
    <mergeCell ref="A47:E47"/>
    <mergeCell ref="A49:E49"/>
    <mergeCell ref="A44:E44"/>
    <mergeCell ref="A52:E52"/>
    <mergeCell ref="A53:E53"/>
    <mergeCell ref="A48:E48"/>
    <mergeCell ref="A55:D55"/>
    <mergeCell ref="A57:E57"/>
    <mergeCell ref="A58:E58"/>
    <mergeCell ref="A59:E59"/>
    <mergeCell ref="A60:E60"/>
    <mergeCell ref="A9:C9"/>
    <mergeCell ref="A11:E11"/>
    <mergeCell ref="A12:E12"/>
    <mergeCell ref="A13:E13"/>
    <mergeCell ref="A51:E51"/>
    <mergeCell ref="A32:D32"/>
    <mergeCell ref="A34:E34"/>
    <mergeCell ref="A35:E35"/>
    <mergeCell ref="A36:E36"/>
    <mergeCell ref="A40:E40"/>
    <mergeCell ref="A41:E41"/>
    <mergeCell ref="A37:E37"/>
    <mergeCell ref="A38:E38"/>
    <mergeCell ref="A39:E39"/>
    <mergeCell ref="A27:E27"/>
    <mergeCell ref="A23:E23"/>
    <mergeCell ref="A128:E128"/>
    <mergeCell ref="F115:H115"/>
    <mergeCell ref="I115:K115"/>
    <mergeCell ref="A25:E25"/>
    <mergeCell ref="A122:E122"/>
    <mergeCell ref="A123:E123"/>
    <mergeCell ref="A124:E124"/>
    <mergeCell ref="A125:E125"/>
    <mergeCell ref="A126:E126"/>
    <mergeCell ref="A127:E127"/>
    <mergeCell ref="A116:E116"/>
    <mergeCell ref="A117:E117"/>
    <mergeCell ref="A118:E118"/>
    <mergeCell ref="A119:E119"/>
    <mergeCell ref="A120:E120"/>
    <mergeCell ref="A121:E121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croll Bar 4">
              <controlPr defaultSize="0" autoPict="0">
                <anchor moveWithCells="1">
                  <from>
                    <xdr:col>5</xdr:col>
                    <xdr:colOff>9525</xdr:colOff>
                    <xdr:row>20</xdr:row>
                    <xdr:rowOff>9525</xdr:rowOff>
                  </from>
                  <to>
                    <xdr:col>5</xdr:col>
                    <xdr:colOff>581025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croll Bar 5">
              <controlPr defaultSize="0" autoPict="0">
                <anchor moveWithCells="1">
                  <from>
                    <xdr:col>5</xdr:col>
                    <xdr:colOff>9525</xdr:colOff>
                    <xdr:row>21</xdr:row>
                    <xdr:rowOff>9525</xdr:rowOff>
                  </from>
                  <to>
                    <xdr:col>5</xdr:col>
                    <xdr:colOff>590550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Scroll Bar 6">
              <controlPr defaultSize="0" autoPict="0">
                <anchor moveWithCells="1">
                  <from>
                    <xdr:col>5</xdr:col>
                    <xdr:colOff>9525</xdr:colOff>
                    <xdr:row>5</xdr:row>
                    <xdr:rowOff>9525</xdr:rowOff>
                  </from>
                  <to>
                    <xdr:col>5</xdr:col>
                    <xdr:colOff>590550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Scroll Bar 7">
              <controlPr defaultSize="0" autoPict="0">
                <anchor moveWithCells="1">
                  <from>
                    <xdr:col>5</xdr:col>
                    <xdr:colOff>9525</xdr:colOff>
                    <xdr:row>6</xdr:row>
                    <xdr:rowOff>9525</xdr:rowOff>
                  </from>
                  <to>
                    <xdr:col>5</xdr:col>
                    <xdr:colOff>590550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8" name="Scroll Bar 1503">
              <controlPr defaultSize="0" autoPict="0">
                <anchor moveWithCells="1">
                  <from>
                    <xdr:col>5</xdr:col>
                    <xdr:colOff>9525</xdr:colOff>
                    <xdr:row>47</xdr:row>
                    <xdr:rowOff>9525</xdr:rowOff>
                  </from>
                  <to>
                    <xdr:col>5</xdr:col>
                    <xdr:colOff>581025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9" name="Scroll Bar 2371">
              <controlPr defaultSize="0" autoPict="0">
                <anchor moveWithCells="1">
                  <from>
                    <xdr:col>5</xdr:col>
                    <xdr:colOff>9525</xdr:colOff>
                    <xdr:row>36</xdr:row>
                    <xdr:rowOff>19050</xdr:rowOff>
                  </from>
                  <to>
                    <xdr:col>5</xdr:col>
                    <xdr:colOff>600075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0" r:id="rId10" name="Scroll Bar 2906">
              <controlPr defaultSize="0" autoPict="0">
                <anchor moveWithCells="1">
                  <from>
                    <xdr:col>5</xdr:col>
                    <xdr:colOff>9525</xdr:colOff>
                    <xdr:row>44</xdr:row>
                    <xdr:rowOff>9525</xdr:rowOff>
                  </from>
                  <to>
                    <xdr:col>5</xdr:col>
                    <xdr:colOff>590550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9" r:id="rId11" name="Scroll Bar 4305">
              <controlPr defaultSize="0" autoPict="0">
                <anchor moveWithCells="1">
                  <from>
                    <xdr:col>5</xdr:col>
                    <xdr:colOff>9525</xdr:colOff>
                    <xdr:row>43</xdr:row>
                    <xdr:rowOff>9525</xdr:rowOff>
                  </from>
                  <to>
                    <xdr:col>5</xdr:col>
                    <xdr:colOff>590550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12" name="Scroll Bar 6984">
              <controlPr defaultSize="0" autoPict="0">
                <anchor moveWithCells="1">
                  <from>
                    <xdr:col>5</xdr:col>
                    <xdr:colOff>9525</xdr:colOff>
                    <xdr:row>119</xdr:row>
                    <xdr:rowOff>9525</xdr:rowOff>
                  </from>
                  <to>
                    <xdr:col>5</xdr:col>
                    <xdr:colOff>581025</xdr:colOff>
                    <xdr:row>119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13" name="Scroll Bar 6985">
              <controlPr defaultSize="0" autoPict="0">
                <anchor moveWithCells="1">
                  <from>
                    <xdr:col>5</xdr:col>
                    <xdr:colOff>9525</xdr:colOff>
                    <xdr:row>120</xdr:row>
                    <xdr:rowOff>9525</xdr:rowOff>
                  </from>
                  <to>
                    <xdr:col>5</xdr:col>
                    <xdr:colOff>590550</xdr:colOff>
                    <xdr:row>120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14" name="Scroll Bar 6988">
              <controlPr defaultSize="0" autoPict="0">
                <anchor moveWithCells="1">
                  <from>
                    <xdr:col>8</xdr:col>
                    <xdr:colOff>9525</xdr:colOff>
                    <xdr:row>119</xdr:row>
                    <xdr:rowOff>9525</xdr:rowOff>
                  </from>
                  <to>
                    <xdr:col>8</xdr:col>
                    <xdr:colOff>581025</xdr:colOff>
                    <xdr:row>119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15" name="Scroll Bar 6989">
              <controlPr defaultSize="0" autoPict="0">
                <anchor moveWithCells="1">
                  <from>
                    <xdr:col>8</xdr:col>
                    <xdr:colOff>9525</xdr:colOff>
                    <xdr:row>120</xdr:row>
                    <xdr:rowOff>9525</xdr:rowOff>
                  </from>
                  <to>
                    <xdr:col>8</xdr:col>
                    <xdr:colOff>590550</xdr:colOff>
                    <xdr:row>120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7" r:id="rId16" name="Scroll Bar 7999">
              <controlPr defaultSize="0" autoPict="0">
                <anchor moveWithCells="1">
                  <from>
                    <xdr:col>8</xdr:col>
                    <xdr:colOff>9525</xdr:colOff>
                    <xdr:row>57</xdr:row>
                    <xdr:rowOff>9525</xdr:rowOff>
                  </from>
                  <to>
                    <xdr:col>8</xdr:col>
                    <xdr:colOff>581025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6" r:id="rId17" name="Scroll Bar 8118">
              <controlPr defaultSize="0" autoPict="0">
                <anchor moveWithCells="1">
                  <from>
                    <xdr:col>8</xdr:col>
                    <xdr:colOff>19050</xdr:colOff>
                    <xdr:row>58</xdr:row>
                    <xdr:rowOff>9525</xdr:rowOff>
                  </from>
                  <to>
                    <xdr:col>8</xdr:col>
                    <xdr:colOff>600075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9" r:id="rId18" name="Scroll Bar 8121">
              <controlPr defaultSize="0" autoPict="0">
                <anchor moveWithCells="1">
                  <from>
                    <xdr:col>8</xdr:col>
                    <xdr:colOff>9525</xdr:colOff>
                    <xdr:row>59</xdr:row>
                    <xdr:rowOff>9525</xdr:rowOff>
                  </from>
                  <to>
                    <xdr:col>8</xdr:col>
                    <xdr:colOff>590550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9" r:id="rId19" name="Scroll Bar 8161">
              <controlPr defaultSize="0" autoPict="0">
                <anchor moveWithCells="1">
                  <from>
                    <xdr:col>8</xdr:col>
                    <xdr:colOff>9525</xdr:colOff>
                    <xdr:row>66</xdr:row>
                    <xdr:rowOff>19050</xdr:rowOff>
                  </from>
                  <to>
                    <xdr:col>8</xdr:col>
                    <xdr:colOff>590550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2" r:id="rId20" name="Scroll Bar 8364">
              <controlPr defaultSize="0" autoPict="0">
                <anchor moveWithCells="1">
                  <from>
                    <xdr:col>8</xdr:col>
                    <xdr:colOff>9525</xdr:colOff>
                    <xdr:row>60</xdr:row>
                    <xdr:rowOff>19050</xdr:rowOff>
                  </from>
                  <to>
                    <xdr:col>8</xdr:col>
                    <xdr:colOff>590550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5" r:id="rId21" name="Scroll Bar 8417">
              <controlPr defaultSize="0" autoPict="0">
                <anchor moveWithCells="1">
                  <from>
                    <xdr:col>8</xdr:col>
                    <xdr:colOff>9525</xdr:colOff>
                    <xdr:row>68</xdr:row>
                    <xdr:rowOff>9525</xdr:rowOff>
                  </from>
                  <to>
                    <xdr:col>8</xdr:col>
                    <xdr:colOff>590550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2" r:id="rId22" name="Scroll Bar 8484">
              <controlPr defaultSize="0" autoPict="0">
                <anchor moveWithCells="1">
                  <from>
                    <xdr:col>8</xdr:col>
                    <xdr:colOff>9525</xdr:colOff>
                    <xdr:row>69</xdr:row>
                    <xdr:rowOff>9525</xdr:rowOff>
                  </from>
                  <to>
                    <xdr:col>8</xdr:col>
                    <xdr:colOff>590550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7" r:id="rId23" name="Scroll Bar 8699">
              <controlPr defaultSize="0" autoPict="0">
                <anchor moveWithCells="1">
                  <from>
                    <xdr:col>8</xdr:col>
                    <xdr:colOff>19050</xdr:colOff>
                    <xdr:row>71</xdr:row>
                    <xdr:rowOff>19050</xdr:rowOff>
                  </from>
                  <to>
                    <xdr:col>8</xdr:col>
                    <xdr:colOff>581025</xdr:colOff>
                    <xdr:row>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5" r:id="rId24" name="Scroll Bar 8937">
              <controlPr defaultSize="0" autoPict="0">
                <anchor moveWithCells="1">
                  <from>
                    <xdr:col>8</xdr:col>
                    <xdr:colOff>9525</xdr:colOff>
                    <xdr:row>77</xdr:row>
                    <xdr:rowOff>9525</xdr:rowOff>
                  </from>
                  <to>
                    <xdr:col>8</xdr:col>
                    <xdr:colOff>590550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8" r:id="rId25" name="Scroll Bar 9140">
              <controlPr defaultSize="0" autoPict="0">
                <anchor moveWithCells="1">
                  <from>
                    <xdr:col>8</xdr:col>
                    <xdr:colOff>19050</xdr:colOff>
                    <xdr:row>80</xdr:row>
                    <xdr:rowOff>19050</xdr:rowOff>
                  </from>
                  <to>
                    <xdr:col>8</xdr:col>
                    <xdr:colOff>581025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0" r:id="rId26" name="Scroll Bar 9212">
              <controlPr defaultSize="0" autoPict="0">
                <anchor moveWithCells="1">
                  <from>
                    <xdr:col>8</xdr:col>
                    <xdr:colOff>9525</xdr:colOff>
                    <xdr:row>98</xdr:row>
                    <xdr:rowOff>9525</xdr:rowOff>
                  </from>
                  <to>
                    <xdr:col>8</xdr:col>
                    <xdr:colOff>590550</xdr:colOff>
                    <xdr:row>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27" name="Scroll Bar 9264">
              <controlPr defaultSize="0" autoPict="0">
                <anchor moveWithCells="1">
                  <from>
                    <xdr:col>8</xdr:col>
                    <xdr:colOff>19050</xdr:colOff>
                    <xdr:row>61</xdr:row>
                    <xdr:rowOff>19050</xdr:rowOff>
                  </from>
                  <to>
                    <xdr:col>8</xdr:col>
                    <xdr:colOff>590550</xdr:colOff>
                    <xdr:row>61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DRA Mineral Projects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Drew2</dc:creator>
  <cp:lastModifiedBy>Drew2</cp:lastModifiedBy>
  <dcterms:created xsi:type="dcterms:W3CDTF">2017-11-29T08:31:37Z</dcterms:created>
  <dcterms:modified xsi:type="dcterms:W3CDTF">2017-12-14T15:53:49Z</dcterms:modified>
</cp:coreProperties>
</file>