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rew2\Desktop\Project\PowerSupply\"/>
    </mc:Choice>
  </mc:AlternateContent>
  <bookViews>
    <workbookView xWindow="0" yWindow="0" windowWidth="20490" windowHeight="7755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0" i="1" l="1"/>
  <c r="E39" i="1"/>
  <c r="F39" i="1"/>
  <c r="G39" i="1" s="1"/>
  <c r="H39" i="1" s="1"/>
  <c r="I39" i="1" s="1"/>
  <c r="J37" i="1" s="1"/>
  <c r="E35" i="1"/>
  <c r="F40" i="1"/>
  <c r="G40" i="1" s="1"/>
  <c r="H40" i="1" s="1"/>
  <c r="I40" i="1" s="1"/>
  <c r="J40" i="1" s="1"/>
  <c r="K40" i="1" s="1"/>
  <c r="L40" i="1" s="1"/>
  <c r="M40" i="1" s="1"/>
  <c r="N40" i="1" s="1"/>
  <c r="F33" i="1"/>
  <c r="F34" i="1" s="1"/>
  <c r="E33" i="1"/>
  <c r="E34" i="1" s="1"/>
  <c r="F28" i="1"/>
  <c r="G28" i="1"/>
  <c r="H28" i="1"/>
  <c r="I28" i="1"/>
  <c r="J28" i="1"/>
  <c r="K28" i="1"/>
  <c r="L28" i="1"/>
  <c r="M28" i="1"/>
  <c r="N28" i="1"/>
  <c r="E28" i="1"/>
  <c r="M26" i="1"/>
  <c r="L26" i="1"/>
  <c r="N26" i="1" s="1"/>
  <c r="I27" i="1"/>
  <c r="G27" i="1"/>
  <c r="I26" i="1"/>
  <c r="H26" i="1"/>
  <c r="J26" i="1" s="1"/>
  <c r="I23" i="1"/>
  <c r="M25" i="1"/>
  <c r="K25" i="1"/>
  <c r="K27" i="1" s="1"/>
  <c r="M27" i="1" s="1"/>
  <c r="I25" i="1"/>
  <c r="G25" i="1"/>
  <c r="K22" i="1"/>
  <c r="K24" i="1" s="1"/>
  <c r="K33" i="1" s="1"/>
  <c r="K34" i="1" s="1"/>
  <c r="G22" i="1"/>
  <c r="M23" i="1"/>
  <c r="H35" i="1" l="1"/>
  <c r="H37" i="1"/>
  <c r="I36" i="1"/>
  <c r="I35" i="1"/>
  <c r="I37" i="1"/>
  <c r="H36" i="1"/>
  <c r="G35" i="1"/>
  <c r="G36" i="1"/>
  <c r="G37" i="1"/>
  <c r="F36" i="1"/>
  <c r="J39" i="1"/>
  <c r="E37" i="1"/>
  <c r="F35" i="1"/>
  <c r="E36" i="1"/>
  <c r="F37" i="1"/>
  <c r="J27" i="1"/>
  <c r="L27" i="1"/>
  <c r="N27" i="1" s="1"/>
  <c r="L33" i="1"/>
  <c r="L34" i="1" s="1"/>
  <c r="H27" i="1"/>
  <c r="M24" i="1"/>
  <c r="F41" i="1"/>
  <c r="E69" i="1"/>
  <c r="E68" i="1"/>
  <c r="E60" i="1"/>
  <c r="F59" i="1"/>
  <c r="G59" i="1" s="1"/>
  <c r="H59" i="1" s="1"/>
  <c r="I59" i="1" s="1"/>
  <c r="J59" i="1" s="1"/>
  <c r="K59" i="1" s="1"/>
  <c r="L59" i="1" s="1"/>
  <c r="M59" i="1" s="1"/>
  <c r="N59" i="1" s="1"/>
  <c r="F56" i="1"/>
  <c r="G56" i="1" s="1"/>
  <c r="H56" i="1" s="1"/>
  <c r="F55" i="1"/>
  <c r="G55" i="1" s="1"/>
  <c r="H55" i="1" s="1"/>
  <c r="E48" i="1"/>
  <c r="F45" i="1"/>
  <c r="F46" i="1"/>
  <c r="G46" i="1" s="1"/>
  <c r="E47" i="1"/>
  <c r="K41" i="1"/>
  <c r="K39" i="1" l="1"/>
  <c r="J36" i="1"/>
  <c r="J35" i="1"/>
  <c r="J38" i="1" s="1"/>
  <c r="I38" i="1"/>
  <c r="E38" i="1"/>
  <c r="G38" i="1"/>
  <c r="H38" i="1"/>
  <c r="F38" i="1"/>
  <c r="L41" i="1"/>
  <c r="M33" i="1"/>
  <c r="M34" i="1" s="1"/>
  <c r="N33" i="1"/>
  <c r="N34" i="1" s="1"/>
  <c r="F69" i="1"/>
  <c r="F67" i="1"/>
  <c r="M41" i="1"/>
  <c r="F66" i="1"/>
  <c r="H46" i="1"/>
  <c r="I46" i="1" s="1"/>
  <c r="J46" i="1" s="1"/>
  <c r="K46" i="1" s="1"/>
  <c r="L46" i="1" s="1"/>
  <c r="M46" i="1" s="1"/>
  <c r="N46" i="1" s="1"/>
  <c r="N41" i="1"/>
  <c r="G45" i="1"/>
  <c r="G69" i="1" s="1"/>
  <c r="F68" i="1"/>
  <c r="F60" i="1"/>
  <c r="F49" i="1"/>
  <c r="F48" i="1"/>
  <c r="F47" i="1"/>
  <c r="F50" i="1" s="1"/>
  <c r="I55" i="1"/>
  <c r="J55" i="1" s="1"/>
  <c r="I56" i="1"/>
  <c r="L39" i="1" l="1"/>
  <c r="K37" i="1"/>
  <c r="K36" i="1"/>
  <c r="K35" i="1"/>
  <c r="K38" i="1" s="1"/>
  <c r="G48" i="1"/>
  <c r="M67" i="1"/>
  <c r="F51" i="1"/>
  <c r="F53" i="1" s="1"/>
  <c r="F62" i="1" s="1"/>
  <c r="L67" i="1"/>
  <c r="G60" i="1"/>
  <c r="N66" i="1"/>
  <c r="K67" i="1"/>
  <c r="N67" i="1"/>
  <c r="G68" i="1"/>
  <c r="H45" i="1"/>
  <c r="G47" i="1"/>
  <c r="F52" i="1"/>
  <c r="L66" i="1"/>
  <c r="K55" i="1"/>
  <c r="J56" i="1"/>
  <c r="M66" i="1"/>
  <c r="K66" i="1"/>
  <c r="M39" i="1" l="1"/>
  <c r="L37" i="1"/>
  <c r="L36" i="1"/>
  <c r="L35" i="1"/>
  <c r="L38" i="1" s="1"/>
  <c r="F54" i="1"/>
  <c r="F61" i="1" s="1"/>
  <c r="F64" i="1" s="1"/>
  <c r="H60" i="1"/>
  <c r="H47" i="1"/>
  <c r="H68" i="1"/>
  <c r="I45" i="1"/>
  <c r="H69" i="1"/>
  <c r="H48" i="1"/>
  <c r="F65" i="1"/>
  <c r="L55" i="1"/>
  <c r="K56" i="1"/>
  <c r="N39" i="1" l="1"/>
  <c r="M37" i="1"/>
  <c r="M36" i="1"/>
  <c r="M35" i="1"/>
  <c r="M38" i="1" s="1"/>
  <c r="F58" i="1"/>
  <c r="F42" i="1"/>
  <c r="F43" i="1" s="1"/>
  <c r="F44" i="1" s="1"/>
  <c r="F57" i="1"/>
  <c r="J45" i="1"/>
  <c r="I48" i="1"/>
  <c r="I60" i="1"/>
  <c r="I69" i="1"/>
  <c r="I68" i="1"/>
  <c r="I47" i="1"/>
  <c r="M55" i="1"/>
  <c r="L56" i="1"/>
  <c r="N37" i="1" l="1"/>
  <c r="N36" i="1"/>
  <c r="N35" i="1"/>
  <c r="F70" i="1"/>
  <c r="F63" i="1"/>
  <c r="J69" i="1"/>
  <c r="K45" i="1"/>
  <c r="J60" i="1"/>
  <c r="J68" i="1"/>
  <c r="J48" i="1"/>
  <c r="J47" i="1"/>
  <c r="N55" i="1"/>
  <c r="M56" i="1"/>
  <c r="N38" i="1" l="1"/>
  <c r="K69" i="1"/>
  <c r="K68" i="1"/>
  <c r="K60" i="1"/>
  <c r="K49" i="1"/>
  <c r="L45" i="1"/>
  <c r="K47" i="1"/>
  <c r="K50" i="1" s="1"/>
  <c r="K48" i="1"/>
  <c r="N56" i="1"/>
  <c r="K51" i="1" l="1"/>
  <c r="K53" i="1" s="1"/>
  <c r="K62" i="1" s="1"/>
  <c r="K52" i="1"/>
  <c r="L69" i="1"/>
  <c r="L48" i="1"/>
  <c r="M45" i="1"/>
  <c r="L49" i="1"/>
  <c r="L60" i="1"/>
  <c r="L47" i="1"/>
  <c r="L50" i="1" s="1"/>
  <c r="L68" i="1"/>
  <c r="K54" i="1" l="1"/>
  <c r="K57" i="1" s="1"/>
  <c r="K70" i="1" s="1"/>
  <c r="L51" i="1"/>
  <c r="L53" i="1" s="1"/>
  <c r="L52" i="1"/>
  <c r="M69" i="1"/>
  <c r="M47" i="1"/>
  <c r="M50" i="1" s="1"/>
  <c r="M60" i="1"/>
  <c r="M49" i="1"/>
  <c r="N45" i="1"/>
  <c r="F77" i="1" s="1"/>
  <c r="M48" i="1"/>
  <c r="M68" i="1"/>
  <c r="K58" i="1" l="1"/>
  <c r="K42" i="1"/>
  <c r="K43" i="1" s="1"/>
  <c r="K44" i="1" s="1"/>
  <c r="K61" i="1"/>
  <c r="N49" i="1"/>
  <c r="N69" i="1"/>
  <c r="G77" i="1" s="1"/>
  <c r="N48" i="1"/>
  <c r="N47" i="1"/>
  <c r="N60" i="1"/>
  <c r="N68" i="1"/>
  <c r="H77" i="1" s="1"/>
  <c r="M51" i="1"/>
  <c r="M53" i="1" s="1"/>
  <c r="M52" i="1"/>
  <c r="L54" i="1"/>
  <c r="L62" i="1"/>
  <c r="K65" i="1" l="1"/>
  <c r="K64" i="1"/>
  <c r="K63" i="1"/>
  <c r="F76" i="1"/>
  <c r="N50" i="1"/>
  <c r="M62" i="1"/>
  <c r="M54" i="1"/>
  <c r="L42" i="1"/>
  <c r="L43" i="1" s="1"/>
  <c r="L44" i="1" s="1"/>
  <c r="L58" i="1"/>
  <c r="L61" i="1"/>
  <c r="L57" i="1"/>
  <c r="L65" i="1" l="1"/>
  <c r="L64" i="1"/>
  <c r="N51" i="1"/>
  <c r="N53" i="1" s="1"/>
  <c r="N52" i="1"/>
  <c r="M42" i="1"/>
  <c r="M43" i="1" s="1"/>
  <c r="M44" i="1" s="1"/>
  <c r="M58" i="1"/>
  <c r="M57" i="1"/>
  <c r="M61" i="1"/>
  <c r="M64" i="1" s="1"/>
  <c r="L70" i="1"/>
  <c r="L63" i="1"/>
  <c r="M63" i="1" l="1"/>
  <c r="M70" i="1"/>
  <c r="N54" i="1"/>
  <c r="N62" i="1"/>
  <c r="M65" i="1"/>
  <c r="N42" i="1" l="1"/>
  <c r="N43" i="1" s="1"/>
  <c r="N44" i="1" s="1"/>
  <c r="N57" i="1"/>
  <c r="N58" i="1"/>
  <c r="N61" i="1"/>
  <c r="N64" i="1" s="1"/>
  <c r="N65" i="1" l="1"/>
  <c r="N70" i="1"/>
  <c r="N63" i="1"/>
  <c r="E41" i="1"/>
  <c r="E50" i="1" s="1"/>
  <c r="G24" i="1"/>
  <c r="I24" i="1"/>
  <c r="I41" i="1" l="1"/>
  <c r="I67" i="1" s="1"/>
  <c r="J33" i="1"/>
  <c r="J34" i="1" s="1"/>
  <c r="I33" i="1"/>
  <c r="I34" i="1" s="1"/>
  <c r="H41" i="1"/>
  <c r="H50" i="1" s="1"/>
  <c r="G33" i="1"/>
  <c r="G34" i="1" s="1"/>
  <c r="H33" i="1"/>
  <c r="H34" i="1" s="1"/>
  <c r="G41" i="1"/>
  <c r="G67" i="1" s="1"/>
  <c r="I49" i="1"/>
  <c r="I50" i="1"/>
  <c r="E49" i="1"/>
  <c r="E67" i="1"/>
  <c r="I66" i="1"/>
  <c r="E66" i="1"/>
  <c r="J41" i="1"/>
  <c r="H67" i="1" l="1"/>
  <c r="H66" i="1"/>
  <c r="H49" i="1"/>
  <c r="H51" i="1" s="1"/>
  <c r="H53" i="1" s="1"/>
  <c r="G66" i="1"/>
  <c r="G50" i="1"/>
  <c r="G49" i="1"/>
  <c r="J67" i="1"/>
  <c r="J50" i="1"/>
  <c r="J49" i="1"/>
  <c r="E51" i="1"/>
  <c r="E53" i="1" s="1"/>
  <c r="E52" i="1"/>
  <c r="H52" i="1"/>
  <c r="G76" i="1"/>
  <c r="I52" i="1"/>
  <c r="I51" i="1"/>
  <c r="I53" i="1" s="1"/>
  <c r="J66" i="1"/>
  <c r="H76" i="1" l="1"/>
  <c r="G52" i="1"/>
  <c r="G51" i="1"/>
  <c r="G53" i="1" s="1"/>
  <c r="G62" i="1" s="1"/>
  <c r="I54" i="1"/>
  <c r="I62" i="1"/>
  <c r="E62" i="1"/>
  <c r="E54" i="1"/>
  <c r="H62" i="1"/>
  <c r="H54" i="1"/>
  <c r="J51" i="1"/>
  <c r="J53" i="1" s="1"/>
  <c r="J52" i="1"/>
  <c r="G54" i="1" l="1"/>
  <c r="G42" i="1" s="1"/>
  <c r="G43" i="1" s="1"/>
  <c r="G44" i="1" s="1"/>
  <c r="E61" i="1"/>
  <c r="E64" i="1" s="1"/>
  <c r="E42" i="1"/>
  <c r="E43" i="1" s="1"/>
  <c r="E44" i="1" s="1"/>
  <c r="E57" i="1"/>
  <c r="E58" i="1"/>
  <c r="H42" i="1"/>
  <c r="H43" i="1" s="1"/>
  <c r="H44" i="1" s="1"/>
  <c r="H61" i="1"/>
  <c r="H64" i="1" s="1"/>
  <c r="H57" i="1"/>
  <c r="H58" i="1"/>
  <c r="G61" i="1"/>
  <c r="G64" i="1" s="1"/>
  <c r="G57" i="1"/>
  <c r="G58" i="1"/>
  <c r="J54" i="1"/>
  <c r="J62" i="1"/>
  <c r="F75" i="1" s="1"/>
  <c r="I42" i="1"/>
  <c r="I43" i="1" s="1"/>
  <c r="I44" i="1" s="1"/>
  <c r="I61" i="1"/>
  <c r="I65" i="1" s="1"/>
  <c r="I58" i="1"/>
  <c r="I57" i="1"/>
  <c r="E65" i="1" l="1"/>
  <c r="I64" i="1"/>
  <c r="G65" i="1"/>
  <c r="J61" i="1"/>
  <c r="J65" i="1" s="1"/>
  <c r="J42" i="1"/>
  <c r="J43" i="1" s="1"/>
  <c r="J44" i="1" s="1"/>
  <c r="J57" i="1"/>
  <c r="E77" i="1" s="1"/>
  <c r="J58" i="1"/>
  <c r="H70" i="1"/>
  <c r="H63" i="1"/>
  <c r="I63" i="1"/>
  <c r="I70" i="1"/>
  <c r="G70" i="1"/>
  <c r="G63" i="1"/>
  <c r="H65" i="1"/>
  <c r="E70" i="1"/>
  <c r="E63" i="1"/>
  <c r="J64" i="1" l="1"/>
  <c r="E76" i="1" s="1"/>
  <c r="J63" i="1"/>
  <c r="E75" i="1" s="1"/>
  <c r="J70" i="1"/>
</calcChain>
</file>

<file path=xl/sharedStrings.xml><?xml version="1.0" encoding="utf-8"?>
<sst xmlns="http://schemas.openxmlformats.org/spreadsheetml/2006/main" count="78" uniqueCount="70">
  <si>
    <t>Tolerance   (%)</t>
  </si>
  <si>
    <t>STAGE 1 BOOST CONVERTER PARAMETERS</t>
  </si>
  <si>
    <t>Po   (W)</t>
  </si>
  <si>
    <t>Vs   (VAC)</t>
  </si>
  <si>
    <t>Pin   (W)</t>
  </si>
  <si>
    <t>fs   (Hz)</t>
  </si>
  <si>
    <t>Vout   (V)</t>
  </si>
  <si>
    <t>fsw   (Hz)</t>
  </si>
  <si>
    <t>Current Distortion   (%)</t>
  </si>
  <si>
    <t>δ</t>
  </si>
  <si>
    <t>Voltage Distortion   (%)</t>
  </si>
  <si>
    <t>a</t>
  </si>
  <si>
    <t>b</t>
  </si>
  <si>
    <t>c</t>
  </si>
  <si>
    <t>δ1</t>
  </si>
  <si>
    <t>δ2</t>
  </si>
  <si>
    <t>L   (mH)</t>
  </si>
  <si>
    <t>C   (uF)</t>
  </si>
  <si>
    <t>Vin   (V)</t>
  </si>
  <si>
    <t>Io   (A)</t>
  </si>
  <si>
    <t>IL(ave)   (A)</t>
  </si>
  <si>
    <t>Vce(sat)   (V)</t>
  </si>
  <si>
    <t>Vfwd   (V)</t>
  </si>
  <si>
    <t>VLON   (V)</t>
  </si>
  <si>
    <t>VLOFF   (V)</t>
  </si>
  <si>
    <r>
      <t>rL   (</t>
    </r>
    <r>
      <rPr>
        <sz val="11"/>
        <color theme="1"/>
        <rFont val="Calibri"/>
        <family val="2"/>
      </rPr>
      <t>Ω)</t>
    </r>
  </si>
  <si>
    <t>ΔVcpk-pk   (V)</t>
  </si>
  <si>
    <t>ΔiLpk-pk   (A)</t>
  </si>
  <si>
    <t>IL(max)   (A)</t>
  </si>
  <si>
    <t>IL(min)   (A)</t>
  </si>
  <si>
    <t>Isw(rms)   (A)</t>
  </si>
  <si>
    <t>Id(rms)   (A)</t>
  </si>
  <si>
    <t>Vsw(max)   (V)</t>
  </si>
  <si>
    <t>Vd(max)   (V)</t>
  </si>
  <si>
    <t>VL(max)   (V)</t>
  </si>
  <si>
    <t>Design Parameters:</t>
  </si>
  <si>
    <t>Diode</t>
  </si>
  <si>
    <t>MOSFET</t>
  </si>
  <si>
    <t>Value</t>
  </si>
  <si>
    <t>I   (A)</t>
  </si>
  <si>
    <t>V   (V)</t>
  </si>
  <si>
    <t>Inductor   (mH)</t>
  </si>
  <si>
    <t>Capacitor   (uF)</t>
  </si>
  <si>
    <t>-</t>
  </si>
  <si>
    <t>Iin   (A)</t>
  </si>
  <si>
    <t>η   (%)</t>
  </si>
  <si>
    <t>Rectifier Parameters</t>
  </si>
  <si>
    <t>Vs   (V)</t>
  </si>
  <si>
    <t>Vs boundaries   (V)</t>
  </si>
  <si>
    <t>Freq fs   (Hz)</t>
  </si>
  <si>
    <t>Freq boundaries fs   (Hz)</t>
  </si>
  <si>
    <t>±10</t>
  </si>
  <si>
    <t>±15</t>
  </si>
  <si>
    <t>±5</t>
  </si>
  <si>
    <t>±9</t>
  </si>
  <si>
    <t>NOMINAL</t>
  </si>
  <si>
    <t>BOUNDARIES</t>
  </si>
  <si>
    <t>Rth   (Ω)</t>
  </si>
  <si>
    <t>Vo,ave   (V)</t>
  </si>
  <si>
    <t>ΔVopk-pk   (V)</t>
  </si>
  <si>
    <t>Simulated Vo,ave   (V)</t>
  </si>
  <si>
    <t>Simulated Io,ave   (A)</t>
  </si>
  <si>
    <t>Simulated ΔVopk-pk   (V)</t>
  </si>
  <si>
    <t>Favourable ΔVopk-pk   (V)</t>
  </si>
  <si>
    <t>Calculated</t>
  </si>
  <si>
    <r>
      <rPr>
        <sz val="11"/>
        <color theme="1"/>
        <rFont val="Calibri"/>
        <family val="2"/>
      </rPr>
      <t>|V</t>
    </r>
    <r>
      <rPr>
        <sz val="10"/>
        <color theme="1"/>
        <rFont val="Calibri"/>
        <family val="2"/>
      </rPr>
      <t>02</t>
    </r>
    <r>
      <rPr>
        <sz val="11"/>
        <color theme="1"/>
        <rFont val="Calibri"/>
        <family val="2"/>
      </rPr>
      <t>|</t>
    </r>
  </si>
  <si>
    <t>|V04|</t>
  </si>
  <si>
    <t>|V06|</t>
  </si>
  <si>
    <t>L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</si>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</sst>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0" fillId="0" borderId="1" xfId="0" applyBorder="1"/>
    <xf numFmtId="0" fontId="0" fillId="0" borderId="1" xfId="0" applyNumberFormat="1" applyBorder="1"/>
    <xf numFmtId="0" fontId="0" fillId="0" borderId="0" xfId="0" applyBorder="1" applyAlignment="1">
      <alignment horizontal="center"/>
    </xf>
    <xf numFmtId="0" fontId="0" fillId="0" borderId="0" xfId="0" applyNumberFormat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0" xfId="0" applyFill="1"/>
    <xf numFmtId="1" fontId="0" fillId="4" borderId="14" xfId="0" applyNumberFormat="1" applyFill="1" applyBorder="1" applyAlignment="1">
      <alignment horizontal="center"/>
    </xf>
    <xf numFmtId="1" fontId="0" fillId="3" borderId="14" xfId="0" applyNumberForma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64" fontId="0" fillId="0" borderId="12" xfId="0" applyNumberFormat="1" applyFill="1" applyBorder="1" applyAlignment="1">
      <alignment horizontal="center"/>
    </xf>
    <xf numFmtId="165" fontId="0" fillId="0" borderId="12" xfId="0" applyNumberFormat="1" applyFill="1" applyBorder="1" applyAlignment="1">
      <alignment horizontal="center"/>
    </xf>
    <xf numFmtId="0" fontId="0" fillId="0" borderId="0" xfId="0" applyAlignment="1">
      <alignment horizontal="center" textRotation="90"/>
    </xf>
    <xf numFmtId="0" fontId="2" fillId="0" borderId="12" xfId="0" applyFont="1" applyFill="1" applyBorder="1" applyAlignment="1">
      <alignment horizontal="center"/>
    </xf>
    <xf numFmtId="165" fontId="0" fillId="2" borderId="12" xfId="0" applyNumberFormat="1" applyFill="1" applyBorder="1" applyAlignment="1">
      <alignment horizontal="center"/>
    </xf>
    <xf numFmtId="165" fontId="0" fillId="2" borderId="4" xfId="0" applyNumberFormat="1" applyFill="1" applyBorder="1" applyAlignment="1">
      <alignment horizontal="center"/>
    </xf>
    <xf numFmtId="165" fontId="0" fillId="0" borderId="11" xfId="0" applyNumberFormat="1" applyFill="1" applyBorder="1" applyAlignment="1">
      <alignment horizontal="center"/>
    </xf>
    <xf numFmtId="165" fontId="0" fillId="0" borderId="9" xfId="0" applyNumberFormat="1" applyFill="1" applyBorder="1" applyAlignment="1">
      <alignment horizontal="center"/>
    </xf>
    <xf numFmtId="165" fontId="0" fillId="2" borderId="11" xfId="0" applyNumberFormat="1" applyFill="1" applyBorder="1" applyAlignment="1">
      <alignment horizontal="center"/>
    </xf>
    <xf numFmtId="165" fontId="0" fillId="2" borderId="9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164" fontId="0" fillId="2" borderId="11" xfId="0" applyNumberFormat="1" applyFill="1" applyBorder="1" applyAlignment="1">
      <alignment horizontal="center"/>
    </xf>
    <xf numFmtId="164" fontId="0" fillId="2" borderId="9" xfId="0" applyNumberFormat="1" applyFill="1" applyBorder="1" applyAlignment="1">
      <alignment horizontal="center"/>
    </xf>
    <xf numFmtId="164" fontId="0" fillId="0" borderId="11" xfId="0" applyNumberFormat="1" applyFill="1" applyBorder="1" applyAlignment="1">
      <alignment horizontal="center"/>
    </xf>
    <xf numFmtId="164" fontId="0" fillId="0" borderId="9" xfId="0" applyNumberForma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0" fillId="0" borderId="13" xfId="0" applyNumberFormat="1" applyFill="1" applyBorder="1" applyAlignment="1">
      <alignment horizontal="center"/>
    </xf>
    <xf numFmtId="165" fontId="0" fillId="0" borderId="7" xfId="0" applyNumberForma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center" textRotation="90"/>
    </xf>
    <xf numFmtId="0" fontId="0" fillId="4" borderId="10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1" fontId="0" fillId="4" borderId="10" xfId="0" applyNumberFormat="1" applyFill="1" applyBorder="1" applyAlignment="1">
      <alignment horizontal="center"/>
    </xf>
    <xf numFmtId="1" fontId="0" fillId="4" borderId="14" xfId="0" applyNumberFormat="1" applyFill="1" applyBorder="1" applyAlignment="1">
      <alignment horizontal="center"/>
    </xf>
    <xf numFmtId="1" fontId="0" fillId="3" borderId="10" xfId="0" applyNumberFormat="1" applyFill="1" applyBorder="1" applyAlignment="1">
      <alignment horizontal="center"/>
    </xf>
    <xf numFmtId="1" fontId="0" fillId="3" borderId="14" xfId="0" applyNumberForma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" fontId="0" fillId="4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409575</xdr:colOff>
      <xdr:row>24</xdr:row>
      <xdr:rowOff>157162</xdr:rowOff>
    </xdr:from>
    <xdr:ext cx="65" cy="172227"/>
    <xdr:sp macro="" textlink="">
      <xdr:nvSpPr>
        <xdr:cNvPr id="2" name="TextBox 1"/>
        <xdr:cNvSpPr txBox="1"/>
      </xdr:nvSpPr>
      <xdr:spPr>
        <a:xfrm>
          <a:off x="5943600" y="48148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77"/>
  <sheetViews>
    <sheetView tabSelected="1" workbookViewId="0">
      <selection activeCell="B27" sqref="B27"/>
    </sheetView>
  </sheetViews>
  <sheetFormatPr defaultRowHeight="15" x14ac:dyDescent="0.25"/>
  <cols>
    <col min="4" max="4" width="25.85546875" style="1" bestFit="1" customWidth="1"/>
    <col min="5" max="6" width="14.42578125" bestFit="1" customWidth="1"/>
    <col min="7" max="7" width="10.5703125" bestFit="1" customWidth="1"/>
    <col min="8" max="10" width="8.5703125" bestFit="1" customWidth="1"/>
    <col min="11" max="12" width="8.28515625" bestFit="1" customWidth="1"/>
    <col min="13" max="14" width="8.5703125" bestFit="1" customWidth="1"/>
  </cols>
  <sheetData>
    <row r="1" spans="2:12" ht="21" x14ac:dyDescent="0.35">
      <c r="B1" s="67" t="s">
        <v>1</v>
      </c>
      <c r="C1" s="67"/>
      <c r="D1" s="67"/>
      <c r="E1" s="67"/>
      <c r="F1" s="67"/>
      <c r="G1" s="67"/>
      <c r="H1" s="67"/>
    </row>
    <row r="3" spans="2:12" ht="15.75" x14ac:dyDescent="0.25">
      <c r="B3" s="76" t="s">
        <v>46</v>
      </c>
      <c r="C3" s="76"/>
      <c r="D3" s="76"/>
    </row>
    <row r="5" spans="2:12" x14ac:dyDescent="0.25">
      <c r="D5" s="1" t="s">
        <v>3</v>
      </c>
      <c r="E5" s="75">
        <v>120</v>
      </c>
      <c r="F5" s="75"/>
      <c r="G5" s="75"/>
      <c r="H5" s="75"/>
      <c r="I5" s="75">
        <v>230</v>
      </c>
      <c r="J5" s="75"/>
      <c r="K5" s="75"/>
      <c r="L5" s="75"/>
    </row>
    <row r="6" spans="2:12" x14ac:dyDescent="0.25">
      <c r="D6" s="1" t="s">
        <v>0</v>
      </c>
      <c r="E6" s="75">
        <v>15</v>
      </c>
      <c r="F6" s="75"/>
      <c r="G6" s="75"/>
      <c r="H6" s="75"/>
      <c r="I6" s="75">
        <v>5</v>
      </c>
      <c r="J6" s="75"/>
      <c r="K6" s="75"/>
      <c r="L6" s="75"/>
    </row>
    <row r="10" spans="2:12" x14ac:dyDescent="0.25">
      <c r="B10" s="68" t="s">
        <v>3</v>
      </c>
      <c r="C10" s="69"/>
      <c r="D10" s="69"/>
      <c r="E10" s="70"/>
      <c r="F10" s="4">
        <v>120</v>
      </c>
      <c r="G10" s="4">
        <v>230</v>
      </c>
    </row>
    <row r="11" spans="2:12" x14ac:dyDescent="0.25">
      <c r="B11" s="71" t="s">
        <v>0</v>
      </c>
      <c r="C11" s="72"/>
      <c r="D11" s="72"/>
      <c r="E11" s="73"/>
      <c r="F11" s="4">
        <v>15</v>
      </c>
      <c r="G11" s="4">
        <v>5</v>
      </c>
    </row>
    <row r="12" spans="2:12" x14ac:dyDescent="0.25">
      <c r="B12" s="74" t="s">
        <v>2</v>
      </c>
      <c r="C12" s="74"/>
      <c r="D12" s="74"/>
      <c r="E12" s="74"/>
      <c r="F12" s="4">
        <v>600</v>
      </c>
      <c r="G12" s="4">
        <v>600</v>
      </c>
    </row>
    <row r="13" spans="2:12" x14ac:dyDescent="0.25">
      <c r="B13" s="68" t="s">
        <v>5</v>
      </c>
      <c r="C13" s="69"/>
      <c r="D13" s="69"/>
      <c r="E13" s="70"/>
      <c r="F13" s="4">
        <v>60</v>
      </c>
      <c r="G13" s="4">
        <v>50</v>
      </c>
    </row>
    <row r="14" spans="2:12" x14ac:dyDescent="0.25">
      <c r="B14" s="71" t="s">
        <v>0</v>
      </c>
      <c r="C14" s="72"/>
      <c r="D14" s="72"/>
      <c r="E14" s="73"/>
      <c r="F14" s="5">
        <v>8.33</v>
      </c>
      <c r="G14" s="4">
        <v>10</v>
      </c>
    </row>
    <row r="15" spans="2:12" x14ac:dyDescent="0.25">
      <c r="B15" s="74" t="s">
        <v>7</v>
      </c>
      <c r="C15" s="74"/>
      <c r="D15" s="74"/>
      <c r="E15" s="74"/>
      <c r="F15" s="5">
        <v>125000</v>
      </c>
      <c r="G15" s="4">
        <v>125000</v>
      </c>
    </row>
    <row r="16" spans="2:12" x14ac:dyDescent="0.25">
      <c r="B16" s="74" t="s">
        <v>6</v>
      </c>
      <c r="C16" s="74"/>
      <c r="D16" s="74"/>
      <c r="E16" s="74"/>
      <c r="F16" s="5">
        <v>380</v>
      </c>
      <c r="G16" s="4">
        <v>380</v>
      </c>
    </row>
    <row r="17" spans="2:19" x14ac:dyDescent="0.25">
      <c r="B17" s="74" t="s">
        <v>8</v>
      </c>
      <c r="C17" s="74"/>
      <c r="D17" s="74"/>
      <c r="E17" s="74"/>
      <c r="F17" s="5">
        <v>10</v>
      </c>
      <c r="G17" s="5">
        <v>10</v>
      </c>
    </row>
    <row r="18" spans="2:19" x14ac:dyDescent="0.25">
      <c r="B18" s="74" t="s">
        <v>10</v>
      </c>
      <c r="C18" s="74"/>
      <c r="D18" s="74"/>
      <c r="E18" s="74"/>
      <c r="F18" s="5">
        <v>2</v>
      </c>
      <c r="G18" s="5">
        <v>2</v>
      </c>
    </row>
    <row r="19" spans="2:19" x14ac:dyDescent="0.25">
      <c r="B19" s="6"/>
      <c r="C19" s="6"/>
      <c r="D19" s="6"/>
      <c r="E19" s="6"/>
      <c r="F19" s="7"/>
      <c r="G19" s="7"/>
    </row>
    <row r="20" spans="2:19" x14ac:dyDescent="0.25">
      <c r="B20" s="6"/>
      <c r="C20" s="6"/>
      <c r="D20" s="6"/>
      <c r="E20" s="6"/>
      <c r="F20" s="7"/>
      <c r="G20" s="7"/>
    </row>
    <row r="21" spans="2:19" x14ac:dyDescent="0.25">
      <c r="E21" s="55" t="s">
        <v>55</v>
      </c>
      <c r="F21" s="56"/>
      <c r="G21" s="55" t="s">
        <v>56</v>
      </c>
      <c r="H21" s="57"/>
      <c r="I21" s="57"/>
      <c r="J21" s="57"/>
      <c r="K21" s="57"/>
      <c r="L21" s="57"/>
      <c r="M21" s="57"/>
      <c r="N21" s="56"/>
      <c r="O21" s="75"/>
      <c r="P21" s="75"/>
    </row>
    <row r="22" spans="2:19" x14ac:dyDescent="0.25">
      <c r="D22" s="1" t="s">
        <v>47</v>
      </c>
      <c r="E22" s="22">
        <v>120</v>
      </c>
      <c r="F22" s="22">
        <v>230</v>
      </c>
      <c r="G22" s="79">
        <f>E22</f>
        <v>120</v>
      </c>
      <c r="H22" s="79"/>
      <c r="I22" s="79"/>
      <c r="J22" s="79"/>
      <c r="K22" s="80">
        <f>F22</f>
        <v>230</v>
      </c>
      <c r="L22" s="80"/>
      <c r="M22" s="80"/>
      <c r="N22" s="80"/>
    </row>
    <row r="23" spans="2:19" x14ac:dyDescent="0.25">
      <c r="D23" s="2" t="s">
        <v>0</v>
      </c>
      <c r="E23" s="29" t="s">
        <v>52</v>
      </c>
      <c r="F23" s="29" t="s">
        <v>53</v>
      </c>
      <c r="G23" s="59">
        <v>15</v>
      </c>
      <c r="H23" s="60"/>
      <c r="I23" s="59">
        <f>-G23</f>
        <v>-15</v>
      </c>
      <c r="J23" s="60"/>
      <c r="K23" s="61">
        <v>5</v>
      </c>
      <c r="L23" s="62"/>
      <c r="M23" s="61">
        <f>-K23</f>
        <v>-5</v>
      </c>
      <c r="N23" s="62"/>
    </row>
    <row r="24" spans="2:19" x14ac:dyDescent="0.25">
      <c r="D24" s="1" t="s">
        <v>48</v>
      </c>
      <c r="E24" s="9"/>
      <c r="F24" s="9"/>
      <c r="G24" s="77">
        <f>G22+(G22*G23/100)</f>
        <v>138</v>
      </c>
      <c r="H24" s="77"/>
      <c r="I24" s="77">
        <f>G22+(G22*I23/100)</f>
        <v>102</v>
      </c>
      <c r="J24" s="77"/>
      <c r="K24" s="78">
        <f>K22+(K22*K23/100)</f>
        <v>241.5</v>
      </c>
      <c r="L24" s="78"/>
      <c r="M24" s="78">
        <f>K22+(K22*M23/100)</f>
        <v>218.5</v>
      </c>
      <c r="N24" s="78"/>
    </row>
    <row r="25" spans="2:19" x14ac:dyDescent="0.25">
      <c r="D25" s="2" t="s">
        <v>49</v>
      </c>
      <c r="E25" s="22">
        <v>60</v>
      </c>
      <c r="F25" s="22">
        <v>50</v>
      </c>
      <c r="G25" s="63">
        <f>E25</f>
        <v>60</v>
      </c>
      <c r="H25" s="64"/>
      <c r="I25" s="63">
        <f>E25</f>
        <v>60</v>
      </c>
      <c r="J25" s="64"/>
      <c r="K25" s="65">
        <f>F25</f>
        <v>50</v>
      </c>
      <c r="L25" s="66"/>
      <c r="M25" s="65">
        <f>F25</f>
        <v>50</v>
      </c>
      <c r="N25" s="66"/>
    </row>
    <row r="26" spans="2:19" x14ac:dyDescent="0.25">
      <c r="D26" s="2" t="s">
        <v>0</v>
      </c>
      <c r="E26" s="29" t="s">
        <v>54</v>
      </c>
      <c r="F26" s="29" t="s">
        <v>51</v>
      </c>
      <c r="G26" s="18">
        <v>9</v>
      </c>
      <c r="H26" s="26">
        <f>-G26</f>
        <v>-9</v>
      </c>
      <c r="I26" s="18">
        <f>G26</f>
        <v>9</v>
      </c>
      <c r="J26" s="26">
        <f>H26</f>
        <v>-9</v>
      </c>
      <c r="K26" s="20">
        <v>10</v>
      </c>
      <c r="L26" s="27">
        <f>-K26</f>
        <v>-10</v>
      </c>
      <c r="M26" s="20">
        <f>K26</f>
        <v>10</v>
      </c>
      <c r="N26" s="27">
        <f>L26</f>
        <v>-10</v>
      </c>
    </row>
    <row r="27" spans="2:19" x14ac:dyDescent="0.25">
      <c r="D27" s="1" t="s">
        <v>50</v>
      </c>
      <c r="E27" s="9"/>
      <c r="F27" s="9"/>
      <c r="G27" s="18">
        <f>E25+(E25*G26/100)</f>
        <v>65.400000000000006</v>
      </c>
      <c r="H27" s="18">
        <f>G25+(G25*H26/100)</f>
        <v>54.6</v>
      </c>
      <c r="I27" s="18">
        <f>E25+(E25*G26/100)</f>
        <v>65.400000000000006</v>
      </c>
      <c r="J27" s="18">
        <f>G25+(G25*H26/100)</f>
        <v>54.6</v>
      </c>
      <c r="K27" s="19">
        <f>K25+(K25*K26/100)</f>
        <v>55</v>
      </c>
      <c r="L27" s="19">
        <f>K25+(K25*L26/100)</f>
        <v>45</v>
      </c>
      <c r="M27" s="19">
        <f>K27</f>
        <v>55</v>
      </c>
      <c r="N27" s="19">
        <f>L27</f>
        <v>45</v>
      </c>
      <c r="S27" s="3"/>
    </row>
    <row r="28" spans="2:19" x14ac:dyDescent="0.25">
      <c r="B28" s="25"/>
      <c r="C28" s="25"/>
      <c r="D28" s="23" t="s">
        <v>57</v>
      </c>
      <c r="E28" s="24">
        <f>216.693</f>
        <v>216.69300000000001</v>
      </c>
      <c r="F28" s="24">
        <f t="shared" ref="F28:N28" si="0">216.693</f>
        <v>216.69300000000001</v>
      </c>
      <c r="G28" s="24">
        <f t="shared" si="0"/>
        <v>216.69300000000001</v>
      </c>
      <c r="H28" s="24">
        <f t="shared" si="0"/>
        <v>216.69300000000001</v>
      </c>
      <c r="I28" s="24">
        <f t="shared" si="0"/>
        <v>216.69300000000001</v>
      </c>
      <c r="J28" s="24">
        <f t="shared" si="0"/>
        <v>216.69300000000001</v>
      </c>
      <c r="K28" s="24">
        <f t="shared" si="0"/>
        <v>216.69300000000001</v>
      </c>
      <c r="L28" s="24">
        <f t="shared" si="0"/>
        <v>216.69300000000001</v>
      </c>
      <c r="M28" s="24">
        <f t="shared" si="0"/>
        <v>216.69300000000001</v>
      </c>
      <c r="N28" s="24">
        <f t="shared" si="0"/>
        <v>216.69300000000001</v>
      </c>
      <c r="O28" s="25"/>
      <c r="S28" s="3"/>
    </row>
    <row r="29" spans="2:19" x14ac:dyDescent="0.25">
      <c r="B29" s="58" t="s">
        <v>64</v>
      </c>
      <c r="C29" s="32"/>
      <c r="D29" s="23" t="s">
        <v>60</v>
      </c>
      <c r="E29" s="31">
        <v>317.45569999999998</v>
      </c>
      <c r="F29" s="24">
        <v>316.24299999999999</v>
      </c>
      <c r="G29" s="24"/>
      <c r="H29" s="24"/>
      <c r="I29" s="24"/>
      <c r="J29" s="24"/>
      <c r="K29" s="24"/>
      <c r="L29" s="24"/>
      <c r="M29" s="24"/>
      <c r="N29" s="24"/>
      <c r="O29" s="25"/>
      <c r="S29" s="3"/>
    </row>
    <row r="30" spans="2:19" x14ac:dyDescent="0.25">
      <c r="B30" s="58"/>
      <c r="C30" s="32"/>
      <c r="D30" s="23" t="s">
        <v>61</v>
      </c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/>
      <c r="S30" s="3"/>
    </row>
    <row r="31" spans="2:19" x14ac:dyDescent="0.25">
      <c r="B31" s="58"/>
      <c r="C31" s="32"/>
      <c r="D31" s="23" t="s">
        <v>62</v>
      </c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/>
      <c r="S31" s="3"/>
    </row>
    <row r="32" spans="2:19" x14ac:dyDescent="0.25">
      <c r="B32" s="58"/>
      <c r="C32" s="32"/>
      <c r="D32" s="23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/>
      <c r="S32" s="3"/>
    </row>
    <row r="33" spans="2:19" x14ac:dyDescent="0.25">
      <c r="B33" s="58"/>
      <c r="C33" s="32"/>
      <c r="D33" s="23" t="s">
        <v>58</v>
      </c>
      <c r="E33" s="31">
        <f>(2*SQRT(2)*E22*2/PI())</f>
        <v>216.07591587770548</v>
      </c>
      <c r="F33" s="31">
        <f>(2*SQRT(2)*F22/PI())</f>
        <v>207.0727527161344</v>
      </c>
      <c r="G33" s="31">
        <f>(2*SQRT(2)*G24*2/PI())</f>
        <v>248.48730325936131</v>
      </c>
      <c r="H33" s="31">
        <f>(2*SQRT(2)*G24*2/PI())</f>
        <v>248.48730325936131</v>
      </c>
      <c r="I33" s="31">
        <f>(2*SQRT(2)*I24*2/PI())</f>
        <v>183.66452849604966</v>
      </c>
      <c r="J33" s="31">
        <f>(2*SQRT(2)*I24*2/PI())</f>
        <v>183.66452849604966</v>
      </c>
      <c r="K33" s="31">
        <f>(2*SQRT(2)*K24/PI())</f>
        <v>217.42639035194114</v>
      </c>
      <c r="L33" s="31">
        <f>(2*SQRT(2)*K24/PI())</f>
        <v>217.42639035194114</v>
      </c>
      <c r="M33" s="31">
        <f>(2*SQRT(2)*M24/PI())</f>
        <v>196.71911508032767</v>
      </c>
      <c r="N33" s="31">
        <f>(2*SQRT(2)*M24/PI())</f>
        <v>196.71911508032767</v>
      </c>
      <c r="O33" s="25"/>
      <c r="S33" s="3"/>
    </row>
    <row r="34" spans="2:19" ht="19.5" customHeight="1" x14ac:dyDescent="0.25">
      <c r="B34" s="58"/>
      <c r="C34" s="32"/>
      <c r="D34" s="33" t="s">
        <v>63</v>
      </c>
      <c r="E34" s="31">
        <f t="shared" ref="E34:N34" si="1">0.01*E33</f>
        <v>2.1607591587770547</v>
      </c>
      <c r="F34" s="31">
        <f t="shared" si="1"/>
        <v>2.0707275271613441</v>
      </c>
      <c r="G34" s="31">
        <f t="shared" si="1"/>
        <v>2.484873032593613</v>
      </c>
      <c r="H34" s="31">
        <f t="shared" si="1"/>
        <v>2.484873032593613</v>
      </c>
      <c r="I34" s="31">
        <f t="shared" si="1"/>
        <v>1.8366452849604966</v>
      </c>
      <c r="J34" s="31">
        <f t="shared" si="1"/>
        <v>1.8366452849604966</v>
      </c>
      <c r="K34" s="31">
        <f t="shared" si="1"/>
        <v>2.1742639035194116</v>
      </c>
      <c r="L34" s="31">
        <f t="shared" si="1"/>
        <v>2.1742639035194116</v>
      </c>
      <c r="M34" s="31">
        <f t="shared" si="1"/>
        <v>1.9671911508032767</v>
      </c>
      <c r="N34" s="31">
        <f t="shared" si="1"/>
        <v>1.9671911508032767</v>
      </c>
      <c r="O34" s="25"/>
      <c r="S34" s="3"/>
    </row>
    <row r="35" spans="2:19" x14ac:dyDescent="0.25">
      <c r="B35" s="25"/>
      <c r="C35" s="25"/>
      <c r="D35" s="28" t="s">
        <v>65</v>
      </c>
      <c r="E35" s="31">
        <f>((4*SQRT(2)*E22*2)/(3*PI()))*(E28/(SQRT((E28^2)+((2*PI()*2*E25*E39)^2)+((2*PI()*2*E25*E40)^2))))</f>
        <v>144.04617229915286</v>
      </c>
      <c r="F35" s="31">
        <f>(((4*SQRT(2)*F22)/(3*PI()))*(F28/SQRT((F28^2)+((2*PI()*2*F25*F39)^2)+((2*PI()*2*F25*F40)^2))))</f>
        <v>138.04554804862732</v>
      </c>
      <c r="G35" s="31">
        <f>(((4*SQRT(2)*G24*2)/(3*PI()))*(G28/SQRT((G28^2)+((2*PI()*2*G27*G39)^2)+((2*PI()*2*G27*G40)^2))))</f>
        <v>165.65213812890855</v>
      </c>
      <c r="H35" s="31">
        <f>(((4*SQRT(2)*G24*2)/(3*PI()))*(H28/SQRT((H28^2)+((2*PI()*2*H27*H39)^2)+((2*PI()*2*H27*H40)^2))))</f>
        <v>165.65397549301193</v>
      </c>
      <c r="I35" s="31">
        <f>(((4*SQRT(2)*I24*2)/(3*PI()))*(I28/SQRT((I28^2)+((2*PI()*2*I27*I39)^2)+((2*PI()*2*I27*I40)^2))))</f>
        <v>122.43853687788892</v>
      </c>
      <c r="J35" s="31">
        <f>(((4*SQRT(2)*I24*2)/(3*PI()))*(J28/SQRT((J28^2)+((2*PI()*2*J27*J39)^2)+((2*PI()*2*J27*J40)^2))))</f>
        <v>122.43989492961752</v>
      </c>
      <c r="K35" s="31">
        <f>(((4*SQRT(2)*K24)/(3*PI()))*(K28/SQRT((K28^2)+((2*PI()*2*K27*K39)^2)+((2*PI()*2*K27*K40)^2))))</f>
        <v>144.94717417180212</v>
      </c>
      <c r="L35" s="31">
        <f>(((4*SQRT(2)*K24)/(3*PI()))*(L28/SQRT((L28^2)+((2*PI()*2*L27*L39)^2)+((2*PI()*2*L27*L40)^2))))</f>
        <v>144.94841471128416</v>
      </c>
      <c r="M35" s="31">
        <f>(((4*SQRT(2)*M24)/(3*PI()))*(M28/SQRT((M28^2)+((2*PI()*2*M27*M39)^2)+((2*PI()*2*M27*M40)^2))))</f>
        <v>131.14268139353524</v>
      </c>
      <c r="N35" s="31">
        <f>(((4*SQRT(2)*M24)/(3*PI()))*(N28/SQRT((N28^2)+((2*PI()*2*N27*N39)^2)+((2*PI()*2*N27*N40)^2))))</f>
        <v>131.14380378639993</v>
      </c>
      <c r="O35" s="25"/>
      <c r="S35" s="3"/>
    </row>
    <row r="36" spans="2:19" x14ac:dyDescent="0.25">
      <c r="D36" s="16" t="s">
        <v>66</v>
      </c>
      <c r="E36" s="31">
        <f>(((4*SQRT(2)*E22*2)/(15*PI()))*(E28/SQRT((E28^2)+((2*PI()*4*E25*E39)^2)+((2*PI()*4*E25*E40)^2))))</f>
        <v>28.806571980445767</v>
      </c>
      <c r="F36" s="31">
        <f>(((4*SQRT(2)*F22)/(15*PI()))*(F28/SQRT((F28^2)+((2*PI()*4*F25*F39)^2)+((2*PI()*4*F25*F40)^2))))</f>
        <v>27.607337579943334</v>
      </c>
      <c r="G36" s="31">
        <f>(((4*SQRT(2)*G24*2)/(15*PI()))*(G28/SQRT((G28^2)+((2*PI()*4*G27*G39)^2)+((2*PI()*4*G27*G40)^2))))</f>
        <v>33.126789998350482</v>
      </c>
      <c r="H36" s="31">
        <f>(((4*SQRT(2)*G24*2)/(15*PI()))*(H28/SQRT((H28^2)+((2*PI()*4*H27*H39)^2)+((2*PI()*4*H27*H40)^2))))</f>
        <v>33.1282594788415</v>
      </c>
      <c r="I36" s="31">
        <f>(((4*SQRT(2)*I24*2)/(15*PI()))*(I28/SQRT((I28^2)+((2*PI()*4*I27*I39)^2)+((2*PI()*4*I27*I40)^2))))</f>
        <v>24.485018694432966</v>
      </c>
      <c r="J36" s="31">
        <f>(((4*SQRT(2)*I24*2)/(15*PI()))*(J28/SQRT((J28^2)+((2*PI()*4*J27*J39)^2)+((2*PI()*4*J27*J40)^2))))</f>
        <v>24.486104832187195</v>
      </c>
      <c r="K36" s="31">
        <f>(((4*SQRT(2)*K24)/(15*PI()))*(K28/SQRT((K28^2)+((2*PI()*4*K27*K39)^2)+((2*PI()*4*K27*K40)^2))))</f>
        <v>28.987183546381729</v>
      </c>
      <c r="L36" s="31">
        <f>(((4*SQRT(2)*K24)/(15*PI()))*(L28/SQRT((L28^2)+((2*PI()*4*L27*L39)^2)+((2*PI()*4*L27*L40)^2))))</f>
        <v>28.988175784978779</v>
      </c>
      <c r="M36" s="31">
        <f>(((4*SQRT(2)*M24)/(15*PI()))*(M28/SQRT((M28^2)+((2*PI()*4*M27*M39)^2)+((2*PI()*4*M27*M40)^2))))</f>
        <v>26.226499399107272</v>
      </c>
      <c r="N36" s="31">
        <f>(((4*SQRT(2)*M24)/(15*PI()))*(N28/SQRT((N28^2)+((2*PI()*4*N27*N39)^2)+((2*PI()*4*N27*N40)^2))))</f>
        <v>26.22739713879032</v>
      </c>
      <c r="S36" s="3"/>
    </row>
    <row r="37" spans="2:19" x14ac:dyDescent="0.25">
      <c r="D37" s="16" t="s">
        <v>67</v>
      </c>
      <c r="E37" s="31">
        <f>(((4*SQRT(2)*E22*2)/(35*PI()))*(E28/SQRT((E28^2)+((2*PI()*6*E25*E39)^2)+((2*PI()*6*E25*E40)^2))))</f>
        <v>12.343772637742303</v>
      </c>
      <c r="F37" s="31">
        <f>(((4*SQRT(2)*F22)/(35*PI()))*(F28/SQRT((F28^2)+((2*PI()*6*F25*F39)^2)+((2*PI()*6*F25*F40)^2))))</f>
        <v>11.830450695020234</v>
      </c>
      <c r="G37" s="31">
        <f>(((4*SQRT(2)*G24*2)/(35*PI()))*(G28/SQRT((G28^2)+((2*PI()*6*G27*G39)^2)+((2*PI()*6*G27*G40)^2))))</f>
        <v>14.194598549027445</v>
      </c>
      <c r="H37" s="31">
        <f>(((4*SQRT(2)*G24*2)/(35*PI()))*(H28/SQRT((H28^2)+((2*PI()*6*H27*H39)^2)+((2*PI()*6*H27*H40)^2))))</f>
        <v>14.196014888285635</v>
      </c>
      <c r="I37" s="31">
        <f>(((4*SQRT(2)*I24*2)/(35*PI()))*(I28/SQRT((I28^2)+((2*PI()*6*I27*I39)^2)+((2*PI()*6*I27*I40)^2))))</f>
        <v>10.491659797107241</v>
      </c>
      <c r="J37" s="31">
        <f>(((4*SQRT(2)*I24*2)/(35*PI()))*(I28/SQRT((I28^2)+((2*PI()*6*J27*I39)^2)+((2*PI()*6*J27*I40)^2))))</f>
        <v>10.492706656558948</v>
      </c>
      <c r="K37" s="31">
        <f>(((4*SQRT(2)*K24)/(35*PI()))*(K28/SQRT((K28^2)+((2*PI()*6*K27*K39)^2)+((2*PI()*6*K27*K40)^2))))</f>
        <v>12.421471099294076</v>
      </c>
      <c r="L37" s="31">
        <f>(((4*SQRT(2)*K24)/(35*PI()))*(L28/SQRT((L28^2)+((2*PI()*6*L27*L39)^2)+((2*PI()*6*L27*L40)^2))))</f>
        <v>12.422427590773964</v>
      </c>
      <c r="M37" s="31">
        <f>(((4*SQRT(2)*M24)/(35*PI()))*(M28/SQRT((M28^2)+((2*PI()*6*M27*M39)^2)+((2*PI()*6*M27*M40)^2))))</f>
        <v>11.238473851742256</v>
      </c>
      <c r="N37" s="31">
        <f>(((4*SQRT(2)*M24)/(35*PI()))*(N28/SQRT((N28^2)+((2*PI()*6*N27*N39)^2)+((2*PI()*6*N27*N40)^2))))</f>
        <v>11.239339248795488</v>
      </c>
      <c r="S37" s="3"/>
    </row>
    <row r="38" spans="2:19" x14ac:dyDescent="0.25">
      <c r="D38" s="33" t="s">
        <v>59</v>
      </c>
      <c r="E38" s="31">
        <f>SQRT((E35^2)+(E36^2)+(E37^2))</f>
        <v>147.41603395232863</v>
      </c>
      <c r="F38" s="31">
        <f t="shared" ref="F38:N38" si="2">SQRT((F35^2)+(F36^2)+(F37^2))</f>
        <v>141.27525610646094</v>
      </c>
      <c r="G38" s="31">
        <f t="shared" si="2"/>
        <v>169.52728898393281</v>
      </c>
      <c r="H38" s="31">
        <f t="shared" si="2"/>
        <v>169.52949009374527</v>
      </c>
      <c r="I38" s="31">
        <f t="shared" si="2"/>
        <v>125.30277881421119</v>
      </c>
      <c r="J38" s="31">
        <f t="shared" si="2"/>
        <v>125.30440572146391</v>
      </c>
      <c r="K38" s="31">
        <f t="shared" si="2"/>
        <v>148.33823867975835</v>
      </c>
      <c r="L38" s="31">
        <f t="shared" si="2"/>
        <v>148.33972485448149</v>
      </c>
      <c r="M38" s="31">
        <f t="shared" si="2"/>
        <v>134.21078737692423</v>
      </c>
      <c r="N38" s="31">
        <f t="shared" si="2"/>
        <v>134.2121320111975</v>
      </c>
      <c r="S38" s="3"/>
    </row>
    <row r="39" spans="2:19" x14ac:dyDescent="0.25">
      <c r="D39" s="16" t="s">
        <v>68</v>
      </c>
      <c r="E39" s="30">
        <f>2.2*10^(-3)</f>
        <v>2.2000000000000001E-3</v>
      </c>
      <c r="F39" s="30">
        <f>E39</f>
        <v>2.2000000000000001E-3</v>
      </c>
      <c r="G39" s="30">
        <f t="shared" ref="G39:N39" si="3">F39</f>
        <v>2.2000000000000001E-3</v>
      </c>
      <c r="H39" s="30">
        <f t="shared" si="3"/>
        <v>2.2000000000000001E-3</v>
      </c>
      <c r="I39" s="30">
        <f t="shared" si="3"/>
        <v>2.2000000000000001E-3</v>
      </c>
      <c r="J39" s="30">
        <f t="shared" si="3"/>
        <v>2.2000000000000001E-3</v>
      </c>
      <c r="K39" s="30">
        <f t="shared" si="3"/>
        <v>2.2000000000000001E-3</v>
      </c>
      <c r="L39" s="30">
        <f t="shared" si="3"/>
        <v>2.2000000000000001E-3</v>
      </c>
      <c r="M39" s="30">
        <f t="shared" si="3"/>
        <v>2.2000000000000001E-3</v>
      </c>
      <c r="N39" s="30">
        <f t="shared" si="3"/>
        <v>2.2000000000000001E-3</v>
      </c>
      <c r="S39" s="3"/>
    </row>
    <row r="40" spans="2:19" x14ac:dyDescent="0.25">
      <c r="D40" s="16" t="s">
        <v>69</v>
      </c>
      <c r="E40" s="30">
        <f>500*10^(-6)</f>
        <v>5.0000000000000001E-4</v>
      </c>
      <c r="F40" s="30">
        <f>E40</f>
        <v>5.0000000000000001E-4</v>
      </c>
      <c r="G40" s="30">
        <f t="shared" ref="G40:N40" si="4">F40</f>
        <v>5.0000000000000001E-4</v>
      </c>
      <c r="H40" s="30">
        <f t="shared" si="4"/>
        <v>5.0000000000000001E-4</v>
      </c>
      <c r="I40" s="30">
        <f t="shared" si="4"/>
        <v>5.0000000000000001E-4</v>
      </c>
      <c r="J40" s="30">
        <f t="shared" si="4"/>
        <v>5.0000000000000001E-4</v>
      </c>
      <c r="K40" s="30">
        <f t="shared" si="4"/>
        <v>5.0000000000000001E-4</v>
      </c>
      <c r="L40" s="30">
        <f t="shared" si="4"/>
        <v>5.0000000000000001E-4</v>
      </c>
      <c r="M40" s="30">
        <f t="shared" si="4"/>
        <v>5.0000000000000001E-4</v>
      </c>
      <c r="N40" s="30">
        <f t="shared" si="4"/>
        <v>5.0000000000000001E-4</v>
      </c>
      <c r="S40" s="3"/>
    </row>
    <row r="41" spans="2:19" x14ac:dyDescent="0.25">
      <c r="D41" s="8" t="s">
        <v>18</v>
      </c>
      <c r="E41" s="34">
        <f>(SQRT(2)*E22*2)/(1+(1/(4*E25*250*500*10^(-6))))</f>
        <v>328.46250480923499</v>
      </c>
      <c r="F41" s="34">
        <f>(SQRT(2)*F22)/(1+(1/(4*F25*250*500*10^(-6))))</f>
        <v>312.75876860174219</v>
      </c>
      <c r="G41" s="34">
        <f>(SQRT(2)*G24*2)/(1+(1/(4*G27*250*500*10^(-6))))</f>
        <v>378.74066003352101</v>
      </c>
      <c r="H41" s="35">
        <f>SQRT(2)*G24*2/(1+(1/(4*H27*250*500*10^(-6))))</f>
        <v>376.53061306603519</v>
      </c>
      <c r="I41" s="34">
        <f>SQRT(2)*I24*2/(1+(1/(4*I27*250*500*10^(-6))))</f>
        <v>279.93874872042858</v>
      </c>
      <c r="J41" s="35">
        <f>SQRT(2)*I24*2/(1+(1/(4*J27*250*500*10^(-6))))</f>
        <v>278.30523574446079</v>
      </c>
      <c r="K41" s="34">
        <f>SQRT(2)*K24/(1+(1/(4*K27*250*500*10^(-6))))</f>
        <v>329.54897617930942</v>
      </c>
      <c r="L41" s="35">
        <f>SQRT(2)*K24/(1+(1/(4*L27*250*500*10^(-6))))</f>
        <v>326.99927423594914</v>
      </c>
      <c r="M41" s="34">
        <f>SQRT(2)*M24/(1+(1/(4*M27*250*500*10^(-6))))</f>
        <v>298.16335940032752</v>
      </c>
      <c r="N41" s="35">
        <f>SQRT(2)*M24/(1+(1/(4*N27*250*500*10^(-6))))</f>
        <v>295.85648621347781</v>
      </c>
      <c r="S41" s="3"/>
    </row>
    <row r="42" spans="2:19" x14ac:dyDescent="0.25">
      <c r="D42" s="21" t="s">
        <v>44</v>
      </c>
      <c r="E42" s="36">
        <f>E54</f>
        <v>1.8374035511963382</v>
      </c>
      <c r="F42" s="36">
        <f>F54</f>
        <v>1.9304262582719227</v>
      </c>
      <c r="G42" s="36">
        <f>G54</f>
        <v>1.5918210984745094</v>
      </c>
      <c r="H42" s="37">
        <f t="shared" ref="H42:N42" si="5">H54</f>
        <v>1.6012283502473583</v>
      </c>
      <c r="I42" s="36">
        <f t="shared" si="5"/>
        <v>2.1588561757119429</v>
      </c>
      <c r="J42" s="37">
        <f t="shared" si="5"/>
        <v>2.1716464598917873</v>
      </c>
      <c r="K42" s="36">
        <f t="shared" si="5"/>
        <v>1.8312982444377857</v>
      </c>
      <c r="L42" s="37">
        <f t="shared" si="5"/>
        <v>1.845690643673664</v>
      </c>
      <c r="M42" s="36">
        <f t="shared" si="5"/>
        <v>2.0257471778190461</v>
      </c>
      <c r="N42" s="37">
        <f t="shared" si="5"/>
        <v>2.0416815044907675</v>
      </c>
      <c r="S42" s="3"/>
    </row>
    <row r="43" spans="2:19" x14ac:dyDescent="0.25">
      <c r="D43" s="8" t="s">
        <v>4</v>
      </c>
      <c r="E43" s="38">
        <f>E41*E42</f>
        <v>603.51817277133273</v>
      </c>
      <c r="F43" s="38">
        <f>F41*F42</f>
        <v>603.75773941359523</v>
      </c>
      <c r="G43" s="38">
        <f>G41*G42</f>
        <v>602.88737349152007</v>
      </c>
      <c r="H43" s="39">
        <f t="shared" ref="H43:N43" si="6">H41*H42</f>
        <v>602.91149237735397</v>
      </c>
      <c r="I43" s="38">
        <f t="shared" si="6"/>
        <v>604.34749649617095</v>
      </c>
      <c r="J43" s="39">
        <f t="shared" si="6"/>
        <v>604.38057997380758</v>
      </c>
      <c r="K43" s="38">
        <f t="shared" si="6"/>
        <v>603.50246153343903</v>
      </c>
      <c r="L43" s="39">
        <f t="shared" si="6"/>
        <v>603.53950094536992</v>
      </c>
      <c r="M43" s="38">
        <f t="shared" si="6"/>
        <v>604.00358383425942</v>
      </c>
      <c r="N43" s="39">
        <f t="shared" si="6"/>
        <v>604.04471588568538</v>
      </c>
      <c r="S43" s="3"/>
    </row>
    <row r="44" spans="2:19" x14ac:dyDescent="0.25">
      <c r="D44" s="17" t="s">
        <v>45</v>
      </c>
      <c r="E44" s="36">
        <f>(E46/E43)*100</f>
        <v>99.417056034091331</v>
      </c>
      <c r="F44" s="36">
        <f>(F46/F43)*100</f>
        <v>99.377608075509727</v>
      </c>
      <c r="G44" s="36">
        <f>(G46/G43)*100</f>
        <v>99.521075806448167</v>
      </c>
      <c r="H44" s="37">
        <f t="shared" ref="H44:N44" si="7">(H46/H43)*100</f>
        <v>99.517094562939306</v>
      </c>
      <c r="I44" s="36">
        <f t="shared" si="7"/>
        <v>99.280629683853007</v>
      </c>
      <c r="J44" s="37">
        <f t="shared" si="7"/>
        <v>99.275195113979763</v>
      </c>
      <c r="K44" s="36">
        <f t="shared" si="7"/>
        <v>99.4196442008638</v>
      </c>
      <c r="L44" s="37">
        <f t="shared" si="7"/>
        <v>99.413542785546639</v>
      </c>
      <c r="M44" s="36">
        <f t="shared" si="7"/>
        <v>99.337158927295704</v>
      </c>
      <c r="N44" s="37">
        <f t="shared" si="7"/>
        <v>99.330394624882231</v>
      </c>
      <c r="S44" s="3"/>
    </row>
    <row r="45" spans="2:19" x14ac:dyDescent="0.25">
      <c r="D45" s="8" t="s">
        <v>6</v>
      </c>
      <c r="E45" s="40">
        <v>420</v>
      </c>
      <c r="F45" s="40">
        <f t="shared" ref="F45:H46" si="8">E45</f>
        <v>420</v>
      </c>
      <c r="G45" s="41">
        <f t="shared" si="8"/>
        <v>420</v>
      </c>
      <c r="H45" s="42">
        <f t="shared" si="8"/>
        <v>420</v>
      </c>
      <c r="I45" s="41">
        <f t="shared" ref="I45:N45" si="9">H45</f>
        <v>420</v>
      </c>
      <c r="J45" s="42">
        <f t="shared" si="9"/>
        <v>420</v>
      </c>
      <c r="K45" s="41">
        <f t="shared" si="9"/>
        <v>420</v>
      </c>
      <c r="L45" s="42">
        <f t="shared" si="9"/>
        <v>420</v>
      </c>
      <c r="M45" s="41">
        <f t="shared" si="9"/>
        <v>420</v>
      </c>
      <c r="N45" s="42">
        <f t="shared" si="9"/>
        <v>420</v>
      </c>
      <c r="S45" s="3"/>
    </row>
    <row r="46" spans="2:19" x14ac:dyDescent="0.25">
      <c r="D46" s="16" t="s">
        <v>2</v>
      </c>
      <c r="E46" s="43">
        <v>600</v>
      </c>
      <c r="F46" s="43">
        <f t="shared" si="8"/>
        <v>600</v>
      </c>
      <c r="G46" s="44">
        <f t="shared" si="8"/>
        <v>600</v>
      </c>
      <c r="H46" s="45">
        <f t="shared" si="8"/>
        <v>600</v>
      </c>
      <c r="I46" s="44">
        <f t="shared" ref="I46:N46" si="10">H46</f>
        <v>600</v>
      </c>
      <c r="J46" s="45">
        <f t="shared" si="10"/>
        <v>600</v>
      </c>
      <c r="K46" s="44">
        <f t="shared" si="10"/>
        <v>600</v>
      </c>
      <c r="L46" s="45">
        <f t="shared" si="10"/>
        <v>600</v>
      </c>
      <c r="M46" s="44">
        <f t="shared" si="10"/>
        <v>600</v>
      </c>
      <c r="N46" s="45">
        <f t="shared" si="10"/>
        <v>600</v>
      </c>
      <c r="S46" s="3"/>
    </row>
    <row r="47" spans="2:19" x14ac:dyDescent="0.25">
      <c r="D47" s="8" t="s">
        <v>19</v>
      </c>
      <c r="E47" s="38">
        <f>E46/E45</f>
        <v>1.4285714285714286</v>
      </c>
      <c r="F47" s="38">
        <f>F46/F45</f>
        <v>1.4285714285714286</v>
      </c>
      <c r="G47" s="38">
        <f>G46/G45</f>
        <v>1.4285714285714286</v>
      </c>
      <c r="H47" s="39">
        <f t="shared" ref="H47:N47" si="11">H46/H45</f>
        <v>1.4285714285714286</v>
      </c>
      <c r="I47" s="38">
        <f t="shared" si="11"/>
        <v>1.4285714285714286</v>
      </c>
      <c r="J47" s="39">
        <f t="shared" si="11"/>
        <v>1.4285714285714286</v>
      </c>
      <c r="K47" s="38">
        <f t="shared" si="11"/>
        <v>1.4285714285714286</v>
      </c>
      <c r="L47" s="39">
        <f t="shared" si="11"/>
        <v>1.4285714285714286</v>
      </c>
      <c r="M47" s="38">
        <f t="shared" si="11"/>
        <v>1.4285714285714286</v>
      </c>
      <c r="N47" s="39">
        <f t="shared" si="11"/>
        <v>1.4285714285714286</v>
      </c>
      <c r="S47" s="3"/>
    </row>
    <row r="48" spans="2:19" x14ac:dyDescent="0.25">
      <c r="D48" s="16" t="s">
        <v>11</v>
      </c>
      <c r="E48" s="36">
        <f>(E55-E56-E45)</f>
        <v>-419.2</v>
      </c>
      <c r="F48" s="36">
        <f>(F55-F56-F45)</f>
        <v>-419.2</v>
      </c>
      <c r="G48" s="36">
        <f>(G55-G56-G45)</f>
        <v>-419.2</v>
      </c>
      <c r="H48" s="37">
        <f t="shared" ref="H48:N48" si="12">(H55-H56-H45)</f>
        <v>-419.2</v>
      </c>
      <c r="I48" s="36">
        <f t="shared" si="12"/>
        <v>-419.2</v>
      </c>
      <c r="J48" s="37">
        <f t="shared" si="12"/>
        <v>-419.2</v>
      </c>
      <c r="K48" s="36">
        <f t="shared" si="12"/>
        <v>-419.2</v>
      </c>
      <c r="L48" s="37">
        <f t="shared" si="12"/>
        <v>-419.2</v>
      </c>
      <c r="M48" s="36">
        <f t="shared" si="12"/>
        <v>-419.2</v>
      </c>
      <c r="N48" s="37">
        <f t="shared" si="12"/>
        <v>-419.2</v>
      </c>
    </row>
    <row r="49" spans="4:14" x14ac:dyDescent="0.25">
      <c r="D49" s="8" t="s">
        <v>12</v>
      </c>
      <c r="E49" s="38">
        <f>((2*E45)+(2*E56)-E55-E41)</f>
        <v>512.43749519076505</v>
      </c>
      <c r="F49" s="38">
        <f>((2*F45)+(2*F56)-F55-F41)</f>
        <v>528.14123139825779</v>
      </c>
      <c r="G49" s="38">
        <f>((2*G45)+(2*G56)-G55-G41)</f>
        <v>462.15933996647897</v>
      </c>
      <c r="H49" s="39">
        <f t="shared" ref="H49:N49" si="13">((2*H45)+(2*H56)-H55-H41)</f>
        <v>464.36938693396479</v>
      </c>
      <c r="I49" s="38">
        <f t="shared" si="13"/>
        <v>560.96125127957134</v>
      </c>
      <c r="J49" s="39">
        <f t="shared" si="13"/>
        <v>562.59476425553919</v>
      </c>
      <c r="K49" s="38">
        <f t="shared" si="13"/>
        <v>511.35102382069056</v>
      </c>
      <c r="L49" s="39">
        <f t="shared" si="13"/>
        <v>513.90072576405078</v>
      </c>
      <c r="M49" s="38">
        <f t="shared" si="13"/>
        <v>542.73664059967246</v>
      </c>
      <c r="N49" s="39">
        <f t="shared" si="13"/>
        <v>545.04351378652223</v>
      </c>
    </row>
    <row r="50" spans="4:14" x14ac:dyDescent="0.25">
      <c r="D50" s="16" t="s">
        <v>13</v>
      </c>
      <c r="E50" s="36">
        <f>(E41-E45-(E47*E59)-E56)</f>
        <v>-93.266066619336442</v>
      </c>
      <c r="F50" s="36">
        <f>(F41-F45-(F47*F59)-F56)</f>
        <v>-108.96980282682924</v>
      </c>
      <c r="G50" s="36">
        <f>(G41-G45-(G47*G59)-G56)</f>
        <v>-42.987911395050425</v>
      </c>
      <c r="H50" s="37">
        <f t="shared" ref="H50:N50" si="14">(H41-H45-(H47*H59)-H56)</f>
        <v>-45.197958362536248</v>
      </c>
      <c r="I50" s="36">
        <f t="shared" si="14"/>
        <v>-141.78982270814285</v>
      </c>
      <c r="J50" s="37">
        <f t="shared" si="14"/>
        <v>-143.42333568411064</v>
      </c>
      <c r="K50" s="36">
        <f t="shared" si="14"/>
        <v>-92.179595249262007</v>
      </c>
      <c r="L50" s="37">
        <f t="shared" si="14"/>
        <v>-94.729297192622283</v>
      </c>
      <c r="M50" s="36">
        <f t="shared" si="14"/>
        <v>-123.56521202824391</v>
      </c>
      <c r="N50" s="37">
        <f t="shared" si="14"/>
        <v>-125.87208521509362</v>
      </c>
    </row>
    <row r="51" spans="4:14" x14ac:dyDescent="0.25">
      <c r="D51" s="10" t="s">
        <v>14</v>
      </c>
      <c r="E51" s="46">
        <f>(-E49+SQRT((E49*E49)-(4*E48*E50)))/(2*E48)</f>
        <v>0.22250535129243545</v>
      </c>
      <c r="F51" s="46">
        <f>(-F49+SQRT((F49*F49)-(4*F48*F50)))/(2*F48)</f>
        <v>0.2599709921837387</v>
      </c>
      <c r="G51" s="46">
        <f>(-G49+SQRT((G49*G49)-(4*G48*G50)))/(2*G48)</f>
        <v>0.10255528718618435</v>
      </c>
      <c r="H51" s="47">
        <f t="shared" ref="H51:N51" si="15">(-H49+SQRT((H49*H49)-(4*H48*H50)))/(2*H48)</f>
        <v>0.10782779461109197</v>
      </c>
      <c r="I51" s="46">
        <f t="shared" si="15"/>
        <v>0.33827392271728451</v>
      </c>
      <c r="J51" s="47">
        <f t="shared" si="15"/>
        <v>0.34217127191015517</v>
      </c>
      <c r="K51" s="46">
        <f t="shared" si="15"/>
        <v>0.21991328670224086</v>
      </c>
      <c r="L51" s="47">
        <f t="shared" si="15"/>
        <v>0.22599627761670887</v>
      </c>
      <c r="M51" s="46">
        <f t="shared" si="15"/>
        <v>0.29479283287983993</v>
      </c>
      <c r="N51" s="47">
        <f t="shared" si="15"/>
        <v>0.30029663028771941</v>
      </c>
    </row>
    <row r="52" spans="4:14" x14ac:dyDescent="0.25">
      <c r="D52" s="17" t="s">
        <v>15</v>
      </c>
      <c r="E52" s="48">
        <f>(-E49-SQRT((E49*E49)-(4*E48*E50)))/(2*E48)</f>
        <v>0.9999123376168324</v>
      </c>
      <c r="F52" s="48">
        <f>(-F49-SQRT((F49*F49)-(4*F48*F50)))/(2*F48)</f>
        <v>0.99990789951057857</v>
      </c>
      <c r="G52" s="48">
        <f>(-G49-SQRT((G49*G49)-(4*G48*G50)))/(2*G48)</f>
        <v>0.99992405433690479</v>
      </c>
      <c r="H52" s="49">
        <f t="shared" ref="H52:N52" si="16">(-H49-SQRT((H49*H49)-(4*H48*H50)))/(2*H48)</f>
        <v>0.99992360551764081</v>
      </c>
      <c r="I52" s="48">
        <f t="shared" si="16"/>
        <v>0.9998970011366547</v>
      </c>
      <c r="J52" s="49">
        <f t="shared" si="16"/>
        <v>0.99989639091317295</v>
      </c>
      <c r="K52" s="48">
        <f t="shared" si="16"/>
        <v>0.99991262890055155</v>
      </c>
      <c r="L52" s="49">
        <f t="shared" si="16"/>
        <v>0.99991194224028246</v>
      </c>
      <c r="M52" s="48">
        <f t="shared" si="16"/>
        <v>0.99990335175678347</v>
      </c>
      <c r="N52" s="49">
        <f t="shared" si="16"/>
        <v>0.99990259153127459</v>
      </c>
    </row>
    <row r="53" spans="4:14" x14ac:dyDescent="0.25">
      <c r="D53" s="10" t="s">
        <v>9</v>
      </c>
      <c r="E53" s="46">
        <f>E51</f>
        <v>0.22250535129243545</v>
      </c>
      <c r="F53" s="46">
        <f>F51</f>
        <v>0.2599709921837387</v>
      </c>
      <c r="G53" s="46">
        <f>G51</f>
        <v>0.10255528718618435</v>
      </c>
      <c r="H53" s="47">
        <f t="shared" ref="H53:N53" si="17">H51</f>
        <v>0.10782779461109197</v>
      </c>
      <c r="I53" s="46">
        <f t="shared" si="17"/>
        <v>0.33827392271728451</v>
      </c>
      <c r="J53" s="47">
        <f t="shared" si="17"/>
        <v>0.34217127191015517</v>
      </c>
      <c r="K53" s="46">
        <f t="shared" si="17"/>
        <v>0.21991328670224086</v>
      </c>
      <c r="L53" s="47">
        <f t="shared" si="17"/>
        <v>0.22599627761670887</v>
      </c>
      <c r="M53" s="46">
        <f t="shared" si="17"/>
        <v>0.29479283287983993</v>
      </c>
      <c r="N53" s="47">
        <f t="shared" si="17"/>
        <v>0.30029663028771941</v>
      </c>
    </row>
    <row r="54" spans="4:14" x14ac:dyDescent="0.25">
      <c r="D54" s="17" t="s">
        <v>20</v>
      </c>
      <c r="E54" s="36">
        <f>E47/(1-E53)</f>
        <v>1.8374035511963382</v>
      </c>
      <c r="F54" s="36">
        <f>F47/(1-F53)</f>
        <v>1.9304262582719227</v>
      </c>
      <c r="G54" s="36">
        <f>G47/(1-G53)</f>
        <v>1.5918210984745094</v>
      </c>
      <c r="H54" s="37">
        <f t="shared" ref="H54:N54" si="18">H47/(1-H53)</f>
        <v>1.6012283502473583</v>
      </c>
      <c r="I54" s="36">
        <f t="shared" si="18"/>
        <v>2.1588561757119429</v>
      </c>
      <c r="J54" s="37">
        <f t="shared" si="18"/>
        <v>2.1716464598917873</v>
      </c>
      <c r="K54" s="36">
        <f t="shared" si="18"/>
        <v>1.8312982444377857</v>
      </c>
      <c r="L54" s="37">
        <f t="shared" si="18"/>
        <v>1.845690643673664</v>
      </c>
      <c r="M54" s="36">
        <f t="shared" si="18"/>
        <v>2.0257471778190461</v>
      </c>
      <c r="N54" s="37">
        <f t="shared" si="18"/>
        <v>2.0416815044907675</v>
      </c>
    </row>
    <row r="55" spans="4:14" x14ac:dyDescent="0.25">
      <c r="D55" s="10" t="s">
        <v>21</v>
      </c>
      <c r="E55" s="50">
        <v>2.5</v>
      </c>
      <c r="F55" s="50">
        <f t="shared" ref="F55:H56" si="19">E55</f>
        <v>2.5</v>
      </c>
      <c r="G55" s="41">
        <f t="shared" si="19"/>
        <v>2.5</v>
      </c>
      <c r="H55" s="42">
        <f t="shared" si="19"/>
        <v>2.5</v>
      </c>
      <c r="I55" s="41">
        <f t="shared" ref="I55:N55" si="20">H55</f>
        <v>2.5</v>
      </c>
      <c r="J55" s="42">
        <f t="shared" si="20"/>
        <v>2.5</v>
      </c>
      <c r="K55" s="41">
        <f t="shared" si="20"/>
        <v>2.5</v>
      </c>
      <c r="L55" s="42">
        <f t="shared" si="20"/>
        <v>2.5</v>
      </c>
      <c r="M55" s="41">
        <f t="shared" si="20"/>
        <v>2.5</v>
      </c>
      <c r="N55" s="42">
        <f t="shared" si="20"/>
        <v>2.5</v>
      </c>
    </row>
    <row r="56" spans="4:14" x14ac:dyDescent="0.25">
      <c r="D56" s="17" t="s">
        <v>22</v>
      </c>
      <c r="E56" s="51">
        <v>1.7</v>
      </c>
      <c r="F56" s="51">
        <f t="shared" si="19"/>
        <v>1.7</v>
      </c>
      <c r="G56" s="44">
        <f t="shared" si="19"/>
        <v>1.7</v>
      </c>
      <c r="H56" s="45">
        <f t="shared" si="19"/>
        <v>1.7</v>
      </c>
      <c r="I56" s="44">
        <f t="shared" ref="I56:N56" si="21">H56</f>
        <v>1.7</v>
      </c>
      <c r="J56" s="45">
        <f t="shared" si="21"/>
        <v>1.7</v>
      </c>
      <c r="K56" s="44">
        <f t="shared" si="21"/>
        <v>1.7</v>
      </c>
      <c r="L56" s="45">
        <f t="shared" si="21"/>
        <v>1.7</v>
      </c>
      <c r="M56" s="44">
        <f t="shared" si="21"/>
        <v>1.7</v>
      </c>
      <c r="N56" s="45">
        <f t="shared" si="21"/>
        <v>1.7</v>
      </c>
    </row>
    <row r="57" spans="4:14" x14ac:dyDescent="0.25">
      <c r="D57" s="10" t="s">
        <v>23</v>
      </c>
      <c r="E57" s="38">
        <f>E41-(E54*E59)-E55</f>
        <v>325.92575673821108</v>
      </c>
      <c r="F57" s="38">
        <f>F41-(F54*F59)-F55</f>
        <v>310.22016007657675</v>
      </c>
      <c r="G57" s="38">
        <f>G41-(G54*G59)-G55</f>
        <v>376.20882361155151</v>
      </c>
      <c r="H57" s="39">
        <f t="shared" ref="H57:N57" si="22">H41-(H54*H59)-H55</f>
        <v>373.99858849903023</v>
      </c>
      <c r="I57" s="38">
        <f t="shared" si="22"/>
        <v>277.39557159691435</v>
      </c>
      <c r="J57" s="39">
        <f t="shared" si="22"/>
        <v>275.76180281526297</v>
      </c>
      <c r="K57" s="38">
        <f t="shared" si="22"/>
        <v>327.01235021442068</v>
      </c>
      <c r="L57" s="39">
        <f t="shared" si="22"/>
        <v>324.46236042307567</v>
      </c>
      <c r="M57" s="38">
        <f t="shared" si="22"/>
        <v>295.62284445677113</v>
      </c>
      <c r="N57" s="39">
        <f t="shared" si="22"/>
        <v>293.31565258338799</v>
      </c>
    </row>
    <row r="58" spans="4:14" x14ac:dyDescent="0.25">
      <c r="D58" s="17" t="s">
        <v>24</v>
      </c>
      <c r="E58" s="36">
        <f>E41-(E54*E59)-E56-E45</f>
        <v>-93.274243261788911</v>
      </c>
      <c r="F58" s="36">
        <f>F41-(F54*F59)-F56-F45</f>
        <v>-108.97983992342324</v>
      </c>
      <c r="G58" s="36">
        <f>G41-(G54*G59)-G56-G45</f>
        <v>-42.99117638844848</v>
      </c>
      <c r="H58" s="37">
        <f t="shared" ref="H58:N58" si="23">H41-(H54*H59)-H56-H45</f>
        <v>-45.201411500969755</v>
      </c>
      <c r="I58" s="36">
        <f t="shared" si="23"/>
        <v>-141.80442840308564</v>
      </c>
      <c r="J58" s="37">
        <f t="shared" si="23"/>
        <v>-143.43819718473702</v>
      </c>
      <c r="K58" s="36">
        <f t="shared" si="23"/>
        <v>-92.18764978557931</v>
      </c>
      <c r="L58" s="37">
        <f t="shared" si="23"/>
        <v>-94.737639576924323</v>
      </c>
      <c r="M58" s="36">
        <f t="shared" si="23"/>
        <v>-123.57715554322886</v>
      </c>
      <c r="N58" s="37">
        <f t="shared" si="23"/>
        <v>-125.884347416612</v>
      </c>
    </row>
    <row r="59" spans="4:14" x14ac:dyDescent="0.25">
      <c r="D59" s="8" t="s">
        <v>25</v>
      </c>
      <c r="E59" s="40">
        <v>0.02</v>
      </c>
      <c r="F59" s="40">
        <f>E59</f>
        <v>0.02</v>
      </c>
      <c r="G59" s="41">
        <f>F59</f>
        <v>0.02</v>
      </c>
      <c r="H59" s="42">
        <f>G59</f>
        <v>0.02</v>
      </c>
      <c r="I59" s="41">
        <f t="shared" ref="I59:N59" si="24">H59</f>
        <v>0.02</v>
      </c>
      <c r="J59" s="42">
        <f t="shared" si="24"/>
        <v>0.02</v>
      </c>
      <c r="K59" s="41">
        <f t="shared" si="24"/>
        <v>0.02</v>
      </c>
      <c r="L59" s="42">
        <f t="shared" si="24"/>
        <v>0.02</v>
      </c>
      <c r="M59" s="41">
        <f t="shared" si="24"/>
        <v>0.02</v>
      </c>
      <c r="N59" s="42">
        <f t="shared" si="24"/>
        <v>0.02</v>
      </c>
    </row>
    <row r="60" spans="4:14" x14ac:dyDescent="0.25">
      <c r="D60" s="17" t="s">
        <v>26</v>
      </c>
      <c r="E60" s="51">
        <f>E45*(F18/100)</f>
        <v>8.4</v>
      </c>
      <c r="F60" s="51">
        <f>F45*(G18/100)</f>
        <v>8.4</v>
      </c>
      <c r="G60" s="44">
        <f>G45*(F18/100)</f>
        <v>8.4</v>
      </c>
      <c r="H60" s="45">
        <f>H45*(F18/100)</f>
        <v>8.4</v>
      </c>
      <c r="I60" s="44">
        <f>I45*(F18/100)</f>
        <v>8.4</v>
      </c>
      <c r="J60" s="45">
        <f>J45*(F18/100)</f>
        <v>8.4</v>
      </c>
      <c r="K60" s="44">
        <f>K45*(G18/100)</f>
        <v>8.4</v>
      </c>
      <c r="L60" s="45">
        <f>L45*(G18/100)</f>
        <v>8.4</v>
      </c>
      <c r="M60" s="44">
        <f>M45*(G18/100)</f>
        <v>8.4</v>
      </c>
      <c r="N60" s="45">
        <f>N45*(G18/100)</f>
        <v>8.4</v>
      </c>
    </row>
    <row r="61" spans="4:14" x14ac:dyDescent="0.25">
      <c r="D61" s="10" t="s">
        <v>27</v>
      </c>
      <c r="E61" s="52">
        <f>E54*F17/100</f>
        <v>0.18374035511963382</v>
      </c>
      <c r="F61" s="52">
        <f>F54*G17/100</f>
        <v>0.19304262582719225</v>
      </c>
      <c r="G61" s="38">
        <f>G54*F17/100</f>
        <v>0.15918210984745096</v>
      </c>
      <c r="H61" s="39">
        <f>H54*F17/100</f>
        <v>0.16012283502473582</v>
      </c>
      <c r="I61" s="38">
        <f>I54*F17/100</f>
        <v>0.21588561757119429</v>
      </c>
      <c r="J61" s="39">
        <f>J54*F17/100</f>
        <v>0.21716464598917873</v>
      </c>
      <c r="K61" s="38">
        <f>K54*G17/100</f>
        <v>0.18312982444377857</v>
      </c>
      <c r="L61" s="39">
        <f>L54*G17/100</f>
        <v>0.18456906436736639</v>
      </c>
      <c r="M61" s="38">
        <f>M54*G17/100</f>
        <v>0.20257471778190461</v>
      </c>
      <c r="N61" s="39">
        <f>N54*G17/100</f>
        <v>0.20416815044907677</v>
      </c>
    </row>
    <row r="62" spans="4:14" x14ac:dyDescent="0.25">
      <c r="D62" s="16" t="s">
        <v>17</v>
      </c>
      <c r="E62" s="36">
        <f>((E47*E53*(1/F15))/E60)*10^(6)</f>
        <v>0.30272836910535433</v>
      </c>
      <c r="F62" s="36">
        <f>((F47*F53*(1/G15))/F60)*10^(6)</f>
        <v>0.35370203018195739</v>
      </c>
      <c r="G62" s="36">
        <f>((G47*G53*(1/F15))/G60)*10^(6)</f>
        <v>0.13953100297440046</v>
      </c>
      <c r="H62" s="37">
        <f>((H47*H53*(1/F15))/H60)*10^(6)</f>
        <v>0.1467044824640707</v>
      </c>
      <c r="I62" s="36">
        <f>((I47*I53*(1/F15))/I60)*10^(6)</f>
        <v>0.4602366295473258</v>
      </c>
      <c r="J62" s="37">
        <f>((J47*J53*(1/F15))/J60)*10^(6)</f>
        <v>0.46553914545599345</v>
      </c>
      <c r="K62" s="36">
        <f>((K47*K53*(1/G15))/K60)*10^(6)</f>
        <v>0.29920175061529364</v>
      </c>
      <c r="L62" s="37">
        <f>((L47*L53*(1/G15))/L60)*10^(6)</f>
        <v>0.30747792873021607</v>
      </c>
      <c r="M62" s="36">
        <f>((M47*M53*(1/G15))/M60)*10^(6)</f>
        <v>0.40107868419025838</v>
      </c>
      <c r="N62" s="37">
        <f>((N47*N53*(1/G15))/N60)*10^(6)</f>
        <v>0.40856684392886994</v>
      </c>
    </row>
    <row r="63" spans="4:14" x14ac:dyDescent="0.25">
      <c r="D63" s="8" t="s">
        <v>16</v>
      </c>
      <c r="E63" s="38">
        <f>((E57*E53*(1/F15))/E61)*10^(3)</f>
        <v>3.1575088641173199</v>
      </c>
      <c r="F63" s="38">
        <f>((F57*F53*(1/G15))/F61)*10^(3)</f>
        <v>3.3421941901142822</v>
      </c>
      <c r="G63" s="38">
        <f>((G57*G53*(1/F15))/G61)*10^(3)</f>
        <v>1.9390221167156907</v>
      </c>
      <c r="H63" s="39">
        <f>((H57*H53*(1/F15))/H61)*10^(3)</f>
        <v>2.0148253297804501</v>
      </c>
      <c r="I63" s="38">
        <f>((I57*I53*(1/F15))/I61)*10^(3)</f>
        <v>3.4772372223470289</v>
      </c>
      <c r="J63" s="39">
        <f>((J57*J53*(1/F15))/J61)*10^(3)</f>
        <v>3.4759899847874047</v>
      </c>
      <c r="K63" s="38">
        <f>((K57*K53*(1/G15))/K61)*10^(3)</f>
        <v>3.1415684887506861</v>
      </c>
      <c r="L63" s="39">
        <f>((L57*L53*(1/G15))/L61)*10^(3)</f>
        <v>3.1783131559423357</v>
      </c>
      <c r="M63" s="38">
        <f>((M57*M53*(1/G15))/M61)*10^(3)</f>
        <v>3.4415941628108726</v>
      </c>
      <c r="N63" s="39">
        <f>((N57*N53*(1/G15))/N61)*10^(3)</f>
        <v>3.4513395703568945</v>
      </c>
    </row>
    <row r="64" spans="4:14" x14ac:dyDescent="0.25">
      <c r="D64" s="16" t="s">
        <v>28</v>
      </c>
      <c r="E64" s="36">
        <f>E54+(E61/2)</f>
        <v>1.9292737287561552</v>
      </c>
      <c r="F64" s="36">
        <f>F54+(F61/2)</f>
        <v>2.0269475711855187</v>
      </c>
      <c r="G64" s="36">
        <f>G54+(G61/2)</f>
        <v>1.6714121533982349</v>
      </c>
      <c r="H64" s="37">
        <f t="shared" ref="H64:N64" si="25">H54+(H61/2)</f>
        <v>1.6812897677597263</v>
      </c>
      <c r="I64" s="36">
        <f t="shared" si="25"/>
        <v>2.26679898449754</v>
      </c>
      <c r="J64" s="37">
        <f t="shared" si="25"/>
        <v>2.2802287828863768</v>
      </c>
      <c r="K64" s="36">
        <f t="shared" si="25"/>
        <v>1.922863156659675</v>
      </c>
      <c r="L64" s="37">
        <f t="shared" si="25"/>
        <v>1.9379751758573471</v>
      </c>
      <c r="M64" s="36">
        <f t="shared" si="25"/>
        <v>2.1270345367099983</v>
      </c>
      <c r="N64" s="37">
        <f t="shared" si="25"/>
        <v>2.1437655797153057</v>
      </c>
    </row>
    <row r="65" spans="2:14" x14ac:dyDescent="0.25">
      <c r="D65" s="8" t="s">
        <v>29</v>
      </c>
      <c r="E65" s="38">
        <f>E54-(E61/2)</f>
        <v>1.7455333736365213</v>
      </c>
      <c r="F65" s="38">
        <f>F54-(F61/2)</f>
        <v>1.8339049453583265</v>
      </c>
      <c r="G65" s="38">
        <f>G54-(G61/2)</f>
        <v>1.5122300435507838</v>
      </c>
      <c r="H65" s="39">
        <f t="shared" ref="H65:N65" si="26">H54-(H61/2)</f>
        <v>1.5211669327349904</v>
      </c>
      <c r="I65" s="38">
        <f t="shared" si="26"/>
        <v>2.0509133669263457</v>
      </c>
      <c r="J65" s="39">
        <f t="shared" si="26"/>
        <v>2.0630641368971978</v>
      </c>
      <c r="K65" s="38">
        <f t="shared" si="26"/>
        <v>1.7397333322158963</v>
      </c>
      <c r="L65" s="39">
        <f t="shared" si="26"/>
        <v>1.7534061114899808</v>
      </c>
      <c r="M65" s="38">
        <f t="shared" si="26"/>
        <v>1.9244598189280939</v>
      </c>
      <c r="N65" s="39">
        <f t="shared" si="26"/>
        <v>1.939597429266229</v>
      </c>
    </row>
    <row r="66" spans="2:14" x14ac:dyDescent="0.25">
      <c r="D66" s="17" t="s">
        <v>30</v>
      </c>
      <c r="E66" s="36">
        <f>(E46/(E22*SQRT(2)))*SQRT(2-(16*E22*SQRT(2))/(3*3.141592654*E41))</f>
        <v>3.7464640410200905</v>
      </c>
      <c r="F66" s="36">
        <f>(F46/(F22*SQRT(2)))*SQRT(2-(16*F22*SQRT(2))/(3*3.141592654*F41))</f>
        <v>0.89315195221568189</v>
      </c>
      <c r="G66" s="36">
        <f>(G46/(G24*SQRT(2)))*SQRT(2-(16*G24*SQRT(2))/(3*3.141592654*G41))</f>
        <v>3.2611820780688103</v>
      </c>
      <c r="H66" s="37">
        <f>(H46/(G24*SQRT(2)))*SQRT(2-(16*G24*SQRT(2))/(3*3.141592654*H41))</f>
        <v>3.2537329095550542</v>
      </c>
      <c r="I66" s="36">
        <f>(I46/(I24*SQRT(2)))*SQRT(2-(16*I24*SQRT(2))/(3*3.141592654*I41))</f>
        <v>4.4121875173872134</v>
      </c>
      <c r="J66" s="37">
        <f>(J46/(I24*SQRT(2)))*SQRT(2-(16*I24*SQRT(2))/(3*3.141592654*J41))</f>
        <v>4.4021092305744851</v>
      </c>
      <c r="K66" s="36">
        <f>(K46/(K24*SQRT(2)))*SQRT(2-(16*K24*SQRT(2))/(3*3.141592654*K41))</f>
        <v>0.86174737228269405</v>
      </c>
      <c r="L66" s="37">
        <f>(L46/(K24*SQRT(2)))*SQRT(2-(16*K24*SQRT(2))/(3*3.141592654*L41))</f>
        <v>0.83682101326389413</v>
      </c>
      <c r="M66" s="36">
        <f>(M46/(M24*SQRT(2)))*SQRT(2-(16*M24*SQRT(2))/(3*3.141592654*M41))</f>
        <v>0.95245762199666195</v>
      </c>
      <c r="N66" s="37">
        <f>(N46/(M24*SQRT(2)))*SQRT(2-(16*M24*SQRT(2))/(3*3.141592654*N41))</f>
        <v>0.92490743571272616</v>
      </c>
    </row>
    <row r="67" spans="2:14" x14ac:dyDescent="0.25">
      <c r="D67" s="10" t="s">
        <v>31</v>
      </c>
      <c r="E67" s="38">
        <f>E46/E41</f>
        <v>1.8266925180652478</v>
      </c>
      <c r="F67" s="38">
        <f>F46/F41</f>
        <v>1.9184114411321984</v>
      </c>
      <c r="G67" s="38">
        <f>G46/G41</f>
        <v>1.5841974821158522</v>
      </c>
      <c r="H67" s="39">
        <f t="shared" ref="H67:N67" si="27">H46/H41</f>
        <v>1.5934959314842567</v>
      </c>
      <c r="I67" s="38">
        <f t="shared" si="27"/>
        <v>2.1433260052155649</v>
      </c>
      <c r="J67" s="39">
        <f t="shared" si="27"/>
        <v>2.1559062602434063</v>
      </c>
      <c r="K67" s="38">
        <f t="shared" si="27"/>
        <v>1.8206701988767118</v>
      </c>
      <c r="L67" s="39">
        <f t="shared" si="27"/>
        <v>1.834866457737349</v>
      </c>
      <c r="M67" s="38">
        <f t="shared" si="27"/>
        <v>2.0123196934953134</v>
      </c>
      <c r="N67" s="39">
        <f t="shared" si="27"/>
        <v>2.0280102953939121</v>
      </c>
    </row>
    <row r="68" spans="2:14" x14ac:dyDescent="0.25">
      <c r="D68" s="17" t="s">
        <v>32</v>
      </c>
      <c r="E68" s="44">
        <f>E45+E56</f>
        <v>421.7</v>
      </c>
      <c r="F68" s="44">
        <f>F45+F56</f>
        <v>421.7</v>
      </c>
      <c r="G68" s="44">
        <f>G45+G56</f>
        <v>421.7</v>
      </c>
      <c r="H68" s="45">
        <f t="shared" ref="H68:N68" si="28">H45+H56</f>
        <v>421.7</v>
      </c>
      <c r="I68" s="44">
        <f t="shared" si="28"/>
        <v>421.7</v>
      </c>
      <c r="J68" s="45">
        <f t="shared" si="28"/>
        <v>421.7</v>
      </c>
      <c r="K68" s="44">
        <f t="shared" si="28"/>
        <v>421.7</v>
      </c>
      <c r="L68" s="45">
        <f t="shared" si="28"/>
        <v>421.7</v>
      </c>
      <c r="M68" s="44">
        <f t="shared" si="28"/>
        <v>421.7</v>
      </c>
      <c r="N68" s="45">
        <f t="shared" si="28"/>
        <v>421.7</v>
      </c>
    </row>
    <row r="69" spans="2:14" x14ac:dyDescent="0.25">
      <c r="D69" s="10" t="s">
        <v>33</v>
      </c>
      <c r="E69" s="41">
        <f>-E45+E55</f>
        <v>-417.5</v>
      </c>
      <c r="F69" s="41">
        <f>-F45+F55</f>
        <v>-417.5</v>
      </c>
      <c r="G69" s="41">
        <f>-G45+G55</f>
        <v>-417.5</v>
      </c>
      <c r="H69" s="42">
        <f t="shared" ref="H69:N69" si="29">-H45+H55</f>
        <v>-417.5</v>
      </c>
      <c r="I69" s="41">
        <f t="shared" si="29"/>
        <v>-417.5</v>
      </c>
      <c r="J69" s="42">
        <f t="shared" si="29"/>
        <v>-417.5</v>
      </c>
      <c r="K69" s="41">
        <f t="shared" si="29"/>
        <v>-417.5</v>
      </c>
      <c r="L69" s="42">
        <f t="shared" si="29"/>
        <v>-417.5</v>
      </c>
      <c r="M69" s="41">
        <f t="shared" si="29"/>
        <v>-417.5</v>
      </c>
      <c r="N69" s="42">
        <f t="shared" si="29"/>
        <v>-417.5</v>
      </c>
    </row>
    <row r="70" spans="2:14" x14ac:dyDescent="0.25">
      <c r="D70" s="17" t="s">
        <v>34</v>
      </c>
      <c r="E70" s="53">
        <f>E57</f>
        <v>325.92575673821108</v>
      </c>
      <c r="F70" s="53">
        <f>F57</f>
        <v>310.22016007657675</v>
      </c>
      <c r="G70" s="53">
        <f>G57</f>
        <v>376.20882361155151</v>
      </c>
      <c r="H70" s="54">
        <f t="shared" ref="H70:N70" si="30">H57</f>
        <v>373.99858849903023</v>
      </c>
      <c r="I70" s="53">
        <f t="shared" si="30"/>
        <v>277.39557159691435</v>
      </c>
      <c r="J70" s="54">
        <f t="shared" si="30"/>
        <v>275.76180281526297</v>
      </c>
      <c r="K70" s="53">
        <f t="shared" si="30"/>
        <v>327.01235021442068</v>
      </c>
      <c r="L70" s="54">
        <f t="shared" si="30"/>
        <v>324.46236042307567</v>
      </c>
      <c r="M70" s="53">
        <f t="shared" si="30"/>
        <v>295.62284445677113</v>
      </c>
      <c r="N70" s="54">
        <f t="shared" si="30"/>
        <v>293.31565258338799</v>
      </c>
    </row>
    <row r="72" spans="2:14" ht="21" x14ac:dyDescent="0.35">
      <c r="D72" s="15" t="s">
        <v>35</v>
      </c>
      <c r="E72" s="14"/>
    </row>
    <row r="74" spans="2:14" x14ac:dyDescent="0.25">
      <c r="E74" s="9" t="s">
        <v>41</v>
      </c>
      <c r="F74" s="9" t="s">
        <v>42</v>
      </c>
      <c r="G74" s="9" t="s">
        <v>36</v>
      </c>
      <c r="H74" s="9" t="s">
        <v>37</v>
      </c>
    </row>
    <row r="75" spans="2:14" ht="21" x14ac:dyDescent="0.35">
      <c r="B75" s="14"/>
      <c r="C75" s="14"/>
      <c r="D75" s="8" t="s">
        <v>38</v>
      </c>
      <c r="E75" s="12">
        <f>MAX(G63:N63)</f>
        <v>3.4772372223470289</v>
      </c>
      <c r="F75" s="12">
        <f>MAX(G62:N62)</f>
        <v>0.46553914545599345</v>
      </c>
      <c r="G75" s="13" t="s">
        <v>43</v>
      </c>
      <c r="H75" s="13" t="s">
        <v>43</v>
      </c>
    </row>
    <row r="76" spans="2:14" x14ac:dyDescent="0.25">
      <c r="D76" s="9" t="s">
        <v>39</v>
      </c>
      <c r="E76" s="11">
        <f>MAX(G64:N64)*1.5</f>
        <v>3.4203431743295649</v>
      </c>
      <c r="F76" s="11">
        <f>MAX(G47:N47)*1.5</f>
        <v>2.1428571428571428</v>
      </c>
      <c r="G76" s="11">
        <f>MAX(G67:N67)*2</f>
        <v>4.3118125204868125</v>
      </c>
      <c r="H76" s="11">
        <f>MAX(G66:N66)*2</f>
        <v>8.8243750347744268</v>
      </c>
    </row>
    <row r="77" spans="2:14" x14ac:dyDescent="0.25">
      <c r="D77" s="8" t="s">
        <v>40</v>
      </c>
      <c r="E77" s="12">
        <f>MAX(G57:N57)</f>
        <v>376.20882361155151</v>
      </c>
      <c r="F77" s="8">
        <f>MAX(G45:N45)</f>
        <v>420</v>
      </c>
      <c r="G77" s="8">
        <f>MAX(G69:N69)*2*(-1)</f>
        <v>835</v>
      </c>
      <c r="H77" s="8">
        <f>MAX(G68:N68)*2</f>
        <v>843.4</v>
      </c>
    </row>
  </sheetData>
  <mergeCells count="33">
    <mergeCell ref="O21:P21"/>
    <mergeCell ref="B3:D3"/>
    <mergeCell ref="B16:E16"/>
    <mergeCell ref="B17:E17"/>
    <mergeCell ref="G24:H24"/>
    <mergeCell ref="I24:J24"/>
    <mergeCell ref="K24:L24"/>
    <mergeCell ref="M24:N24"/>
    <mergeCell ref="G22:J22"/>
    <mergeCell ref="K22:N22"/>
    <mergeCell ref="B18:E18"/>
    <mergeCell ref="B14:E14"/>
    <mergeCell ref="B15:E15"/>
    <mergeCell ref="I5:L5"/>
    <mergeCell ref="I6:L6"/>
    <mergeCell ref="G23:H23"/>
    <mergeCell ref="B1:H1"/>
    <mergeCell ref="B10:E10"/>
    <mergeCell ref="B11:E11"/>
    <mergeCell ref="B12:E12"/>
    <mergeCell ref="B13:E13"/>
    <mergeCell ref="E5:H5"/>
    <mergeCell ref="E6:H6"/>
    <mergeCell ref="E21:F21"/>
    <mergeCell ref="G21:N21"/>
    <mergeCell ref="B29:B34"/>
    <mergeCell ref="I23:J23"/>
    <mergeCell ref="K23:L23"/>
    <mergeCell ref="M23:N23"/>
    <mergeCell ref="G25:H25"/>
    <mergeCell ref="I25:J25"/>
    <mergeCell ref="K25:L25"/>
    <mergeCell ref="M25:N25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DRA Mineral Projects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Drew2</dc:creator>
  <cp:lastModifiedBy>Drew2</cp:lastModifiedBy>
  <dcterms:created xsi:type="dcterms:W3CDTF">2017-10-29T09:13:55Z</dcterms:created>
  <dcterms:modified xsi:type="dcterms:W3CDTF">2017-11-10T05:14:53Z</dcterms:modified>
</cp:coreProperties>
</file>